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tikova\Desktop\БЕРЕЗКА\"/>
    </mc:Choice>
  </mc:AlternateContent>
  <bookViews>
    <workbookView xWindow="0" yWindow="0" windowWidth="17250" windowHeight="7920"/>
  </bookViews>
  <sheets>
    <sheet name="Смета по ФСНБ 421+557прРИМ" sheetId="7" r:id="rId1"/>
    <sheet name="Ведомость объемов работ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'Ведомость объемов работ'!$17:$17</definedName>
    <definedName name="_xlnm.Print_Titles" localSheetId="0">'Смета по ФСНБ 421+557прРИМ'!$51:$51</definedName>
    <definedName name="_xlnm.Print_Area" localSheetId="1">'Ведомость объемов работ'!$A$1:$H$93</definedName>
    <definedName name="_xlnm.Print_Area" localSheetId="0">'Смета по ФСНБ 421+557прРИМ'!$A$1:$L$877</definedName>
  </definedNames>
  <calcPr calcId="162913" refMode="R1C1"/>
</workbook>
</file>

<file path=xl/calcChain.xml><?xml version="1.0" encoding="utf-8"?>
<calcChain xmlns="http://schemas.openxmlformats.org/spreadsheetml/2006/main">
  <c r="D91" i="8" l="1"/>
  <c r="D89" i="8"/>
  <c r="G86" i="8"/>
  <c r="F86" i="8"/>
  <c r="E86" i="8"/>
  <c r="C86" i="8"/>
  <c r="B86" i="8"/>
  <c r="G85" i="8"/>
  <c r="F85" i="8"/>
  <c r="E85" i="8"/>
  <c r="C85" i="8"/>
  <c r="B85" i="8"/>
  <c r="G84" i="8"/>
  <c r="F84" i="8"/>
  <c r="E84" i="8"/>
  <c r="C84" i="8"/>
  <c r="B84" i="8"/>
  <c r="A83" i="8"/>
  <c r="G82" i="8"/>
  <c r="F82" i="8"/>
  <c r="E82" i="8"/>
  <c r="C82" i="8"/>
  <c r="B82" i="8"/>
  <c r="F81" i="8"/>
  <c r="E81" i="8"/>
  <c r="C81" i="8"/>
  <c r="B81" i="8"/>
  <c r="G80" i="8"/>
  <c r="F80" i="8"/>
  <c r="E80" i="8"/>
  <c r="C80" i="8"/>
  <c r="B80" i="8"/>
  <c r="F79" i="8"/>
  <c r="E79" i="8"/>
  <c r="C79" i="8"/>
  <c r="B79" i="8"/>
  <c r="G78" i="8"/>
  <c r="F78" i="8"/>
  <c r="E78" i="8"/>
  <c r="C78" i="8"/>
  <c r="B78" i="8"/>
  <c r="G77" i="8"/>
  <c r="F77" i="8"/>
  <c r="E77" i="8"/>
  <c r="C77" i="8"/>
  <c r="B77" i="8"/>
  <c r="F76" i="8"/>
  <c r="E76" i="8"/>
  <c r="C76" i="8"/>
  <c r="B76" i="8"/>
  <c r="G75" i="8"/>
  <c r="F75" i="8"/>
  <c r="E75" i="8"/>
  <c r="C75" i="8"/>
  <c r="B75" i="8"/>
  <c r="G74" i="8"/>
  <c r="F74" i="8"/>
  <c r="E74" i="8"/>
  <c r="C74" i="8"/>
  <c r="B74" i="8"/>
  <c r="F73" i="8"/>
  <c r="E73" i="8"/>
  <c r="C73" i="8"/>
  <c r="B73" i="8"/>
  <c r="G72" i="8"/>
  <c r="F72" i="8"/>
  <c r="E72" i="8"/>
  <c r="C72" i="8"/>
  <c r="B72" i="8"/>
  <c r="G71" i="8"/>
  <c r="F71" i="8"/>
  <c r="E71" i="8"/>
  <c r="C71" i="8"/>
  <c r="B71" i="8"/>
  <c r="F70" i="8"/>
  <c r="E70" i="8"/>
  <c r="C70" i="8"/>
  <c r="B70" i="8"/>
  <c r="F69" i="8"/>
  <c r="E69" i="8"/>
  <c r="C69" i="8"/>
  <c r="B69" i="8"/>
  <c r="G68" i="8"/>
  <c r="F68" i="8"/>
  <c r="E68" i="8"/>
  <c r="C68" i="8"/>
  <c r="B68" i="8"/>
  <c r="F67" i="8"/>
  <c r="E67" i="8"/>
  <c r="C67" i="8"/>
  <c r="B67" i="8"/>
  <c r="F66" i="8"/>
  <c r="E66" i="8"/>
  <c r="C66" i="8"/>
  <c r="B66" i="8"/>
  <c r="G65" i="8"/>
  <c r="F65" i="8"/>
  <c r="E65" i="8"/>
  <c r="C65" i="8"/>
  <c r="B65" i="8"/>
  <c r="F64" i="8"/>
  <c r="E64" i="8"/>
  <c r="C64" i="8"/>
  <c r="B64" i="8"/>
  <c r="G63" i="8"/>
  <c r="F63" i="8"/>
  <c r="E63" i="8"/>
  <c r="C63" i="8"/>
  <c r="B63" i="8"/>
  <c r="G62" i="8"/>
  <c r="F62" i="8"/>
  <c r="E62" i="8"/>
  <c r="C62" i="8"/>
  <c r="B62" i="8"/>
  <c r="G61" i="8"/>
  <c r="F61" i="8"/>
  <c r="E61" i="8"/>
  <c r="C61" i="8"/>
  <c r="B61" i="8"/>
  <c r="G60" i="8"/>
  <c r="F60" i="8"/>
  <c r="E60" i="8"/>
  <c r="C60" i="8"/>
  <c r="B60" i="8"/>
  <c r="A59" i="8"/>
  <c r="F58" i="8"/>
  <c r="E58" i="8"/>
  <c r="C58" i="8"/>
  <c r="B58" i="8"/>
  <c r="F57" i="8"/>
  <c r="E57" i="8"/>
  <c r="C57" i="8"/>
  <c r="B57" i="8"/>
  <c r="G56" i="8"/>
  <c r="F56" i="8"/>
  <c r="E56" i="8"/>
  <c r="C56" i="8"/>
  <c r="B56" i="8"/>
  <c r="F55" i="8"/>
  <c r="E55" i="8"/>
  <c r="C55" i="8"/>
  <c r="B55" i="8"/>
  <c r="G54" i="8"/>
  <c r="F54" i="8"/>
  <c r="E54" i="8"/>
  <c r="C54" i="8"/>
  <c r="B54" i="8"/>
  <c r="G53" i="8"/>
  <c r="F53" i="8"/>
  <c r="E53" i="8"/>
  <c r="C53" i="8"/>
  <c r="B53" i="8"/>
  <c r="F52" i="8"/>
  <c r="E52" i="8"/>
  <c r="C52" i="8"/>
  <c r="B52" i="8"/>
  <c r="G51" i="8"/>
  <c r="F51" i="8"/>
  <c r="E51" i="8"/>
  <c r="C51" i="8"/>
  <c r="B51" i="8"/>
  <c r="F50" i="8"/>
  <c r="E50" i="8"/>
  <c r="C50" i="8"/>
  <c r="B50" i="8"/>
  <c r="G49" i="8"/>
  <c r="F49" i="8"/>
  <c r="E49" i="8"/>
  <c r="C49" i="8"/>
  <c r="B49" i="8"/>
  <c r="F48" i="8"/>
  <c r="E48" i="8"/>
  <c r="C48" i="8"/>
  <c r="B48" i="8"/>
  <c r="G47" i="8"/>
  <c r="F47" i="8"/>
  <c r="E47" i="8"/>
  <c r="C47" i="8"/>
  <c r="B47" i="8"/>
  <c r="F46" i="8"/>
  <c r="E46" i="8"/>
  <c r="C46" i="8"/>
  <c r="B46" i="8"/>
  <c r="F45" i="8"/>
  <c r="E45" i="8"/>
  <c r="C45" i="8"/>
  <c r="B45" i="8"/>
  <c r="G44" i="8"/>
  <c r="F44" i="8"/>
  <c r="E44" i="8"/>
  <c r="C44" i="8"/>
  <c r="B44" i="8"/>
  <c r="F43" i="8"/>
  <c r="E43" i="8"/>
  <c r="C43" i="8"/>
  <c r="B43" i="8"/>
  <c r="G42" i="8"/>
  <c r="F42" i="8"/>
  <c r="E42" i="8"/>
  <c r="C42" i="8"/>
  <c r="B42" i="8"/>
  <c r="F41" i="8"/>
  <c r="E41" i="8"/>
  <c r="C41" i="8"/>
  <c r="B41" i="8"/>
  <c r="G40" i="8"/>
  <c r="F40" i="8"/>
  <c r="E40" i="8"/>
  <c r="C40" i="8"/>
  <c r="B40" i="8"/>
  <c r="G39" i="8"/>
  <c r="F39" i="8"/>
  <c r="E39" i="8"/>
  <c r="C39" i="8"/>
  <c r="B39" i="8"/>
  <c r="F38" i="8"/>
  <c r="E38" i="8"/>
  <c r="C38" i="8"/>
  <c r="B38" i="8"/>
  <c r="F37" i="8"/>
  <c r="E37" i="8"/>
  <c r="C37" i="8"/>
  <c r="B37" i="8"/>
  <c r="G36" i="8"/>
  <c r="F36" i="8"/>
  <c r="E36" i="8"/>
  <c r="C36" i="8"/>
  <c r="B36" i="8"/>
  <c r="G35" i="8"/>
  <c r="F35" i="8"/>
  <c r="E35" i="8"/>
  <c r="C35" i="8"/>
  <c r="B35" i="8"/>
  <c r="A34" i="8"/>
  <c r="G33" i="8"/>
  <c r="F33" i="8"/>
  <c r="E33" i="8"/>
  <c r="C33" i="8"/>
  <c r="B33" i="8"/>
  <c r="F32" i="8"/>
  <c r="E32" i="8"/>
  <c r="C32" i="8"/>
  <c r="B32" i="8"/>
  <c r="F31" i="8"/>
  <c r="E31" i="8"/>
  <c r="C31" i="8"/>
  <c r="B31" i="8"/>
  <c r="G30" i="8"/>
  <c r="F30" i="8"/>
  <c r="E30" i="8"/>
  <c r="C30" i="8"/>
  <c r="B30" i="8"/>
  <c r="F29" i="8"/>
  <c r="E29" i="8"/>
  <c r="C29" i="8"/>
  <c r="B29" i="8"/>
  <c r="G28" i="8"/>
  <c r="F28" i="8"/>
  <c r="E28" i="8"/>
  <c r="C28" i="8"/>
  <c r="B28" i="8"/>
  <c r="F27" i="8"/>
  <c r="E27" i="8"/>
  <c r="C27" i="8"/>
  <c r="B27" i="8"/>
  <c r="F26" i="8"/>
  <c r="E26" i="8"/>
  <c r="C26" i="8"/>
  <c r="B26" i="8"/>
  <c r="G25" i="8"/>
  <c r="F25" i="8"/>
  <c r="E25" i="8"/>
  <c r="C25" i="8"/>
  <c r="B25" i="8"/>
  <c r="F24" i="8"/>
  <c r="E24" i="8"/>
  <c r="C24" i="8"/>
  <c r="B24" i="8"/>
  <c r="G23" i="8"/>
  <c r="F23" i="8"/>
  <c r="E23" i="8"/>
  <c r="C23" i="8"/>
  <c r="B23" i="8"/>
  <c r="F22" i="8"/>
  <c r="E22" i="8"/>
  <c r="C22" i="8"/>
  <c r="B22" i="8"/>
  <c r="F21" i="8"/>
  <c r="E21" i="8"/>
  <c r="C21" i="8"/>
  <c r="B21" i="8"/>
  <c r="G20" i="8"/>
  <c r="F20" i="8"/>
  <c r="E20" i="8"/>
  <c r="C20" i="8"/>
  <c r="B20" i="8"/>
  <c r="A19" i="8"/>
  <c r="AF18" i="8"/>
  <c r="A18" i="8"/>
  <c r="AE13" i="8"/>
  <c r="B13" i="8"/>
  <c r="B12" i="8"/>
  <c r="A1" i="8"/>
  <c r="H875" i="7"/>
  <c r="H872" i="7"/>
  <c r="C875" i="7"/>
  <c r="C872" i="7"/>
  <c r="C43" i="7"/>
  <c r="L864" i="7"/>
  <c r="L863" i="7"/>
  <c r="L860" i="7"/>
  <c r="L852" i="7"/>
  <c r="L848" i="7"/>
  <c r="L836" i="7"/>
  <c r="L835" i="7"/>
  <c r="L834" i="7"/>
  <c r="L833" i="7"/>
  <c r="L832" i="7"/>
  <c r="L831" i="7"/>
  <c r="L829" i="7" s="1"/>
  <c r="L828" i="7"/>
  <c r="L827" i="7"/>
  <c r="L825" i="7"/>
  <c r="L823" i="7" s="1"/>
  <c r="L822" i="7"/>
  <c r="L817" i="7"/>
  <c r="L816" i="7"/>
  <c r="L815" i="7"/>
  <c r="L810" i="7"/>
  <c r="L802" i="7"/>
  <c r="L801" i="7"/>
  <c r="L797" i="7"/>
  <c r="L781" i="7"/>
  <c r="L777" i="7"/>
  <c r="L760" i="7"/>
  <c r="L759" i="7"/>
  <c r="L756" i="7"/>
  <c r="L755" i="7"/>
  <c r="L750" i="7"/>
  <c r="L753" i="7"/>
  <c r="L752" i="7"/>
  <c r="L745" i="7"/>
  <c r="L741" i="7"/>
  <c r="L740" i="7"/>
  <c r="BB731" i="7"/>
  <c r="AU731" i="7"/>
  <c r="AS731" i="7"/>
  <c r="AP731" i="7"/>
  <c r="AN731" i="7"/>
  <c r="BA731" i="7"/>
  <c r="AZ731" i="7"/>
  <c r="AE731" i="7"/>
  <c r="AD731" i="7"/>
  <c r="K731" i="7"/>
  <c r="L730" i="7"/>
  <c r="J730" i="7"/>
  <c r="E730" i="7"/>
  <c r="G730" i="7"/>
  <c r="D730" i="7"/>
  <c r="C730" i="7"/>
  <c r="AU729" i="7"/>
  <c r="AS729" i="7"/>
  <c r="AP729" i="7"/>
  <c r="BA729" i="7"/>
  <c r="AZ729" i="7"/>
  <c r="AE729" i="7"/>
  <c r="AD729" i="7"/>
  <c r="L728" i="7"/>
  <c r="J728" i="7"/>
  <c r="E728" i="7"/>
  <c r="G728" i="7"/>
  <c r="D728" i="7"/>
  <c r="C728" i="7"/>
  <c r="AT727" i="7"/>
  <c r="AO727" i="7"/>
  <c r="L738" i="7" s="1"/>
  <c r="L736" i="7" s="1"/>
  <c r="AE727" i="7"/>
  <c r="AD727" i="7"/>
  <c r="G726" i="7"/>
  <c r="E726" i="7"/>
  <c r="G725" i="7"/>
  <c r="E725" i="7"/>
  <c r="L722" i="7"/>
  <c r="L721" i="7" s="1"/>
  <c r="I722" i="7"/>
  <c r="H722" i="7"/>
  <c r="G722" i="7"/>
  <c r="L720" i="7"/>
  <c r="L719" i="7" s="1"/>
  <c r="J720" i="7"/>
  <c r="G720" i="7"/>
  <c r="E718" i="7"/>
  <c r="G718" i="7"/>
  <c r="D718" i="7"/>
  <c r="C718" i="7"/>
  <c r="L712" i="7"/>
  <c r="L711" i="7"/>
  <c r="L708" i="7"/>
  <c r="L707" i="7"/>
  <c r="L705" i="7"/>
  <c r="L698" i="7"/>
  <c r="L697" i="7"/>
  <c r="L693" i="7"/>
  <c r="AW683" i="7"/>
  <c r="AT683" i="7"/>
  <c r="AR683" i="7"/>
  <c r="AO683" i="7"/>
  <c r="AN683" i="7"/>
  <c r="BA683" i="7"/>
  <c r="AZ683" i="7"/>
  <c r="AE683" i="7"/>
  <c r="AD683" i="7"/>
  <c r="L682" i="7"/>
  <c r="K683" i="7" s="1"/>
  <c r="I683" i="7" s="1"/>
  <c r="I682" i="7"/>
  <c r="H682" i="7"/>
  <c r="E682" i="7"/>
  <c r="G682" i="7"/>
  <c r="D682" i="7"/>
  <c r="C682" i="7"/>
  <c r="B682" i="7"/>
  <c r="AR681" i="7"/>
  <c r="AE681" i="7"/>
  <c r="AD681" i="7"/>
  <c r="G680" i="7"/>
  <c r="E680" i="7"/>
  <c r="G679" i="7"/>
  <c r="E679" i="7"/>
  <c r="BA677" i="7"/>
  <c r="AZ677" i="7"/>
  <c r="AE677" i="7"/>
  <c r="AD677" i="7"/>
  <c r="E677" i="7"/>
  <c r="G677" i="7"/>
  <c r="D677" i="7"/>
  <c r="C677" i="7"/>
  <c r="B677" i="7"/>
  <c r="L675" i="7"/>
  <c r="J675" i="7"/>
  <c r="I675" i="7"/>
  <c r="H675" i="7"/>
  <c r="G675" i="7"/>
  <c r="L674" i="7"/>
  <c r="J674" i="7"/>
  <c r="G674" i="7"/>
  <c r="L673" i="7"/>
  <c r="J673" i="7"/>
  <c r="I673" i="7"/>
  <c r="H673" i="7"/>
  <c r="G673" i="7"/>
  <c r="L672" i="7"/>
  <c r="L671" i="7" s="1"/>
  <c r="AW681" i="7" s="1"/>
  <c r="I672" i="7"/>
  <c r="J672" i="7" s="1"/>
  <c r="H672" i="7"/>
  <c r="G672" i="7"/>
  <c r="L670" i="7"/>
  <c r="J670" i="7"/>
  <c r="G670" i="7"/>
  <c r="L669" i="7"/>
  <c r="J669" i="7"/>
  <c r="E669" i="7"/>
  <c r="G669" i="7" s="1"/>
  <c r="L668" i="7"/>
  <c r="J668" i="7"/>
  <c r="G668" i="7"/>
  <c r="L667" i="7"/>
  <c r="I667" i="7"/>
  <c r="H667" i="7"/>
  <c r="J667" i="7" s="1"/>
  <c r="G667" i="7"/>
  <c r="L666" i="7"/>
  <c r="I666" i="7"/>
  <c r="J666" i="7" s="1"/>
  <c r="H666" i="7"/>
  <c r="G666" i="7"/>
  <c r="L665" i="7"/>
  <c r="L663" i="7" s="1"/>
  <c r="J665" i="7"/>
  <c r="E665" i="7"/>
  <c r="L664" i="7"/>
  <c r="J664" i="7"/>
  <c r="G664" i="7"/>
  <c r="L661" i="7"/>
  <c r="L660" i="7" s="1"/>
  <c r="J661" i="7"/>
  <c r="G661" i="7"/>
  <c r="C659" i="7"/>
  <c r="E658" i="7"/>
  <c r="G658" i="7"/>
  <c r="G665" i="7" s="1"/>
  <c r="D658" i="7"/>
  <c r="C658" i="7"/>
  <c r="AE657" i="7"/>
  <c r="AD657" i="7"/>
  <c r="G656" i="7"/>
  <c r="E656" i="7"/>
  <c r="G655" i="7"/>
  <c r="E655" i="7"/>
  <c r="BA653" i="7"/>
  <c r="AZ653" i="7"/>
  <c r="AE653" i="7"/>
  <c r="AD653" i="7"/>
  <c r="E653" i="7"/>
  <c r="G653" i="7"/>
  <c r="D653" i="7"/>
  <c r="C653" i="7"/>
  <c r="B653" i="7"/>
  <c r="L651" i="7"/>
  <c r="I651" i="7"/>
  <c r="H651" i="7"/>
  <c r="J651" i="7" s="1"/>
  <c r="G651" i="7"/>
  <c r="F651" i="7"/>
  <c r="L650" i="7"/>
  <c r="J650" i="7"/>
  <c r="G650" i="7"/>
  <c r="F650" i="7"/>
  <c r="L649" i="7"/>
  <c r="I649" i="7"/>
  <c r="H649" i="7"/>
  <c r="J649" i="7" s="1"/>
  <c r="G649" i="7"/>
  <c r="F649" i="7"/>
  <c r="L648" i="7"/>
  <c r="L647" i="7" s="1"/>
  <c r="AW657" i="7" s="1"/>
  <c r="I648" i="7"/>
  <c r="H648" i="7"/>
  <c r="G648" i="7"/>
  <c r="F648" i="7"/>
  <c r="L646" i="7"/>
  <c r="J646" i="7"/>
  <c r="G646" i="7"/>
  <c r="F646" i="7"/>
  <c r="L645" i="7"/>
  <c r="J645" i="7"/>
  <c r="F645" i="7"/>
  <c r="E645" i="7"/>
  <c r="G645" i="7" s="1"/>
  <c r="L644" i="7"/>
  <c r="J644" i="7"/>
  <c r="G644" i="7"/>
  <c r="F644" i="7"/>
  <c r="L643" i="7"/>
  <c r="I643" i="7"/>
  <c r="H643" i="7"/>
  <c r="J643" i="7" s="1"/>
  <c r="G643" i="7"/>
  <c r="F643" i="7"/>
  <c r="L642" i="7"/>
  <c r="I642" i="7"/>
  <c r="H642" i="7"/>
  <c r="J642" i="7" s="1"/>
  <c r="G642" i="7"/>
  <c r="F642" i="7"/>
  <c r="L641" i="7"/>
  <c r="L639" i="7" s="1"/>
  <c r="J641" i="7"/>
  <c r="F641" i="7"/>
  <c r="E641" i="7"/>
  <c r="L640" i="7"/>
  <c r="J640" i="7"/>
  <c r="G640" i="7"/>
  <c r="F640" i="7"/>
  <c r="L637" i="7"/>
  <c r="L636" i="7" s="1"/>
  <c r="J637" i="7"/>
  <c r="G637" i="7"/>
  <c r="F637" i="7"/>
  <c r="C635" i="7"/>
  <c r="E633" i="7"/>
  <c r="G633" i="7"/>
  <c r="D633" i="7"/>
  <c r="C633" i="7"/>
  <c r="AW632" i="7"/>
  <c r="AT632" i="7"/>
  <c r="AO632" i="7"/>
  <c r="AE632" i="7"/>
  <c r="AD632" i="7"/>
  <c r="G631" i="7"/>
  <c r="E631" i="7"/>
  <c r="G630" i="7"/>
  <c r="E630" i="7"/>
  <c r="L626" i="7"/>
  <c r="L628" i="7" s="1"/>
  <c r="L627" i="7"/>
  <c r="J627" i="7"/>
  <c r="G627" i="7"/>
  <c r="C625" i="7"/>
  <c r="E624" i="7"/>
  <c r="G624" i="7"/>
  <c r="D624" i="7"/>
  <c r="C624" i="7"/>
  <c r="AE623" i="7"/>
  <c r="AD623" i="7"/>
  <c r="G622" i="7"/>
  <c r="F622" i="7"/>
  <c r="E622" i="7"/>
  <c r="G621" i="7"/>
  <c r="F621" i="7"/>
  <c r="E621" i="7"/>
  <c r="AW619" i="7"/>
  <c r="AN619" i="7"/>
  <c r="BA619" i="7"/>
  <c r="AZ619" i="7"/>
  <c r="AE619" i="7"/>
  <c r="AD619" i="7"/>
  <c r="L619" i="7"/>
  <c r="I619" i="7"/>
  <c r="H619" i="7"/>
  <c r="J619" i="7" s="1"/>
  <c r="E619" i="7"/>
  <c r="G619" i="7"/>
  <c r="D619" i="7"/>
  <c r="C619" i="7"/>
  <c r="B619" i="7"/>
  <c r="G617" i="7"/>
  <c r="E617" i="7"/>
  <c r="D617" i="7"/>
  <c r="C617" i="7"/>
  <c r="B617" i="7"/>
  <c r="L616" i="7"/>
  <c r="J616" i="7"/>
  <c r="G616" i="7"/>
  <c r="L615" i="7"/>
  <c r="I615" i="7"/>
  <c r="H615" i="7"/>
  <c r="J615" i="7" s="1"/>
  <c r="G615" i="7"/>
  <c r="L614" i="7"/>
  <c r="I614" i="7"/>
  <c r="H614" i="7"/>
  <c r="J614" i="7" s="1"/>
  <c r="G614" i="7"/>
  <c r="L613" i="7"/>
  <c r="I613" i="7"/>
  <c r="H613" i="7"/>
  <c r="J613" i="7" s="1"/>
  <c r="G613" i="7"/>
  <c r="L612" i="7"/>
  <c r="L611" i="7" s="1"/>
  <c r="AW623" i="7" s="1"/>
  <c r="I612" i="7"/>
  <c r="J612" i="7" s="1"/>
  <c r="H612" i="7"/>
  <c r="G612" i="7"/>
  <c r="L610" i="7"/>
  <c r="I610" i="7"/>
  <c r="H610" i="7"/>
  <c r="J610" i="7" s="1"/>
  <c r="G610" i="7"/>
  <c r="F610" i="7"/>
  <c r="L609" i="7"/>
  <c r="L607" i="7" s="1"/>
  <c r="AT623" i="7" s="1"/>
  <c r="J609" i="7"/>
  <c r="F609" i="7"/>
  <c r="E609" i="7"/>
  <c r="G609" i="7" s="1"/>
  <c r="L608" i="7"/>
  <c r="J608" i="7"/>
  <c r="G608" i="7"/>
  <c r="F608" i="7"/>
  <c r="L605" i="7"/>
  <c r="L604" i="7" s="1"/>
  <c r="J605" i="7"/>
  <c r="G605" i="7"/>
  <c r="F605" i="7"/>
  <c r="E602" i="7"/>
  <c r="G602" i="7"/>
  <c r="D602" i="7"/>
  <c r="C602" i="7"/>
  <c r="AW601" i="7"/>
  <c r="AT601" i="7"/>
  <c r="AO601" i="7"/>
  <c r="AE601" i="7"/>
  <c r="AD601" i="7"/>
  <c r="G600" i="7"/>
  <c r="E600" i="7"/>
  <c r="G599" i="7"/>
  <c r="E599" i="7"/>
  <c r="L596" i="7"/>
  <c r="L595" i="7" s="1"/>
  <c r="J596" i="7"/>
  <c r="G596" i="7"/>
  <c r="C594" i="7"/>
  <c r="E593" i="7"/>
  <c r="G593" i="7"/>
  <c r="D593" i="7"/>
  <c r="C593" i="7"/>
  <c r="AE592" i="7"/>
  <c r="AD592" i="7"/>
  <c r="G591" i="7"/>
  <c r="F591" i="7"/>
  <c r="E591" i="7"/>
  <c r="G590" i="7"/>
  <c r="F590" i="7"/>
  <c r="E590" i="7"/>
  <c r="BA588" i="7"/>
  <c r="AZ588" i="7"/>
  <c r="AE588" i="7"/>
  <c r="AD588" i="7"/>
  <c r="L588" i="7"/>
  <c r="I588" i="7"/>
  <c r="H588" i="7"/>
  <c r="J588" i="7" s="1"/>
  <c r="E588" i="7"/>
  <c r="G588" i="7"/>
  <c r="D588" i="7"/>
  <c r="C588" i="7"/>
  <c r="B588" i="7"/>
  <c r="G586" i="7"/>
  <c r="E586" i="7"/>
  <c r="D586" i="7"/>
  <c r="C586" i="7"/>
  <c r="B586" i="7"/>
  <c r="L585" i="7"/>
  <c r="J585" i="7"/>
  <c r="I585" i="7"/>
  <c r="H585" i="7"/>
  <c r="G585" i="7"/>
  <c r="L584" i="7"/>
  <c r="I584" i="7"/>
  <c r="H584" i="7"/>
  <c r="J584" i="7" s="1"/>
  <c r="G584" i="7"/>
  <c r="L582" i="7"/>
  <c r="J582" i="7"/>
  <c r="F582" i="7"/>
  <c r="E582" i="7"/>
  <c r="L581" i="7"/>
  <c r="J581" i="7"/>
  <c r="G581" i="7"/>
  <c r="F581" i="7"/>
  <c r="L580" i="7"/>
  <c r="L578" i="7" s="1"/>
  <c r="J580" i="7"/>
  <c r="F580" i="7"/>
  <c r="E580" i="7"/>
  <c r="L579" i="7"/>
  <c r="I579" i="7"/>
  <c r="J579" i="7" s="1"/>
  <c r="H579" i="7"/>
  <c r="G579" i="7"/>
  <c r="F579" i="7"/>
  <c r="L575" i="7"/>
  <c r="L576" i="7"/>
  <c r="J576" i="7"/>
  <c r="G576" i="7"/>
  <c r="F576" i="7"/>
  <c r="C574" i="7"/>
  <c r="E572" i="7"/>
  <c r="G572" i="7"/>
  <c r="G580" i="7" s="1"/>
  <c r="D572" i="7"/>
  <c r="C572" i="7"/>
  <c r="AE571" i="7"/>
  <c r="AD571" i="7"/>
  <c r="G570" i="7"/>
  <c r="F570" i="7"/>
  <c r="E570" i="7"/>
  <c r="G569" i="7"/>
  <c r="F569" i="7"/>
  <c r="E569" i="7"/>
  <c r="L566" i="7"/>
  <c r="I566" i="7"/>
  <c r="H566" i="7"/>
  <c r="G566" i="7"/>
  <c r="F566" i="7"/>
  <c r="L565" i="7"/>
  <c r="L564" i="7" s="1"/>
  <c r="AW571" i="7" s="1"/>
  <c r="J565" i="7"/>
  <c r="I565" i="7"/>
  <c r="H565" i="7"/>
  <c r="G565" i="7"/>
  <c r="F565" i="7"/>
  <c r="L563" i="7"/>
  <c r="I563" i="7"/>
  <c r="H563" i="7"/>
  <c r="G563" i="7"/>
  <c r="F563" i="7"/>
  <c r="L562" i="7"/>
  <c r="J562" i="7"/>
  <c r="F562" i="7"/>
  <c r="E562" i="7"/>
  <c r="L561" i="7"/>
  <c r="J561" i="7"/>
  <c r="G561" i="7"/>
  <c r="F561" i="7"/>
  <c r="L560" i="7"/>
  <c r="L557" i="7" s="1"/>
  <c r="L556" i="7" s="1"/>
  <c r="AO571" i="7" s="1"/>
  <c r="J560" i="7"/>
  <c r="F560" i="7"/>
  <c r="E560" i="7"/>
  <c r="L559" i="7"/>
  <c r="J559" i="7"/>
  <c r="G559" i="7"/>
  <c r="F559" i="7"/>
  <c r="L558" i="7"/>
  <c r="I558" i="7"/>
  <c r="H558" i="7"/>
  <c r="J558" i="7" s="1"/>
  <c r="G558" i="7"/>
  <c r="F558" i="7"/>
  <c r="L555" i="7"/>
  <c r="L554" i="7" s="1"/>
  <c r="J555" i="7"/>
  <c r="G555" i="7"/>
  <c r="F555" i="7"/>
  <c r="C553" i="7"/>
  <c r="C552" i="7"/>
  <c r="B552" i="7"/>
  <c r="E551" i="7"/>
  <c r="G551" i="7"/>
  <c r="G562" i="7" s="1"/>
  <c r="D551" i="7"/>
  <c r="AE550" i="7"/>
  <c r="AD550" i="7"/>
  <c r="G549" i="7"/>
  <c r="E549" i="7"/>
  <c r="G548" i="7"/>
  <c r="E548" i="7"/>
  <c r="AW546" i="7"/>
  <c r="BA546" i="7"/>
  <c r="AZ546" i="7"/>
  <c r="AE546" i="7"/>
  <c r="AD546" i="7"/>
  <c r="L546" i="7"/>
  <c r="AN546" i="7" s="1"/>
  <c r="I546" i="7"/>
  <c r="J546" i="7" s="1"/>
  <c r="H546" i="7"/>
  <c r="E546" i="7"/>
  <c r="G546" i="7"/>
  <c r="D546" i="7"/>
  <c r="C546" i="7"/>
  <c r="B546" i="7"/>
  <c r="AW545" i="7"/>
  <c r="AN545" i="7"/>
  <c r="BA545" i="7"/>
  <c r="AZ545" i="7"/>
  <c r="AE545" i="7"/>
  <c r="AD545" i="7"/>
  <c r="L545" i="7"/>
  <c r="I545" i="7"/>
  <c r="H545" i="7"/>
  <c r="J545" i="7" s="1"/>
  <c r="E545" i="7"/>
  <c r="G545" i="7"/>
  <c r="D545" i="7"/>
  <c r="C545" i="7"/>
  <c r="B545" i="7"/>
  <c r="G543" i="7"/>
  <c r="E543" i="7"/>
  <c r="D543" i="7"/>
  <c r="C543" i="7"/>
  <c r="B543" i="7"/>
  <c r="G542" i="7"/>
  <c r="E542" i="7"/>
  <c r="D542" i="7"/>
  <c r="C542" i="7"/>
  <c r="B542" i="7"/>
  <c r="G541" i="7"/>
  <c r="E541" i="7"/>
  <c r="D541" i="7"/>
  <c r="C541" i="7"/>
  <c r="B541" i="7"/>
  <c r="L540" i="7"/>
  <c r="I540" i="7"/>
  <c r="H540" i="7"/>
  <c r="J540" i="7" s="1"/>
  <c r="G540" i="7"/>
  <c r="L539" i="7"/>
  <c r="I539" i="7"/>
  <c r="H539" i="7"/>
  <c r="J539" i="7" s="1"/>
  <c r="G539" i="7"/>
  <c r="L538" i="7"/>
  <c r="I538" i="7"/>
  <c r="H538" i="7"/>
  <c r="J538" i="7" s="1"/>
  <c r="G538" i="7"/>
  <c r="L537" i="7"/>
  <c r="I537" i="7"/>
  <c r="H537" i="7"/>
  <c r="J537" i="7" s="1"/>
  <c r="G537" i="7"/>
  <c r="L535" i="7"/>
  <c r="J535" i="7"/>
  <c r="G535" i="7"/>
  <c r="L534" i="7"/>
  <c r="I534" i="7"/>
  <c r="H534" i="7"/>
  <c r="G534" i="7"/>
  <c r="L533" i="7"/>
  <c r="J533" i="7"/>
  <c r="E533" i="7"/>
  <c r="G533" i="7" s="1"/>
  <c r="L532" i="7"/>
  <c r="J532" i="7"/>
  <c r="G532" i="7"/>
  <c r="L531" i="7"/>
  <c r="L529" i="7" s="1"/>
  <c r="J531" i="7"/>
  <c r="E531" i="7"/>
  <c r="L530" i="7"/>
  <c r="I530" i="7"/>
  <c r="H530" i="7"/>
  <c r="G530" i="7"/>
  <c r="L527" i="7"/>
  <c r="L526" i="7" s="1"/>
  <c r="J527" i="7"/>
  <c r="G527" i="7"/>
  <c r="C525" i="7"/>
  <c r="E524" i="7"/>
  <c r="G524" i="7"/>
  <c r="G531" i="7" s="1"/>
  <c r="D524" i="7"/>
  <c r="C524" i="7"/>
  <c r="AE523" i="7"/>
  <c r="AD523" i="7"/>
  <c r="G522" i="7"/>
  <c r="E522" i="7"/>
  <c r="G521" i="7"/>
  <c r="E521" i="7"/>
  <c r="BA519" i="7"/>
  <c r="AZ519" i="7"/>
  <c r="AE519" i="7"/>
  <c r="AD519" i="7"/>
  <c r="L519" i="7"/>
  <c r="AW519" i="7" s="1"/>
  <c r="I519" i="7"/>
  <c r="H519" i="7"/>
  <c r="J519" i="7" s="1"/>
  <c r="E519" i="7"/>
  <c r="G519" i="7"/>
  <c r="D519" i="7"/>
  <c r="C519" i="7"/>
  <c r="B519" i="7"/>
  <c r="BA518" i="7"/>
  <c r="AZ518" i="7"/>
  <c r="AE518" i="7"/>
  <c r="AD518" i="7"/>
  <c r="L518" i="7"/>
  <c r="I518" i="7"/>
  <c r="H518" i="7"/>
  <c r="J518" i="7" s="1"/>
  <c r="E518" i="7"/>
  <c r="G518" i="7"/>
  <c r="D518" i="7"/>
  <c r="C518" i="7"/>
  <c r="B518" i="7"/>
  <c r="G516" i="7"/>
  <c r="E516" i="7"/>
  <c r="D516" i="7"/>
  <c r="C516" i="7"/>
  <c r="B516" i="7"/>
  <c r="G515" i="7"/>
  <c r="E515" i="7"/>
  <c r="D515" i="7"/>
  <c r="C515" i="7"/>
  <c r="B515" i="7"/>
  <c r="G514" i="7"/>
  <c r="E514" i="7"/>
  <c r="D514" i="7"/>
  <c r="C514" i="7"/>
  <c r="B514" i="7"/>
  <c r="L513" i="7"/>
  <c r="I513" i="7"/>
  <c r="H513" i="7"/>
  <c r="G513" i="7"/>
  <c r="L512" i="7"/>
  <c r="I512" i="7"/>
  <c r="H512" i="7"/>
  <c r="J512" i="7" s="1"/>
  <c r="G512" i="7"/>
  <c r="L511" i="7"/>
  <c r="I511" i="7"/>
  <c r="H511" i="7"/>
  <c r="J511" i="7" s="1"/>
  <c r="G511" i="7"/>
  <c r="L510" i="7"/>
  <c r="I510" i="7"/>
  <c r="H510" i="7"/>
  <c r="J510" i="7" s="1"/>
  <c r="G510" i="7"/>
  <c r="L509" i="7"/>
  <c r="I509" i="7"/>
  <c r="H509" i="7"/>
  <c r="J509" i="7" s="1"/>
  <c r="G509" i="7"/>
  <c r="L508" i="7"/>
  <c r="I508" i="7"/>
  <c r="J508" i="7" s="1"/>
  <c r="H508" i="7"/>
  <c r="G508" i="7"/>
  <c r="L507" i="7"/>
  <c r="J507" i="7"/>
  <c r="I507" i="7"/>
  <c r="H507" i="7"/>
  <c r="G507" i="7"/>
  <c r="L505" i="7"/>
  <c r="J505" i="7"/>
  <c r="G505" i="7"/>
  <c r="L504" i="7"/>
  <c r="I504" i="7"/>
  <c r="H504" i="7"/>
  <c r="J504" i="7" s="1"/>
  <c r="G504" i="7"/>
  <c r="L503" i="7"/>
  <c r="J503" i="7"/>
  <c r="E503" i="7"/>
  <c r="L502" i="7"/>
  <c r="J502" i="7"/>
  <c r="G502" i="7"/>
  <c r="L501" i="7"/>
  <c r="J501" i="7"/>
  <c r="E501" i="7"/>
  <c r="G501" i="7" s="1"/>
  <c r="L500" i="7"/>
  <c r="J500" i="7"/>
  <c r="I500" i="7"/>
  <c r="H500" i="7"/>
  <c r="G500" i="7"/>
  <c r="L496" i="7"/>
  <c r="L497" i="7"/>
  <c r="J497" i="7"/>
  <c r="G497" i="7"/>
  <c r="C495" i="7"/>
  <c r="E494" i="7"/>
  <c r="G494" i="7"/>
  <c r="D494" i="7"/>
  <c r="C494" i="7"/>
  <c r="AT493" i="7"/>
  <c r="AO493" i="7"/>
  <c r="AE493" i="7"/>
  <c r="AD493" i="7"/>
  <c r="G492" i="7"/>
  <c r="F492" i="7"/>
  <c r="E492" i="7"/>
  <c r="G491" i="7"/>
  <c r="F491" i="7"/>
  <c r="E491" i="7"/>
  <c r="BA489" i="7"/>
  <c r="AZ489" i="7"/>
  <c r="AE489" i="7"/>
  <c r="AD489" i="7"/>
  <c r="L489" i="7"/>
  <c r="BK489" i="7" s="1"/>
  <c r="L704" i="7" s="1"/>
  <c r="L702" i="7" s="1"/>
  <c r="I489" i="7"/>
  <c r="H489" i="7"/>
  <c r="E489" i="7"/>
  <c r="G489" i="7"/>
  <c r="D489" i="7"/>
  <c r="B489" i="7"/>
  <c r="L487" i="7"/>
  <c r="I487" i="7"/>
  <c r="J487" i="7" s="1"/>
  <c r="H487" i="7"/>
  <c r="G487" i="7"/>
  <c r="L486" i="7"/>
  <c r="J486" i="7"/>
  <c r="I486" i="7"/>
  <c r="H486" i="7"/>
  <c r="G486" i="7"/>
  <c r="L485" i="7"/>
  <c r="L484" i="7" s="1"/>
  <c r="AW493" i="7" s="1"/>
  <c r="I485" i="7"/>
  <c r="H485" i="7"/>
  <c r="J485" i="7" s="1"/>
  <c r="G485" i="7"/>
  <c r="L483" i="7"/>
  <c r="L482" i="7" s="1"/>
  <c r="J483" i="7"/>
  <c r="G483" i="7"/>
  <c r="F483" i="7"/>
  <c r="E480" i="7"/>
  <c r="G480" i="7"/>
  <c r="D480" i="7"/>
  <c r="C480" i="7"/>
  <c r="AE479" i="7"/>
  <c r="AD479" i="7"/>
  <c r="G478" i="7"/>
  <c r="F478" i="7"/>
  <c r="E478" i="7"/>
  <c r="G477" i="7"/>
  <c r="F477" i="7"/>
  <c r="E477" i="7"/>
  <c r="L474" i="7"/>
  <c r="I474" i="7"/>
  <c r="H474" i="7"/>
  <c r="G474" i="7"/>
  <c r="L473" i="7"/>
  <c r="I473" i="7"/>
  <c r="H473" i="7"/>
  <c r="J473" i="7" s="1"/>
  <c r="G473" i="7"/>
  <c r="L472" i="7"/>
  <c r="I472" i="7"/>
  <c r="J472" i="7" s="1"/>
  <c r="H472" i="7"/>
  <c r="G472" i="7"/>
  <c r="L471" i="7"/>
  <c r="I471" i="7"/>
  <c r="H471" i="7"/>
  <c r="G471" i="7"/>
  <c r="L468" i="7"/>
  <c r="AT479" i="7" s="1"/>
  <c r="L469" i="7"/>
  <c r="I469" i="7"/>
  <c r="H469" i="7"/>
  <c r="J469" i="7" s="1"/>
  <c r="G469" i="7"/>
  <c r="F469" i="7"/>
  <c r="L466" i="7"/>
  <c r="L465" i="7" s="1"/>
  <c r="J466" i="7"/>
  <c r="G466" i="7"/>
  <c r="F466" i="7"/>
  <c r="C464" i="7"/>
  <c r="E462" i="7"/>
  <c r="G462" i="7"/>
  <c r="D462" i="7"/>
  <c r="C462" i="7"/>
  <c r="AE461" i="7"/>
  <c r="AD461" i="7"/>
  <c r="G460" i="7"/>
  <c r="F460" i="7"/>
  <c r="E460" i="7"/>
  <c r="G459" i="7"/>
  <c r="F459" i="7"/>
  <c r="E459" i="7"/>
  <c r="L456" i="7"/>
  <c r="I456" i="7"/>
  <c r="H456" i="7"/>
  <c r="J456" i="7" s="1"/>
  <c r="G456" i="7"/>
  <c r="L455" i="7"/>
  <c r="I455" i="7"/>
  <c r="H455" i="7"/>
  <c r="G455" i="7"/>
  <c r="L454" i="7"/>
  <c r="I454" i="7"/>
  <c r="J454" i="7" s="1"/>
  <c r="H454" i="7"/>
  <c r="G454" i="7"/>
  <c r="L453" i="7"/>
  <c r="L452" i="7" s="1"/>
  <c r="AW461" i="7" s="1"/>
  <c r="J453" i="7"/>
  <c r="I453" i="7"/>
  <c r="H453" i="7"/>
  <c r="G453" i="7"/>
  <c r="L450" i="7"/>
  <c r="L451" i="7"/>
  <c r="I451" i="7"/>
  <c r="J451" i="7" s="1"/>
  <c r="H451" i="7"/>
  <c r="G451" i="7"/>
  <c r="F451" i="7"/>
  <c r="L448" i="7"/>
  <c r="L447" i="7" s="1"/>
  <c r="J448" i="7"/>
  <c r="G448" i="7"/>
  <c r="F448" i="7"/>
  <c r="C446" i="7"/>
  <c r="E444" i="7"/>
  <c r="G444" i="7"/>
  <c r="D444" i="7"/>
  <c r="C444" i="7"/>
  <c r="AE443" i="7"/>
  <c r="AD443" i="7"/>
  <c r="G442" i="7"/>
  <c r="E442" i="7"/>
  <c r="G441" i="7"/>
  <c r="E441" i="7"/>
  <c r="L438" i="7"/>
  <c r="I438" i="7"/>
  <c r="H438" i="7"/>
  <c r="G438" i="7"/>
  <c r="L437" i="7"/>
  <c r="I437" i="7"/>
  <c r="H437" i="7"/>
  <c r="G437" i="7"/>
  <c r="L436" i="7"/>
  <c r="L435" i="7" s="1"/>
  <c r="AW443" i="7" s="1"/>
  <c r="J436" i="7"/>
  <c r="I436" i="7"/>
  <c r="H436" i="7"/>
  <c r="G436" i="7"/>
  <c r="L432" i="7"/>
  <c r="L431" i="7" s="1"/>
  <c r="AO443" i="7" s="1"/>
  <c r="L434" i="7"/>
  <c r="J434" i="7"/>
  <c r="G434" i="7"/>
  <c r="E434" i="7"/>
  <c r="L433" i="7"/>
  <c r="J433" i="7"/>
  <c r="G433" i="7"/>
  <c r="L430" i="7"/>
  <c r="L429" i="7" s="1"/>
  <c r="J430" i="7"/>
  <c r="G430" i="7"/>
  <c r="C428" i="7"/>
  <c r="E427" i="7"/>
  <c r="G427" i="7"/>
  <c r="D427" i="7"/>
  <c r="C427" i="7"/>
  <c r="L421" i="7"/>
  <c r="L420" i="7"/>
  <c r="L417" i="7"/>
  <c r="L416" i="7"/>
  <c r="L414" i="7"/>
  <c r="L407" i="7"/>
  <c r="L406" i="7"/>
  <c r="L402" i="7"/>
  <c r="AE392" i="7"/>
  <c r="AD392" i="7"/>
  <c r="G391" i="7"/>
  <c r="E391" i="7"/>
  <c r="G390" i="7"/>
  <c r="E390" i="7"/>
  <c r="BA388" i="7"/>
  <c r="AZ388" i="7"/>
  <c r="AE388" i="7"/>
  <c r="AD388" i="7"/>
  <c r="L388" i="7"/>
  <c r="AN388" i="7" s="1"/>
  <c r="H388" i="7"/>
  <c r="E388" i="7"/>
  <c r="G388" i="7"/>
  <c r="D388" i="7"/>
  <c r="C388" i="7"/>
  <c r="B388" i="7"/>
  <c r="BA387" i="7"/>
  <c r="AZ387" i="7"/>
  <c r="AE387" i="7"/>
  <c r="AD387" i="7"/>
  <c r="L387" i="7"/>
  <c r="I387" i="7"/>
  <c r="H387" i="7"/>
  <c r="J387" i="7" s="1"/>
  <c r="E387" i="7"/>
  <c r="G387" i="7"/>
  <c r="D387" i="7"/>
  <c r="C387" i="7"/>
  <c r="B387" i="7"/>
  <c r="G385" i="7"/>
  <c r="E385" i="7"/>
  <c r="D385" i="7"/>
  <c r="C385" i="7"/>
  <c r="B385" i="7"/>
  <c r="L384" i="7"/>
  <c r="J384" i="7"/>
  <c r="I384" i="7"/>
  <c r="H384" i="7"/>
  <c r="G384" i="7"/>
  <c r="L383" i="7"/>
  <c r="I383" i="7"/>
  <c r="H383" i="7"/>
  <c r="J383" i="7" s="1"/>
  <c r="G383" i="7"/>
  <c r="L382" i="7"/>
  <c r="I382" i="7"/>
  <c r="H382" i="7"/>
  <c r="G382" i="7"/>
  <c r="L378" i="7"/>
  <c r="AT392" i="7" s="1"/>
  <c r="L380" i="7"/>
  <c r="J380" i="7"/>
  <c r="E380" i="7"/>
  <c r="L379" i="7"/>
  <c r="J379" i="7"/>
  <c r="G379" i="7"/>
  <c r="L376" i="7"/>
  <c r="L375" i="7" s="1"/>
  <c r="AR392" i="7" s="1"/>
  <c r="L389" i="7" s="1"/>
  <c r="J376" i="7"/>
  <c r="G376" i="7"/>
  <c r="C374" i="7"/>
  <c r="E373" i="7"/>
  <c r="G373" i="7"/>
  <c r="G380" i="7" s="1"/>
  <c r="D373" i="7"/>
  <c r="C373" i="7"/>
  <c r="AT372" i="7"/>
  <c r="AO372" i="7"/>
  <c r="AE372" i="7"/>
  <c r="AD372" i="7"/>
  <c r="G371" i="7"/>
  <c r="F371" i="7"/>
  <c r="E371" i="7"/>
  <c r="G370" i="7"/>
  <c r="F370" i="7"/>
  <c r="E370" i="7"/>
  <c r="BK368" i="7"/>
  <c r="BA368" i="7"/>
  <c r="AZ368" i="7"/>
  <c r="AE368" i="7"/>
  <c r="AD368" i="7"/>
  <c r="L368" i="7"/>
  <c r="AW368" i="7" s="1"/>
  <c r="I368" i="7"/>
  <c r="H368" i="7"/>
  <c r="E368" i="7"/>
  <c r="G368" i="7"/>
  <c r="D368" i="7"/>
  <c r="B368" i="7"/>
  <c r="L366" i="7"/>
  <c r="I366" i="7"/>
  <c r="J366" i="7" s="1"/>
  <c r="H366" i="7"/>
  <c r="G366" i="7"/>
  <c r="L365" i="7"/>
  <c r="I365" i="7"/>
  <c r="H365" i="7"/>
  <c r="G365" i="7"/>
  <c r="L364" i="7"/>
  <c r="I364" i="7"/>
  <c r="H364" i="7"/>
  <c r="G364" i="7"/>
  <c r="L362" i="7"/>
  <c r="L361" i="7" s="1"/>
  <c r="J362" i="7"/>
  <c r="G362" i="7"/>
  <c r="F362" i="7"/>
  <c r="E359" i="7"/>
  <c r="G359" i="7"/>
  <c r="D359" i="7"/>
  <c r="C359" i="7"/>
  <c r="AW358" i="7"/>
  <c r="AT358" i="7"/>
  <c r="AO358" i="7"/>
  <c r="AE358" i="7"/>
  <c r="AD358" i="7"/>
  <c r="G357" i="7"/>
  <c r="E357" i="7"/>
  <c r="G356" i="7"/>
  <c r="E356" i="7"/>
  <c r="L353" i="7"/>
  <c r="L352" i="7" s="1"/>
  <c r="J353" i="7"/>
  <c r="G353" i="7"/>
  <c r="C351" i="7"/>
  <c r="E350" i="7"/>
  <c r="G350" i="7"/>
  <c r="D350" i="7"/>
  <c r="C350" i="7"/>
  <c r="AE349" i="7"/>
  <c r="AD349" i="7"/>
  <c r="G348" i="7"/>
  <c r="F348" i="7"/>
  <c r="E348" i="7"/>
  <c r="G347" i="7"/>
  <c r="F347" i="7"/>
  <c r="E347" i="7"/>
  <c r="AN345" i="7"/>
  <c r="BA345" i="7"/>
  <c r="AZ345" i="7"/>
  <c r="AE345" i="7"/>
  <c r="AD345" i="7"/>
  <c r="L345" i="7"/>
  <c r="AW345" i="7" s="1"/>
  <c r="I345" i="7"/>
  <c r="H345" i="7"/>
  <c r="J345" i="7" s="1"/>
  <c r="E345" i="7"/>
  <c r="G345" i="7"/>
  <c r="D345" i="7"/>
  <c r="C345" i="7"/>
  <c r="B345" i="7"/>
  <c r="G343" i="7"/>
  <c r="E343" i="7"/>
  <c r="D343" i="7"/>
  <c r="C343" i="7"/>
  <c r="B343" i="7"/>
  <c r="G342" i="7"/>
  <c r="E342" i="7"/>
  <c r="D342" i="7"/>
  <c r="C342" i="7"/>
  <c r="B342" i="7"/>
  <c r="L341" i="7"/>
  <c r="H341" i="7"/>
  <c r="G341" i="7"/>
  <c r="L340" i="7"/>
  <c r="J340" i="7"/>
  <c r="I340" i="7"/>
  <c r="H340" i="7"/>
  <c r="G340" i="7"/>
  <c r="L339" i="7"/>
  <c r="L336" i="7" s="1"/>
  <c r="AW349" i="7" s="1"/>
  <c r="I339" i="7"/>
  <c r="H339" i="7"/>
  <c r="G339" i="7"/>
  <c r="L338" i="7"/>
  <c r="I338" i="7"/>
  <c r="H338" i="7"/>
  <c r="G338" i="7"/>
  <c r="L337" i="7"/>
  <c r="I337" i="7"/>
  <c r="H337" i="7"/>
  <c r="J337" i="7" s="1"/>
  <c r="G337" i="7"/>
  <c r="L335" i="7"/>
  <c r="J335" i="7"/>
  <c r="G335" i="7"/>
  <c r="F335" i="7"/>
  <c r="L334" i="7"/>
  <c r="J334" i="7"/>
  <c r="F334" i="7"/>
  <c r="E334" i="7"/>
  <c r="L333" i="7"/>
  <c r="J333" i="7"/>
  <c r="G333" i="7"/>
  <c r="F333" i="7"/>
  <c r="L332" i="7"/>
  <c r="J332" i="7"/>
  <c r="F332" i="7"/>
  <c r="E332" i="7"/>
  <c r="L331" i="7"/>
  <c r="J331" i="7"/>
  <c r="G331" i="7"/>
  <c r="F331" i="7"/>
  <c r="L328" i="7"/>
  <c r="L327" i="7" s="1"/>
  <c r="AR349" i="7" s="1"/>
  <c r="J328" i="7"/>
  <c r="G328" i="7"/>
  <c r="F328" i="7"/>
  <c r="E325" i="7"/>
  <c r="G325" i="7"/>
  <c r="D325" i="7"/>
  <c r="C325" i="7"/>
  <c r="AE324" i="7"/>
  <c r="AD324" i="7"/>
  <c r="G323" i="7"/>
  <c r="F323" i="7"/>
  <c r="E323" i="7"/>
  <c r="G322" i="7"/>
  <c r="F322" i="7"/>
  <c r="E322" i="7"/>
  <c r="BA320" i="7"/>
  <c r="AZ320" i="7"/>
  <c r="AE320" i="7"/>
  <c r="AD320" i="7"/>
  <c r="L320" i="7"/>
  <c r="AW320" i="7" s="1"/>
  <c r="I320" i="7"/>
  <c r="H320" i="7"/>
  <c r="E320" i="7"/>
  <c r="G320" i="7"/>
  <c r="D320" i="7"/>
  <c r="C320" i="7"/>
  <c r="B320" i="7"/>
  <c r="G318" i="7"/>
  <c r="E318" i="7"/>
  <c r="D318" i="7"/>
  <c r="C318" i="7"/>
  <c r="B318" i="7"/>
  <c r="G317" i="7"/>
  <c r="E317" i="7"/>
  <c r="D317" i="7"/>
  <c r="C317" i="7"/>
  <c r="B317" i="7"/>
  <c r="L316" i="7"/>
  <c r="H316" i="7"/>
  <c r="G316" i="7"/>
  <c r="L315" i="7"/>
  <c r="I315" i="7"/>
  <c r="H315" i="7"/>
  <c r="G315" i="7"/>
  <c r="L314" i="7"/>
  <c r="I314" i="7"/>
  <c r="H314" i="7"/>
  <c r="J314" i="7" s="1"/>
  <c r="G314" i="7"/>
  <c r="L313" i="7"/>
  <c r="I313" i="7"/>
  <c r="H313" i="7"/>
  <c r="G313" i="7"/>
  <c r="L312" i="7"/>
  <c r="L311" i="7" s="1"/>
  <c r="AW324" i="7" s="1"/>
  <c r="I312" i="7"/>
  <c r="H312" i="7"/>
  <c r="J312" i="7" s="1"/>
  <c r="G312" i="7"/>
  <c r="L310" i="7"/>
  <c r="J310" i="7"/>
  <c r="G310" i="7"/>
  <c r="F310" i="7"/>
  <c r="L309" i="7"/>
  <c r="J309" i="7"/>
  <c r="F309" i="7"/>
  <c r="E309" i="7"/>
  <c r="L308" i="7"/>
  <c r="J308" i="7"/>
  <c r="G308" i="7"/>
  <c r="F308" i="7"/>
  <c r="L307" i="7"/>
  <c r="L305" i="7" s="1"/>
  <c r="AT324" i="7" s="1"/>
  <c r="J307" i="7"/>
  <c r="F307" i="7"/>
  <c r="E307" i="7"/>
  <c r="G307" i="7" s="1"/>
  <c r="L306" i="7"/>
  <c r="J306" i="7"/>
  <c r="G306" i="7"/>
  <c r="F306" i="7"/>
  <c r="L303" i="7"/>
  <c r="L302" i="7" s="1"/>
  <c r="AR324" i="7" s="1"/>
  <c r="J303" i="7"/>
  <c r="G303" i="7"/>
  <c r="F303" i="7"/>
  <c r="E300" i="7"/>
  <c r="G300" i="7"/>
  <c r="D300" i="7"/>
  <c r="C300" i="7"/>
  <c r="AW299" i="7"/>
  <c r="AT299" i="7"/>
  <c r="AO299" i="7"/>
  <c r="AE299" i="7"/>
  <c r="AD299" i="7"/>
  <c r="G298" i="7"/>
  <c r="E298" i="7"/>
  <c r="G297" i="7"/>
  <c r="E297" i="7"/>
  <c r="AN295" i="7"/>
  <c r="BA295" i="7"/>
  <c r="AZ295" i="7"/>
  <c r="AE295" i="7"/>
  <c r="AD295" i="7"/>
  <c r="L295" i="7"/>
  <c r="AW295" i="7" s="1"/>
  <c r="H295" i="7"/>
  <c r="E295" i="7"/>
  <c r="G295" i="7"/>
  <c r="D295" i="7"/>
  <c r="C295" i="7"/>
  <c r="B295" i="7"/>
  <c r="L293" i="7"/>
  <c r="L292" i="7" s="1"/>
  <c r="J293" i="7"/>
  <c r="G293" i="7"/>
  <c r="C291" i="7"/>
  <c r="E290" i="7"/>
  <c r="G290" i="7"/>
  <c r="D290" i="7"/>
  <c r="C290" i="7"/>
  <c r="AE289" i="7"/>
  <c r="AD289" i="7"/>
  <c r="G288" i="7"/>
  <c r="F288" i="7"/>
  <c r="E288" i="7"/>
  <c r="G287" i="7"/>
  <c r="F287" i="7"/>
  <c r="E287" i="7"/>
  <c r="BA285" i="7"/>
  <c r="AZ285" i="7"/>
  <c r="AE285" i="7"/>
  <c r="AD285" i="7"/>
  <c r="L285" i="7"/>
  <c r="AW285" i="7" s="1"/>
  <c r="I285" i="7"/>
  <c r="H285" i="7"/>
  <c r="J285" i="7" s="1"/>
  <c r="E285" i="7"/>
  <c r="G285" i="7"/>
  <c r="D285" i="7"/>
  <c r="C285" i="7"/>
  <c r="B285" i="7"/>
  <c r="BA284" i="7"/>
  <c r="AZ284" i="7"/>
  <c r="AE284" i="7"/>
  <c r="AD284" i="7"/>
  <c r="L284" i="7"/>
  <c r="AN284" i="7" s="1"/>
  <c r="I284" i="7"/>
  <c r="J284" i="7" s="1"/>
  <c r="H284" i="7"/>
  <c r="E284" i="7"/>
  <c r="G284" i="7"/>
  <c r="D284" i="7"/>
  <c r="C284" i="7"/>
  <c r="B284" i="7"/>
  <c r="G282" i="7"/>
  <c r="E282" i="7"/>
  <c r="D282" i="7"/>
  <c r="C282" i="7"/>
  <c r="B282" i="7"/>
  <c r="G281" i="7"/>
  <c r="E281" i="7"/>
  <c r="D281" i="7"/>
  <c r="C281" i="7"/>
  <c r="B281" i="7"/>
  <c r="L280" i="7"/>
  <c r="I280" i="7"/>
  <c r="H280" i="7"/>
  <c r="J280" i="7" s="1"/>
  <c r="G280" i="7"/>
  <c r="L279" i="7"/>
  <c r="I279" i="7"/>
  <c r="H279" i="7"/>
  <c r="G279" i="7"/>
  <c r="L278" i="7"/>
  <c r="I278" i="7"/>
  <c r="J278" i="7" s="1"/>
  <c r="H278" i="7"/>
  <c r="G278" i="7"/>
  <c r="L273" i="7"/>
  <c r="AT289" i="7" s="1"/>
  <c r="L276" i="7"/>
  <c r="J276" i="7"/>
  <c r="G276" i="7"/>
  <c r="F276" i="7"/>
  <c r="L275" i="7"/>
  <c r="J275" i="7"/>
  <c r="F275" i="7"/>
  <c r="E275" i="7"/>
  <c r="L274" i="7"/>
  <c r="J274" i="7"/>
  <c r="G274" i="7"/>
  <c r="F274" i="7"/>
  <c r="L271" i="7"/>
  <c r="L270" i="7" s="1"/>
  <c r="J271" i="7"/>
  <c r="G271" i="7"/>
  <c r="F271" i="7"/>
  <c r="E268" i="7"/>
  <c r="G268" i="7"/>
  <c r="D268" i="7"/>
  <c r="C268" i="7"/>
  <c r="AW267" i="7"/>
  <c r="AE267" i="7"/>
  <c r="AD267" i="7"/>
  <c r="G266" i="7"/>
  <c r="E266" i="7"/>
  <c r="G265" i="7"/>
  <c r="E265" i="7"/>
  <c r="AN263" i="7"/>
  <c r="BA263" i="7"/>
  <c r="AZ263" i="7"/>
  <c r="AE263" i="7"/>
  <c r="AD263" i="7"/>
  <c r="L263" i="7"/>
  <c r="AW263" i="7" s="1"/>
  <c r="H263" i="7"/>
  <c r="E263" i="7"/>
  <c r="G263" i="7"/>
  <c r="D263" i="7"/>
  <c r="C263" i="7"/>
  <c r="B263" i="7"/>
  <c r="L261" i="7"/>
  <c r="L259" i="7" s="1"/>
  <c r="J261" i="7"/>
  <c r="E261" i="7"/>
  <c r="L260" i="7"/>
  <c r="I260" i="7"/>
  <c r="H260" i="7"/>
  <c r="J260" i="7" s="1"/>
  <c r="G260" i="7"/>
  <c r="L256" i="7"/>
  <c r="AR267" i="7" s="1"/>
  <c r="L257" i="7"/>
  <c r="J257" i="7"/>
  <c r="G257" i="7"/>
  <c r="C255" i="7"/>
  <c r="E254" i="7"/>
  <c r="G254" i="7"/>
  <c r="D254" i="7"/>
  <c r="C254" i="7"/>
  <c r="AT253" i="7"/>
  <c r="AO253" i="7"/>
  <c r="AE253" i="7"/>
  <c r="AD253" i="7"/>
  <c r="G252" i="7"/>
  <c r="F252" i="7"/>
  <c r="E252" i="7"/>
  <c r="G251" i="7"/>
  <c r="F251" i="7"/>
  <c r="E251" i="7"/>
  <c r="BK249" i="7"/>
  <c r="AW249" i="7"/>
  <c r="BA249" i="7"/>
  <c r="AZ249" i="7"/>
  <c r="AE249" i="7"/>
  <c r="AD249" i="7"/>
  <c r="L249" i="7"/>
  <c r="AN249" i="7" s="1"/>
  <c r="I249" i="7"/>
  <c r="H249" i="7"/>
  <c r="J249" i="7" s="1"/>
  <c r="E249" i="7"/>
  <c r="G249" i="7"/>
  <c r="D249" i="7"/>
  <c r="B249" i="7"/>
  <c r="L247" i="7"/>
  <c r="I247" i="7"/>
  <c r="H247" i="7"/>
  <c r="J247" i="7" s="1"/>
  <c r="G247" i="7"/>
  <c r="L246" i="7"/>
  <c r="I246" i="7"/>
  <c r="H246" i="7"/>
  <c r="G246" i="7"/>
  <c r="L245" i="7"/>
  <c r="I245" i="7"/>
  <c r="J245" i="7" s="1"/>
  <c r="H245" i="7"/>
  <c r="G245" i="7"/>
  <c r="L243" i="7"/>
  <c r="L242" i="7" s="1"/>
  <c r="AR253" i="7" s="1"/>
  <c r="L250" i="7" s="1"/>
  <c r="J243" i="7"/>
  <c r="G243" i="7"/>
  <c r="F243" i="7"/>
  <c r="E240" i="7"/>
  <c r="G240" i="7"/>
  <c r="D240" i="7"/>
  <c r="C240" i="7"/>
  <c r="AW239" i="7"/>
  <c r="AT239" i="7"/>
  <c r="AO239" i="7"/>
  <c r="AE239" i="7"/>
  <c r="AD239" i="7"/>
  <c r="G238" i="7"/>
  <c r="E238" i="7"/>
  <c r="G237" i="7"/>
  <c r="E237" i="7"/>
  <c r="L233" i="7"/>
  <c r="AR239" i="7" s="1"/>
  <c r="L236" i="7" s="1"/>
  <c r="L234" i="7"/>
  <c r="J234" i="7"/>
  <c r="G234" i="7"/>
  <c r="C232" i="7"/>
  <c r="E231" i="7"/>
  <c r="G231" i="7"/>
  <c r="D231" i="7"/>
  <c r="C231" i="7"/>
  <c r="AT230" i="7"/>
  <c r="AO230" i="7"/>
  <c r="AE230" i="7"/>
  <c r="AD230" i="7"/>
  <c r="G229" i="7"/>
  <c r="F229" i="7"/>
  <c r="E229" i="7"/>
  <c r="G228" i="7"/>
  <c r="F228" i="7"/>
  <c r="E228" i="7"/>
  <c r="BA226" i="7"/>
  <c r="AZ226" i="7"/>
  <c r="AE226" i="7"/>
  <c r="AD226" i="7"/>
  <c r="L226" i="7"/>
  <c r="BK226" i="7" s="1"/>
  <c r="I226" i="7"/>
  <c r="H226" i="7"/>
  <c r="E226" i="7"/>
  <c r="G226" i="7"/>
  <c r="D226" i="7"/>
  <c r="B226" i="7"/>
  <c r="BA225" i="7"/>
  <c r="AZ225" i="7"/>
  <c r="AE225" i="7"/>
  <c r="AD225" i="7"/>
  <c r="L225" i="7"/>
  <c r="AW225" i="7" s="1"/>
  <c r="I225" i="7"/>
  <c r="H225" i="7"/>
  <c r="J225" i="7" s="1"/>
  <c r="E225" i="7"/>
  <c r="G225" i="7"/>
  <c r="D225" i="7"/>
  <c r="B225" i="7"/>
  <c r="L223" i="7"/>
  <c r="J223" i="7"/>
  <c r="I223" i="7"/>
  <c r="H223" i="7"/>
  <c r="G223" i="7"/>
  <c r="L222" i="7"/>
  <c r="I222" i="7"/>
  <c r="H222" i="7"/>
  <c r="G222" i="7"/>
  <c r="L221" i="7"/>
  <c r="I221" i="7"/>
  <c r="H221" i="7"/>
  <c r="J221" i="7" s="1"/>
  <c r="G221" i="7"/>
  <c r="L220" i="7"/>
  <c r="L219" i="7" s="1"/>
  <c r="AW230" i="7" s="1"/>
  <c r="I220" i="7"/>
  <c r="H220" i="7"/>
  <c r="J220" i="7" s="1"/>
  <c r="G220" i="7"/>
  <c r="L218" i="7"/>
  <c r="L217" i="7" s="1"/>
  <c r="AR230" i="7" s="1"/>
  <c r="L227" i="7" s="1"/>
  <c r="J218" i="7"/>
  <c r="G218" i="7"/>
  <c r="F218" i="7"/>
  <c r="E215" i="7"/>
  <c r="G215" i="7"/>
  <c r="D215" i="7"/>
  <c r="C215" i="7"/>
  <c r="AT214" i="7"/>
  <c r="AO214" i="7"/>
  <c r="AE214" i="7"/>
  <c r="AD214" i="7"/>
  <c r="G213" i="7"/>
  <c r="E213" i="7"/>
  <c r="G212" i="7"/>
  <c r="E212" i="7"/>
  <c r="L205" i="7"/>
  <c r="AW214" i="7" s="1"/>
  <c r="L209" i="7"/>
  <c r="I209" i="7"/>
  <c r="H209" i="7"/>
  <c r="J209" i="7" s="1"/>
  <c r="G209" i="7"/>
  <c r="L208" i="7"/>
  <c r="I208" i="7"/>
  <c r="H208" i="7"/>
  <c r="J208" i="7" s="1"/>
  <c r="G208" i="7"/>
  <c r="L207" i="7"/>
  <c r="I207" i="7"/>
  <c r="H207" i="7"/>
  <c r="G207" i="7"/>
  <c r="L206" i="7"/>
  <c r="I206" i="7"/>
  <c r="H206" i="7"/>
  <c r="J206" i="7" s="1"/>
  <c r="G206" i="7"/>
  <c r="L204" i="7"/>
  <c r="L203" i="7" s="1"/>
  <c r="L210" i="7" s="1"/>
  <c r="J204" i="7"/>
  <c r="G204" i="7"/>
  <c r="C202" i="7"/>
  <c r="E201" i="7"/>
  <c r="G201" i="7"/>
  <c r="D201" i="7"/>
  <c r="C201" i="7"/>
  <c r="L195" i="7"/>
  <c r="L194" i="7"/>
  <c r="L191" i="7"/>
  <c r="L190" i="7"/>
  <c r="L188" i="7"/>
  <c r="L187" i="7"/>
  <c r="L185" i="7" s="1"/>
  <c r="L181" i="7"/>
  <c r="L180" i="7"/>
  <c r="L176" i="7"/>
  <c r="AE166" i="7"/>
  <c r="AD166" i="7"/>
  <c r="G165" i="7"/>
  <c r="F165" i="7"/>
  <c r="E165" i="7"/>
  <c r="G164" i="7"/>
  <c r="F164" i="7"/>
  <c r="E164" i="7"/>
  <c r="L161" i="7"/>
  <c r="I161" i="7"/>
  <c r="H161" i="7"/>
  <c r="J161" i="7" s="1"/>
  <c r="G161" i="7"/>
  <c r="L160" i="7"/>
  <c r="I160" i="7"/>
  <c r="H160" i="7"/>
  <c r="J160" i="7" s="1"/>
  <c r="G160" i="7"/>
  <c r="L159" i="7"/>
  <c r="I159" i="7"/>
  <c r="H159" i="7"/>
  <c r="J159" i="7" s="1"/>
  <c r="G159" i="7"/>
  <c r="L158" i="7"/>
  <c r="L157" i="7" s="1"/>
  <c r="AW166" i="7" s="1"/>
  <c r="I158" i="7"/>
  <c r="H158" i="7"/>
  <c r="G158" i="7"/>
  <c r="L155" i="7"/>
  <c r="AT166" i="7" s="1"/>
  <c r="L156" i="7"/>
  <c r="I156" i="7"/>
  <c r="H156" i="7"/>
  <c r="G156" i="7"/>
  <c r="F156" i="7"/>
  <c r="L153" i="7"/>
  <c r="L152" i="7" s="1"/>
  <c r="J153" i="7"/>
  <c r="G153" i="7"/>
  <c r="F153" i="7"/>
  <c r="C151" i="7"/>
  <c r="E149" i="7"/>
  <c r="G149" i="7"/>
  <c r="D149" i="7"/>
  <c r="C149" i="7"/>
  <c r="AE148" i="7"/>
  <c r="AD148" i="7"/>
  <c r="G147" i="7"/>
  <c r="E147" i="7"/>
  <c r="G146" i="7"/>
  <c r="E146" i="7"/>
  <c r="AN144" i="7"/>
  <c r="BA144" i="7"/>
  <c r="AZ144" i="7"/>
  <c r="AE144" i="7"/>
  <c r="AD144" i="7"/>
  <c r="L144" i="7"/>
  <c r="AW144" i="7" s="1"/>
  <c r="I144" i="7"/>
  <c r="H144" i="7"/>
  <c r="J144" i="7" s="1"/>
  <c r="E144" i="7"/>
  <c r="G144" i="7"/>
  <c r="D144" i="7"/>
  <c r="C144" i="7"/>
  <c r="B144" i="7"/>
  <c r="BA143" i="7"/>
  <c r="AZ143" i="7"/>
  <c r="AE143" i="7"/>
  <c r="AD143" i="7"/>
  <c r="E143" i="7"/>
  <c r="G143" i="7"/>
  <c r="D143" i="7"/>
  <c r="C143" i="7"/>
  <c r="B143" i="7"/>
  <c r="L141" i="7"/>
  <c r="I141" i="7"/>
  <c r="H141" i="7"/>
  <c r="G141" i="7"/>
  <c r="L140" i="7"/>
  <c r="I140" i="7"/>
  <c r="H140" i="7"/>
  <c r="J140" i="7" s="1"/>
  <c r="G140" i="7"/>
  <c r="L139" i="7"/>
  <c r="I139" i="7"/>
  <c r="H139" i="7"/>
  <c r="J139" i="7" s="1"/>
  <c r="G139" i="7"/>
  <c r="L138" i="7"/>
  <c r="L137" i="7" s="1"/>
  <c r="AW148" i="7" s="1"/>
  <c r="I138" i="7"/>
  <c r="H138" i="7"/>
  <c r="J138" i="7" s="1"/>
  <c r="G138" i="7"/>
  <c r="L135" i="7"/>
  <c r="AT148" i="7" s="1"/>
  <c r="L134" i="7"/>
  <c r="AO148" i="7" s="1"/>
  <c r="L136" i="7"/>
  <c r="J136" i="7"/>
  <c r="G136" i="7"/>
  <c r="L132" i="7"/>
  <c r="L133" i="7"/>
  <c r="J133" i="7"/>
  <c r="G133" i="7"/>
  <c r="E131" i="7"/>
  <c r="G131" i="7"/>
  <c r="D131" i="7"/>
  <c r="C131" i="7"/>
  <c r="AE130" i="7"/>
  <c r="AD130" i="7"/>
  <c r="G129" i="7"/>
  <c r="E129" i="7"/>
  <c r="G128" i="7"/>
  <c r="E128" i="7"/>
  <c r="BA126" i="7"/>
  <c r="AZ126" i="7"/>
  <c r="AE126" i="7"/>
  <c r="AD126" i="7"/>
  <c r="E126" i="7"/>
  <c r="G126" i="7"/>
  <c r="D126" i="7"/>
  <c r="C126" i="7"/>
  <c r="B126" i="7"/>
  <c r="L124" i="7"/>
  <c r="I124" i="7"/>
  <c r="H124" i="7"/>
  <c r="J124" i="7" s="1"/>
  <c r="G124" i="7"/>
  <c r="F124" i="7"/>
  <c r="L123" i="7"/>
  <c r="J123" i="7"/>
  <c r="I123" i="7"/>
  <c r="H123" i="7"/>
  <c r="G123" i="7"/>
  <c r="F123" i="7"/>
  <c r="L122" i="7"/>
  <c r="I122" i="7"/>
  <c r="H122" i="7"/>
  <c r="J122" i="7" s="1"/>
  <c r="G122" i="7"/>
  <c r="F122" i="7"/>
  <c r="L121" i="7"/>
  <c r="L120" i="7" s="1"/>
  <c r="AW130" i="7" s="1"/>
  <c r="I121" i="7"/>
  <c r="J121" i="7" s="1"/>
  <c r="H121" i="7"/>
  <c r="G121" i="7"/>
  <c r="F121" i="7"/>
  <c r="L118" i="7"/>
  <c r="AT130" i="7" s="1"/>
  <c r="L119" i="7"/>
  <c r="J119" i="7"/>
  <c r="G119" i="7"/>
  <c r="F119" i="7"/>
  <c r="L116" i="7"/>
  <c r="L115" i="7" s="1"/>
  <c r="J116" i="7"/>
  <c r="G116" i="7"/>
  <c r="F116" i="7"/>
  <c r="E113" i="7"/>
  <c r="G113" i="7"/>
  <c r="D113" i="7"/>
  <c r="C113" i="7"/>
  <c r="AE112" i="7"/>
  <c r="AD112" i="7"/>
  <c r="G111" i="7"/>
  <c r="F111" i="7"/>
  <c r="E111" i="7"/>
  <c r="G110" i="7"/>
  <c r="F110" i="7"/>
  <c r="E110" i="7"/>
  <c r="BA108" i="7"/>
  <c r="AZ108" i="7"/>
  <c r="AE108" i="7"/>
  <c r="AD108" i="7"/>
  <c r="L108" i="7"/>
  <c r="I108" i="7"/>
  <c r="H108" i="7"/>
  <c r="J108" i="7" s="1"/>
  <c r="E108" i="7"/>
  <c r="G108" i="7"/>
  <c r="D108" i="7"/>
  <c r="C108" i="7"/>
  <c r="B108" i="7"/>
  <c r="BA107" i="7"/>
  <c r="AZ107" i="7"/>
  <c r="AE107" i="7"/>
  <c r="AD107" i="7"/>
  <c r="L107" i="7"/>
  <c r="AW107" i="7" s="1"/>
  <c r="J107" i="7"/>
  <c r="E107" i="7"/>
  <c r="G107" i="7"/>
  <c r="D107" i="7"/>
  <c r="C107" i="7"/>
  <c r="B107" i="7"/>
  <c r="G105" i="7"/>
  <c r="E105" i="7"/>
  <c r="D105" i="7"/>
  <c r="C105" i="7"/>
  <c r="B105" i="7"/>
  <c r="G104" i="7"/>
  <c r="E104" i="7"/>
  <c r="D104" i="7"/>
  <c r="C104" i="7"/>
  <c r="B104" i="7"/>
  <c r="L103" i="7"/>
  <c r="I103" i="7"/>
  <c r="H103" i="7"/>
  <c r="G103" i="7"/>
  <c r="L102" i="7"/>
  <c r="I102" i="7"/>
  <c r="H102" i="7"/>
  <c r="J102" i="7" s="1"/>
  <c r="G102" i="7"/>
  <c r="L101" i="7"/>
  <c r="I101" i="7"/>
  <c r="H101" i="7"/>
  <c r="J101" i="7" s="1"/>
  <c r="G101" i="7"/>
  <c r="L99" i="7"/>
  <c r="J99" i="7"/>
  <c r="G99" i="7"/>
  <c r="F99" i="7"/>
  <c r="L98" i="7"/>
  <c r="J98" i="7"/>
  <c r="F98" i="7"/>
  <c r="E98" i="7"/>
  <c r="L97" i="7"/>
  <c r="J97" i="7"/>
  <c r="G97" i="7"/>
  <c r="F97" i="7"/>
  <c r="L96" i="7"/>
  <c r="J96" i="7"/>
  <c r="F96" i="7"/>
  <c r="G96" i="7" s="1"/>
  <c r="E96" i="7"/>
  <c r="L95" i="7"/>
  <c r="J95" i="7"/>
  <c r="G95" i="7"/>
  <c r="F95" i="7"/>
  <c r="L94" i="7"/>
  <c r="L92" i="7" s="1"/>
  <c r="J94" i="7"/>
  <c r="G94" i="7"/>
  <c r="F94" i="7"/>
  <c r="E94" i="7"/>
  <c r="L93" i="7"/>
  <c r="J93" i="7"/>
  <c r="G93" i="7"/>
  <c r="F93" i="7"/>
  <c r="L90" i="7"/>
  <c r="L89" i="7" s="1"/>
  <c r="J90" i="7"/>
  <c r="G90" i="7"/>
  <c r="F90" i="7"/>
  <c r="E87" i="7"/>
  <c r="G87" i="7"/>
  <c r="D87" i="7"/>
  <c r="C87" i="7"/>
  <c r="AW86" i="7"/>
  <c r="AE86" i="7"/>
  <c r="AD86" i="7"/>
  <c r="G85" i="7"/>
  <c r="E85" i="7"/>
  <c r="G84" i="7"/>
  <c r="E84" i="7"/>
  <c r="BA82" i="7"/>
  <c r="AZ82" i="7"/>
  <c r="AE82" i="7"/>
  <c r="AD82" i="7"/>
  <c r="L82" i="7"/>
  <c r="AW82" i="7" s="1"/>
  <c r="H82" i="7"/>
  <c r="E82" i="7"/>
  <c r="G82" i="7"/>
  <c r="D82" i="7"/>
  <c r="C82" i="7"/>
  <c r="B82" i="7"/>
  <c r="L80" i="7"/>
  <c r="L78" i="7" s="1"/>
  <c r="J80" i="7"/>
  <c r="E80" i="7"/>
  <c r="L79" i="7"/>
  <c r="I79" i="7"/>
  <c r="H79" i="7"/>
  <c r="J79" i="7" s="1"/>
  <c r="G79" i="7"/>
  <c r="L76" i="7"/>
  <c r="L75" i="7" s="1"/>
  <c r="J76" i="7"/>
  <c r="G76" i="7"/>
  <c r="C74" i="7"/>
  <c r="E73" i="7"/>
  <c r="G73" i="7"/>
  <c r="G80" i="7" s="1"/>
  <c r="D73" i="7"/>
  <c r="C73" i="7"/>
  <c r="AE72" i="7"/>
  <c r="AD72" i="7"/>
  <c r="G71" i="7"/>
  <c r="E71" i="7"/>
  <c r="G70" i="7"/>
  <c r="E70" i="7"/>
  <c r="BA68" i="7"/>
  <c r="AZ68" i="7"/>
  <c r="AE68" i="7"/>
  <c r="AD68" i="7"/>
  <c r="L68" i="7"/>
  <c r="AW68" i="7" s="1"/>
  <c r="H68" i="7"/>
  <c r="E68" i="7"/>
  <c r="G68" i="7"/>
  <c r="D68" i="7"/>
  <c r="C68" i="7"/>
  <c r="B68" i="7"/>
  <c r="BA67" i="7"/>
  <c r="AZ67" i="7"/>
  <c r="AE67" i="7"/>
  <c r="AD67" i="7"/>
  <c r="L67" i="7"/>
  <c r="I67" i="7"/>
  <c r="H67" i="7"/>
  <c r="E67" i="7"/>
  <c r="G67" i="7"/>
  <c r="D67" i="7"/>
  <c r="C67" i="7"/>
  <c r="B67" i="7"/>
  <c r="G65" i="7"/>
  <c r="E65" i="7"/>
  <c r="D65" i="7"/>
  <c r="C65" i="7"/>
  <c r="B65" i="7"/>
  <c r="L64" i="7"/>
  <c r="I64" i="7"/>
  <c r="H64" i="7"/>
  <c r="J64" i="7" s="1"/>
  <c r="G64" i="7"/>
  <c r="L63" i="7"/>
  <c r="I63" i="7"/>
  <c r="H63" i="7"/>
  <c r="J63" i="7" s="1"/>
  <c r="G63" i="7"/>
  <c r="L59" i="7"/>
  <c r="AT72" i="7" s="1"/>
  <c r="L61" i="7"/>
  <c r="J61" i="7"/>
  <c r="E61" i="7"/>
  <c r="L60" i="7"/>
  <c r="J60" i="7"/>
  <c r="G60" i="7"/>
  <c r="L57" i="7"/>
  <c r="L56" i="7" s="1"/>
  <c r="AR72" i="7" s="1"/>
  <c r="J57" i="7"/>
  <c r="G57" i="7"/>
  <c r="C55" i="7"/>
  <c r="E54" i="7"/>
  <c r="G54" i="7"/>
  <c r="D54" i="7"/>
  <c r="C54" i="7"/>
  <c r="CN27" i="7"/>
  <c r="A25" i="7"/>
  <c r="CN22" i="7"/>
  <c r="A22" i="7"/>
  <c r="A27" i="7" s="1"/>
  <c r="F16" i="7"/>
  <c r="F14" i="7"/>
  <c r="CO6" i="7"/>
  <c r="F6" i="7"/>
  <c r="CO4" i="7"/>
  <c r="F4" i="7"/>
  <c r="A1" i="7"/>
  <c r="L820" i="7" l="1"/>
  <c r="AW727" i="7"/>
  <c r="L744" i="7" s="1"/>
  <c r="L742" i="7" s="1"/>
  <c r="L723" i="7"/>
  <c r="J158" i="7"/>
  <c r="AN225" i="7"/>
  <c r="G261" i="7"/>
  <c r="G275" i="7"/>
  <c r="AN285" i="7"/>
  <c r="AN320" i="7"/>
  <c r="L363" i="7"/>
  <c r="AW372" i="7" s="1"/>
  <c r="G503" i="7"/>
  <c r="AN519" i="7"/>
  <c r="G560" i="7"/>
  <c r="AT571" i="7"/>
  <c r="AR632" i="7"/>
  <c r="L629" i="7" s="1"/>
  <c r="G582" i="7"/>
  <c r="AN68" i="7"/>
  <c r="L58" i="7"/>
  <c r="AO72" i="7" s="1"/>
  <c r="AN82" i="7"/>
  <c r="AN107" i="7"/>
  <c r="L117" i="7"/>
  <c r="AO130" i="7" s="1"/>
  <c r="J141" i="7"/>
  <c r="J207" i="7"/>
  <c r="BK225" i="7"/>
  <c r="L244" i="7"/>
  <c r="AW253" i="7" s="1"/>
  <c r="L277" i="7"/>
  <c r="AW289" i="7" s="1"/>
  <c r="J313" i="7"/>
  <c r="L330" i="7"/>
  <c r="AT349" i="7" s="1"/>
  <c r="L346" i="7" s="1"/>
  <c r="J338" i="7"/>
  <c r="J339" i="7"/>
  <c r="AN368" i="7"/>
  <c r="L377" i="7"/>
  <c r="AO392" i="7" s="1"/>
  <c r="AN489" i="7"/>
  <c r="L62" i="7"/>
  <c r="AW72" i="7" s="1"/>
  <c r="G61" i="7"/>
  <c r="J67" i="7"/>
  <c r="G98" i="7"/>
  <c r="L100" i="7"/>
  <c r="AW112" i="7" s="1"/>
  <c r="J103" i="7"/>
  <c r="J156" i="7"/>
  <c r="J222" i="7"/>
  <c r="J226" i="7"/>
  <c r="AW284" i="7"/>
  <c r="G334" i="7"/>
  <c r="J364" i="7"/>
  <c r="J365" i="7"/>
  <c r="J368" i="7"/>
  <c r="AW388" i="7"/>
  <c r="J438" i="7"/>
  <c r="L467" i="7"/>
  <c r="AO479" i="7" s="1"/>
  <c r="J471" i="7"/>
  <c r="J489" i="7"/>
  <c r="L499" i="7"/>
  <c r="AT523" i="7" s="1"/>
  <c r="J563" i="7"/>
  <c r="G641" i="7"/>
  <c r="J648" i="7"/>
  <c r="I731" i="7"/>
  <c r="L69" i="7"/>
  <c r="AT267" i="7"/>
  <c r="L264" i="7" s="1"/>
  <c r="L258" i="7"/>
  <c r="L262" i="7" s="1"/>
  <c r="AT112" i="7"/>
  <c r="L91" i="7"/>
  <c r="AO112" i="7" s="1"/>
  <c r="AW108" i="7"/>
  <c r="AN108" i="7"/>
  <c r="AR299" i="7"/>
  <c r="L296" i="7" s="1"/>
  <c r="L294" i="7"/>
  <c r="L321" i="7"/>
  <c r="AR358" i="7"/>
  <c r="L355" i="7" s="1"/>
  <c r="L354" i="7"/>
  <c r="AR112" i="7"/>
  <c r="L109" i="7" s="1"/>
  <c r="L175" i="7"/>
  <c r="AT86" i="7"/>
  <c r="L77" i="7"/>
  <c r="AW67" i="7"/>
  <c r="AN67" i="7"/>
  <c r="AR86" i="7"/>
  <c r="L83" i="7" s="1"/>
  <c r="AR130" i="7"/>
  <c r="L125" i="7"/>
  <c r="AR148" i="7"/>
  <c r="L145" i="7" s="1"/>
  <c r="L142" i="7"/>
  <c r="L329" i="7"/>
  <c r="AR479" i="7"/>
  <c r="L476" i="7" s="1"/>
  <c r="AR623" i="7"/>
  <c r="L620" i="7" s="1"/>
  <c r="AR214" i="7"/>
  <c r="L859" i="7"/>
  <c r="L857" i="7" s="1"/>
  <c r="L809" i="7"/>
  <c r="L807" i="7" s="1"/>
  <c r="L413" i="7"/>
  <c r="L411" i="7" s="1"/>
  <c r="AN226" i="7"/>
  <c r="J315" i="7"/>
  <c r="L381" i="7"/>
  <c r="AW387" i="7"/>
  <c r="AN387" i="7"/>
  <c r="AR443" i="7"/>
  <c r="L439" i="7"/>
  <c r="J437" i="7"/>
  <c r="J513" i="7"/>
  <c r="J530" i="7"/>
  <c r="AT681" i="7"/>
  <c r="L678" i="7" s="1"/>
  <c r="L662" i="7"/>
  <c r="AO681" i="7" s="1"/>
  <c r="J722" i="7"/>
  <c r="BB729" i="7"/>
  <c r="AN729" i="7"/>
  <c r="K729" i="7"/>
  <c r="I729" i="7" s="1"/>
  <c r="L248" i="7"/>
  <c r="G332" i="7"/>
  <c r="AR166" i="7"/>
  <c r="L163" i="7" s="1"/>
  <c r="AW226" i="7"/>
  <c r="L272" i="7"/>
  <c r="AO289" i="7" s="1"/>
  <c r="G309" i="7"/>
  <c r="L304" i="7"/>
  <c r="AO324" i="7" s="1"/>
  <c r="L367" i="7"/>
  <c r="AR372" i="7"/>
  <c r="L369" i="7" s="1"/>
  <c r="L488" i="7"/>
  <c r="AR493" i="7"/>
  <c r="L490" i="7" s="1"/>
  <c r="L498" i="7"/>
  <c r="AT592" i="7"/>
  <c r="L577" i="7"/>
  <c r="AO592" i="7" s="1"/>
  <c r="AR289" i="7"/>
  <c r="L286" i="7" s="1"/>
  <c r="L812" i="7"/>
  <c r="L861" i="7" s="1"/>
  <c r="L818" i="7"/>
  <c r="L154" i="7"/>
  <c r="AO166" i="7" s="1"/>
  <c r="L224" i="7"/>
  <c r="L235" i="7"/>
  <c r="J246" i="7"/>
  <c r="J279" i="7"/>
  <c r="J320" i="7"/>
  <c r="J382" i="7"/>
  <c r="AT443" i="7"/>
  <c r="AR461" i="7"/>
  <c r="AT461" i="7"/>
  <c r="L449" i="7"/>
  <c r="AO461" i="7" s="1"/>
  <c r="J455" i="7"/>
  <c r="L470" i="7"/>
  <c r="AW479" i="7" s="1"/>
  <c r="J474" i="7"/>
  <c r="AR601" i="7"/>
  <c r="L598" i="7" s="1"/>
  <c r="L597" i="7"/>
  <c r="J682" i="7"/>
  <c r="AR523" i="7"/>
  <c r="AW518" i="7"/>
  <c r="AN518" i="7"/>
  <c r="L528" i="7"/>
  <c r="AO550" i="7" s="1"/>
  <c r="AT550" i="7"/>
  <c r="AR550" i="7"/>
  <c r="AR571" i="7"/>
  <c r="L568" i="7" s="1"/>
  <c r="L567" i="7"/>
  <c r="AW588" i="7"/>
  <c r="AN588" i="7"/>
  <c r="L606" i="7"/>
  <c r="AO623" i="7" s="1"/>
  <c r="AR727" i="7"/>
  <c r="L506" i="7"/>
  <c r="AW523" i="7" s="1"/>
  <c r="J534" i="7"/>
  <c r="L536" i="7"/>
  <c r="AW550" i="7" s="1"/>
  <c r="J566" i="7"/>
  <c r="L583" i="7"/>
  <c r="AW592" i="7" s="1"/>
  <c r="AR657" i="7"/>
  <c r="AT657" i="7"/>
  <c r="L638" i="7"/>
  <c r="L652" i="7" s="1"/>
  <c r="L676" i="7"/>
  <c r="AW489" i="7"/>
  <c r="AR592" i="7"/>
  <c r="L589" i="7" s="1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1" i="3"/>
  <c r="Y1" i="3"/>
  <c r="CY1" i="3"/>
  <c r="CZ1" i="3"/>
  <c r="DA1" i="3"/>
  <c r="DB1" i="3"/>
  <c r="DC1" i="3"/>
  <c r="A2" i="3"/>
  <c r="Y2" i="3"/>
  <c r="CY2" i="3"/>
  <c r="CZ2" i="3"/>
  <c r="DA2" i="3"/>
  <c r="DB2" i="3"/>
  <c r="DC2" i="3"/>
  <c r="A3" i="3"/>
  <c r="Y3" i="3"/>
  <c r="CY3" i="3"/>
  <c r="CZ3" i="3"/>
  <c r="DB3" i="3" s="1"/>
  <c r="DA3" i="3"/>
  <c r="DC3" i="3"/>
  <c r="A4" i="3"/>
  <c r="Y4" i="3"/>
  <c r="CY4" i="3"/>
  <c r="CZ4" i="3"/>
  <c r="DA4" i="3"/>
  <c r="DB4" i="3"/>
  <c r="DC4" i="3"/>
  <c r="A5" i="3"/>
  <c r="Y5" i="3"/>
  <c r="CY5" i="3"/>
  <c r="CZ5" i="3"/>
  <c r="DA5" i="3"/>
  <c r="DB5" i="3"/>
  <c r="DC5" i="3"/>
  <c r="A6" i="3"/>
  <c r="Y6" i="3"/>
  <c r="CY6" i="3"/>
  <c r="CZ6" i="3"/>
  <c r="DB6" i="3" s="1"/>
  <c r="DA6" i="3"/>
  <c r="DC6" i="3"/>
  <c r="A7" i="3"/>
  <c r="Y7" i="3"/>
  <c r="CY7" i="3"/>
  <c r="CZ7" i="3"/>
  <c r="DB7" i="3" s="1"/>
  <c r="DA7" i="3"/>
  <c r="DC7" i="3"/>
  <c r="A8" i="3"/>
  <c r="Y8" i="3"/>
  <c r="CY8" i="3"/>
  <c r="CZ8" i="3"/>
  <c r="DB8" i="3" s="1"/>
  <c r="DA8" i="3"/>
  <c r="DC8" i="3"/>
  <c r="A9" i="3"/>
  <c r="Y9" i="3"/>
  <c r="CY9" i="3"/>
  <c r="CZ9" i="3"/>
  <c r="DB9" i="3" s="1"/>
  <c r="DA9" i="3"/>
  <c r="DC9" i="3"/>
  <c r="A10" i="3"/>
  <c r="Y10" i="3"/>
  <c r="CY10" i="3"/>
  <c r="CZ10" i="3"/>
  <c r="DA10" i="3"/>
  <c r="DB10" i="3"/>
  <c r="DC10" i="3"/>
  <c r="A11" i="3"/>
  <c r="Y11" i="3"/>
  <c r="CY11" i="3"/>
  <c r="CZ11" i="3"/>
  <c r="DB11" i="3" s="1"/>
  <c r="DA11" i="3"/>
  <c r="DC11" i="3"/>
  <c r="A12" i="3"/>
  <c r="Y12" i="3"/>
  <c r="CU12" i="3"/>
  <c r="CV12" i="3"/>
  <c r="CX12" i="3"/>
  <c r="DH12" i="3" s="1"/>
  <c r="CY12" i="3"/>
  <c r="CZ12" i="3"/>
  <c r="DA12" i="3"/>
  <c r="DB12" i="3"/>
  <c r="DC12" i="3"/>
  <c r="A13" i="3"/>
  <c r="Y13" i="3"/>
  <c r="CX13" i="3" s="1"/>
  <c r="DG13" i="3" s="1"/>
  <c r="CY13" i="3"/>
  <c r="CZ13" i="3"/>
  <c r="DB13" i="3" s="1"/>
  <c r="DA13" i="3"/>
  <c r="DC13" i="3"/>
  <c r="A14" i="3"/>
  <c r="Y14" i="3"/>
  <c r="CW14" i="3" s="1"/>
  <c r="CX14" i="3"/>
  <c r="DF14" i="3" s="1"/>
  <c r="CY14" i="3"/>
  <c r="CZ14" i="3"/>
  <c r="DA14" i="3"/>
  <c r="DB14" i="3"/>
  <c r="DC14" i="3"/>
  <c r="DH14" i="3"/>
  <c r="DI14" i="3"/>
  <c r="A15" i="3"/>
  <c r="Y15" i="3"/>
  <c r="CX15" i="3" s="1"/>
  <c r="CW15" i="3"/>
  <c r="CY15" i="3"/>
  <c r="CZ15" i="3"/>
  <c r="DB15" i="3" s="1"/>
  <c r="DA15" i="3"/>
  <c r="DC15" i="3"/>
  <c r="DG15" i="3"/>
  <c r="A16" i="3"/>
  <c r="Y16" i="3"/>
  <c r="CW16" i="3" s="1"/>
  <c r="CX16" i="3"/>
  <c r="DF16" i="3" s="1"/>
  <c r="CY16" i="3"/>
  <c r="CZ16" i="3"/>
  <c r="DA16" i="3"/>
  <c r="DB16" i="3"/>
  <c r="DC16" i="3"/>
  <c r="DH16" i="3"/>
  <c r="DI16" i="3"/>
  <c r="A17" i="3"/>
  <c r="Y17" i="3"/>
  <c r="CX17" i="3" s="1"/>
  <c r="CW17" i="3"/>
  <c r="CY17" i="3"/>
  <c r="CZ17" i="3"/>
  <c r="DB17" i="3" s="1"/>
  <c r="DA17" i="3"/>
  <c r="DC17" i="3"/>
  <c r="A18" i="3"/>
  <c r="Y18" i="3"/>
  <c r="CX18" i="3"/>
  <c r="DG18" i="3" s="1"/>
  <c r="CY18" i="3"/>
  <c r="CZ18" i="3"/>
  <c r="DB18" i="3" s="1"/>
  <c r="DA18" i="3"/>
  <c r="DC18" i="3"/>
  <c r="DF18" i="3"/>
  <c r="DH18" i="3"/>
  <c r="DI18" i="3"/>
  <c r="DJ18" i="3"/>
  <c r="A19" i="3"/>
  <c r="Y19" i="3"/>
  <c r="CX19" i="3"/>
  <c r="DF19" i="3" s="1"/>
  <c r="DJ19" i="3" s="1"/>
  <c r="CY19" i="3"/>
  <c r="CZ19" i="3"/>
  <c r="DA19" i="3"/>
  <c r="DB19" i="3"/>
  <c r="DC19" i="3"/>
  <c r="DH19" i="3"/>
  <c r="DI19" i="3"/>
  <c r="A20" i="3"/>
  <c r="Y20" i="3"/>
  <c r="CX20" i="3"/>
  <c r="CY20" i="3"/>
  <c r="CZ20" i="3"/>
  <c r="DA20" i="3"/>
  <c r="DB20" i="3"/>
  <c r="DC20" i="3"/>
  <c r="DH20" i="3"/>
  <c r="A21" i="3"/>
  <c r="Y21" i="3"/>
  <c r="CX21" i="3" s="1"/>
  <c r="DG21" i="3" s="1"/>
  <c r="CY21" i="3"/>
  <c r="CZ21" i="3"/>
  <c r="DB21" i="3" s="1"/>
  <c r="DA21" i="3"/>
  <c r="DC21" i="3"/>
  <c r="A22" i="3"/>
  <c r="Y22" i="3"/>
  <c r="CX22" i="3"/>
  <c r="DG22" i="3" s="1"/>
  <c r="CY22" i="3"/>
  <c r="CZ22" i="3"/>
  <c r="DB22" i="3" s="1"/>
  <c r="DA22" i="3"/>
  <c r="DC22" i="3"/>
  <c r="DF22" i="3"/>
  <c r="DJ22" i="3" s="1"/>
  <c r="DH22" i="3"/>
  <c r="DI22" i="3"/>
  <c r="A23" i="3"/>
  <c r="Y23" i="3"/>
  <c r="CX23" i="3" s="1"/>
  <c r="CU23" i="3"/>
  <c r="CV23" i="3"/>
  <c r="CY23" i="3"/>
  <c r="CZ23" i="3"/>
  <c r="DB23" i="3" s="1"/>
  <c r="DA23" i="3"/>
  <c r="DC23" i="3"/>
  <c r="DF23" i="3"/>
  <c r="DG23" i="3"/>
  <c r="A24" i="3"/>
  <c r="Y24" i="3"/>
  <c r="CW24" i="3"/>
  <c r="CX24" i="3"/>
  <c r="CY24" i="3"/>
  <c r="CZ24" i="3"/>
  <c r="DA24" i="3"/>
  <c r="DB24" i="3"/>
  <c r="DC24" i="3"/>
  <c r="DH24" i="3"/>
  <c r="DI24" i="3"/>
  <c r="A25" i="3"/>
  <c r="Y25" i="3"/>
  <c r="CX25" i="3"/>
  <c r="CY25" i="3"/>
  <c r="CZ25" i="3"/>
  <c r="DA25" i="3"/>
  <c r="DB25" i="3"/>
  <c r="DC25" i="3"/>
  <c r="A26" i="3"/>
  <c r="Y26" i="3"/>
  <c r="CX26" i="3" s="1"/>
  <c r="DF26" i="3" s="1"/>
  <c r="CY26" i="3"/>
  <c r="CZ26" i="3"/>
  <c r="DB26" i="3" s="1"/>
  <c r="DA26" i="3"/>
  <c r="DC26" i="3"/>
  <c r="DJ26" i="3"/>
  <c r="A27" i="3"/>
  <c r="Y27" i="3"/>
  <c r="CX27" i="3"/>
  <c r="DG27" i="3" s="1"/>
  <c r="CY27" i="3"/>
  <c r="CZ27" i="3"/>
  <c r="DB27" i="3" s="1"/>
  <c r="DA27" i="3"/>
  <c r="DC27" i="3"/>
  <c r="DF27" i="3"/>
  <c r="DJ27" i="3" s="1"/>
  <c r="DH27" i="3"/>
  <c r="DI27" i="3"/>
  <c r="A28" i="3"/>
  <c r="Y28" i="3"/>
  <c r="CX28" i="3"/>
  <c r="CY28" i="3"/>
  <c r="CZ28" i="3"/>
  <c r="DA28" i="3"/>
  <c r="DB28" i="3"/>
  <c r="DC28" i="3"/>
  <c r="DH28" i="3"/>
  <c r="DI28" i="3"/>
  <c r="A29" i="3"/>
  <c r="Y29" i="3"/>
  <c r="CX29" i="3"/>
  <c r="CY29" i="3"/>
  <c r="CZ29" i="3"/>
  <c r="DA29" i="3"/>
  <c r="DB29" i="3"/>
  <c r="DC29" i="3"/>
  <c r="A30" i="3"/>
  <c r="Y30" i="3"/>
  <c r="CV30" i="3" s="1"/>
  <c r="CU30" i="3"/>
  <c r="CY30" i="3"/>
  <c r="CZ30" i="3"/>
  <c r="DA30" i="3"/>
  <c r="DB30" i="3"/>
  <c r="DC30" i="3"/>
  <c r="A31" i="3"/>
  <c r="Y31" i="3"/>
  <c r="CY31" i="3"/>
  <c r="CZ31" i="3"/>
  <c r="DB31" i="3" s="1"/>
  <c r="DA31" i="3"/>
  <c r="DC31" i="3"/>
  <c r="A32" i="3"/>
  <c r="Y32" i="3"/>
  <c r="CX32" i="3"/>
  <c r="DG32" i="3" s="1"/>
  <c r="CY32" i="3"/>
  <c r="CZ32" i="3"/>
  <c r="DB32" i="3" s="1"/>
  <c r="DA32" i="3"/>
  <c r="DC32" i="3"/>
  <c r="DF32" i="3"/>
  <c r="DJ32" i="3" s="1"/>
  <c r="DH32" i="3"/>
  <c r="DI32" i="3"/>
  <c r="A33" i="3"/>
  <c r="Y33" i="3"/>
  <c r="CX33" i="3"/>
  <c r="CY33" i="3"/>
  <c r="CZ33" i="3"/>
  <c r="DA33" i="3"/>
  <c r="DB33" i="3"/>
  <c r="DC33" i="3"/>
  <c r="DH33" i="3"/>
  <c r="DI33" i="3"/>
  <c r="A34" i="3"/>
  <c r="Y34" i="3"/>
  <c r="CX34" i="3"/>
  <c r="CY34" i="3"/>
  <c r="CZ34" i="3"/>
  <c r="DA34" i="3"/>
  <c r="DB34" i="3"/>
  <c r="DC34" i="3"/>
  <c r="A35" i="3"/>
  <c r="Y35" i="3"/>
  <c r="CX35" i="3" s="1"/>
  <c r="DF35" i="3" s="1"/>
  <c r="CY35" i="3"/>
  <c r="CZ35" i="3"/>
  <c r="DB35" i="3" s="1"/>
  <c r="DA35" i="3"/>
  <c r="DC35" i="3"/>
  <c r="DJ35" i="3"/>
  <c r="A36" i="3"/>
  <c r="Y36" i="3"/>
  <c r="CX36" i="3"/>
  <c r="DG36" i="3" s="1"/>
  <c r="CY36" i="3"/>
  <c r="CZ36" i="3"/>
  <c r="DB36" i="3" s="1"/>
  <c r="DA36" i="3"/>
  <c r="DC36" i="3"/>
  <c r="DF36" i="3"/>
  <c r="DJ36" i="3" s="1"/>
  <c r="DH36" i="3"/>
  <c r="DI36" i="3"/>
  <c r="A37" i="3"/>
  <c r="Y37" i="3"/>
  <c r="CX37" i="3"/>
  <c r="CY37" i="3"/>
  <c r="CZ37" i="3"/>
  <c r="DA37" i="3"/>
  <c r="DB37" i="3"/>
  <c r="DC37" i="3"/>
  <c r="DH37" i="3"/>
  <c r="DI37" i="3"/>
  <c r="A38" i="3"/>
  <c r="Y38" i="3"/>
  <c r="CY38" i="3"/>
  <c r="CZ38" i="3"/>
  <c r="DB38" i="3" s="1"/>
  <c r="DA38" i="3"/>
  <c r="DC38" i="3"/>
  <c r="A39" i="3"/>
  <c r="Y39" i="3"/>
  <c r="CY39" i="3"/>
  <c r="CZ39" i="3"/>
  <c r="DA39" i="3"/>
  <c r="DB39" i="3"/>
  <c r="DC39" i="3"/>
  <c r="A40" i="3"/>
  <c r="Y40" i="3"/>
  <c r="CY40" i="3"/>
  <c r="CZ40" i="3"/>
  <c r="DB40" i="3" s="1"/>
  <c r="DA40" i="3"/>
  <c r="DC40" i="3"/>
  <c r="A41" i="3"/>
  <c r="Y41" i="3"/>
  <c r="CY41" i="3"/>
  <c r="CZ41" i="3"/>
  <c r="DB41" i="3" s="1"/>
  <c r="DA41" i="3"/>
  <c r="DC41" i="3"/>
  <c r="A42" i="3"/>
  <c r="Y42" i="3"/>
  <c r="CY42" i="3"/>
  <c r="CZ42" i="3"/>
  <c r="DA42" i="3"/>
  <c r="DB42" i="3"/>
  <c r="DC42" i="3"/>
  <c r="A43" i="3"/>
  <c r="Y43" i="3"/>
  <c r="CY43" i="3"/>
  <c r="CZ43" i="3"/>
  <c r="DA43" i="3"/>
  <c r="DB43" i="3"/>
  <c r="DC43" i="3"/>
  <c r="A44" i="3"/>
  <c r="Y44" i="3"/>
  <c r="CY44" i="3"/>
  <c r="CZ44" i="3"/>
  <c r="DA44" i="3"/>
  <c r="DB44" i="3"/>
  <c r="DC44" i="3"/>
  <c r="A45" i="3"/>
  <c r="Y45" i="3"/>
  <c r="CY45" i="3"/>
  <c r="CZ45" i="3"/>
  <c r="DA45" i="3"/>
  <c r="DB45" i="3"/>
  <c r="DC45" i="3"/>
  <c r="A46" i="3"/>
  <c r="Y46" i="3"/>
  <c r="CY46" i="3"/>
  <c r="CZ46" i="3"/>
  <c r="DA46" i="3"/>
  <c r="DB46" i="3"/>
  <c r="DC46" i="3"/>
  <c r="A47" i="3"/>
  <c r="Y47" i="3"/>
  <c r="CY47" i="3"/>
  <c r="CZ47" i="3"/>
  <c r="DB47" i="3" s="1"/>
  <c r="DA47" i="3"/>
  <c r="DC47" i="3"/>
  <c r="A48" i="3"/>
  <c r="Y48" i="3"/>
  <c r="CY48" i="3"/>
  <c r="CZ48" i="3"/>
  <c r="DB48" i="3" s="1"/>
  <c r="DA48" i="3"/>
  <c r="DC48" i="3"/>
  <c r="A49" i="3"/>
  <c r="Y49" i="3"/>
  <c r="CU49" i="3"/>
  <c r="CV49" i="3"/>
  <c r="CX49" i="3"/>
  <c r="DI49" i="3" s="1"/>
  <c r="CY49" i="3"/>
  <c r="CZ49" i="3"/>
  <c r="DB49" i="3" s="1"/>
  <c r="DA49" i="3"/>
  <c r="DC49" i="3"/>
  <c r="DF49" i="3"/>
  <c r="DG49" i="3"/>
  <c r="DH49" i="3"/>
  <c r="DJ49" i="3"/>
  <c r="A50" i="3"/>
  <c r="Y50" i="3"/>
  <c r="CX50" i="3" s="1"/>
  <c r="CY50" i="3"/>
  <c r="CZ50" i="3"/>
  <c r="DB50" i="3" s="1"/>
  <c r="DA50" i="3"/>
  <c r="DC50" i="3"/>
  <c r="DF50" i="3"/>
  <c r="DJ50" i="3" s="1"/>
  <c r="A51" i="3"/>
  <c r="Y51" i="3"/>
  <c r="CX51" i="3"/>
  <c r="CY51" i="3"/>
  <c r="CZ51" i="3"/>
  <c r="DA51" i="3"/>
  <c r="DB51" i="3"/>
  <c r="DC51" i="3"/>
  <c r="DH51" i="3"/>
  <c r="DI51" i="3"/>
  <c r="A52" i="3"/>
  <c r="Y52" i="3"/>
  <c r="CX52" i="3" s="1"/>
  <c r="CY52" i="3"/>
  <c r="CZ52" i="3"/>
  <c r="DA52" i="3"/>
  <c r="DB52" i="3"/>
  <c r="DC52" i="3"/>
  <c r="A53" i="3"/>
  <c r="Y53" i="3"/>
  <c r="CX53" i="3" s="1"/>
  <c r="CY53" i="3"/>
  <c r="CZ53" i="3"/>
  <c r="DB53" i="3" s="1"/>
  <c r="DA53" i="3"/>
  <c r="DC53" i="3"/>
  <c r="A54" i="3"/>
  <c r="Y54" i="3"/>
  <c r="CX54" i="3" s="1"/>
  <c r="CY54" i="3"/>
  <c r="CZ54" i="3"/>
  <c r="DB54" i="3" s="1"/>
  <c r="DA54" i="3"/>
  <c r="DC54" i="3"/>
  <c r="DF54" i="3"/>
  <c r="DI54" i="3"/>
  <c r="DJ54" i="3"/>
  <c r="A55" i="3"/>
  <c r="Y55" i="3"/>
  <c r="CX55" i="3"/>
  <c r="CY55" i="3"/>
  <c r="CZ55" i="3"/>
  <c r="DA55" i="3"/>
  <c r="DB55" i="3"/>
  <c r="DC55" i="3"/>
  <c r="DI55" i="3"/>
  <c r="A56" i="3"/>
  <c r="Y56" i="3"/>
  <c r="CY56" i="3"/>
  <c r="CZ56" i="3"/>
  <c r="DB56" i="3" s="1"/>
  <c r="DA56" i="3"/>
  <c r="DC56" i="3"/>
  <c r="A57" i="3"/>
  <c r="Y57" i="3"/>
  <c r="CU57" i="3"/>
  <c r="CV57" i="3"/>
  <c r="CX57" i="3"/>
  <c r="DI57" i="3" s="1"/>
  <c r="CY57" i="3"/>
  <c r="CZ57" i="3"/>
  <c r="DB57" i="3" s="1"/>
  <c r="DA57" i="3"/>
  <c r="DC57" i="3"/>
  <c r="DF57" i="3"/>
  <c r="DG57" i="3"/>
  <c r="DH57" i="3"/>
  <c r="DJ57" i="3"/>
  <c r="A58" i="3"/>
  <c r="Y58" i="3"/>
  <c r="CX58" i="3" s="1"/>
  <c r="CY58" i="3"/>
  <c r="CZ58" i="3"/>
  <c r="DB58" i="3" s="1"/>
  <c r="DA58" i="3"/>
  <c r="DC58" i="3"/>
  <c r="DF58" i="3"/>
  <c r="DJ58" i="3" s="1"/>
  <c r="A59" i="3"/>
  <c r="Y59" i="3"/>
  <c r="CX59" i="3"/>
  <c r="CY59" i="3"/>
  <c r="CZ59" i="3"/>
  <c r="DA59" i="3"/>
  <c r="DB59" i="3"/>
  <c r="DC59" i="3"/>
  <c r="DH59" i="3"/>
  <c r="DI59" i="3"/>
  <c r="A60" i="3"/>
  <c r="Y60" i="3"/>
  <c r="CX60" i="3" s="1"/>
  <c r="CY60" i="3"/>
  <c r="CZ60" i="3"/>
  <c r="DA60" i="3"/>
  <c r="DB60" i="3"/>
  <c r="DC60" i="3"/>
  <c r="A61" i="3"/>
  <c r="Y61" i="3"/>
  <c r="CX61" i="3" s="1"/>
  <c r="CY61" i="3"/>
  <c r="CZ61" i="3"/>
  <c r="DB61" i="3" s="1"/>
  <c r="DA61" i="3"/>
  <c r="DC61" i="3"/>
  <c r="A62" i="3"/>
  <c r="Y62" i="3"/>
  <c r="CY62" i="3"/>
  <c r="CZ62" i="3"/>
  <c r="DA62" i="3"/>
  <c r="DB62" i="3"/>
  <c r="DC62" i="3"/>
  <c r="A63" i="3"/>
  <c r="Y63" i="3"/>
  <c r="CY63" i="3"/>
  <c r="CZ63" i="3"/>
  <c r="DB63" i="3" s="1"/>
  <c r="DA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A65" i="3"/>
  <c r="DB65" i="3"/>
  <c r="DC65" i="3"/>
  <c r="A66" i="3"/>
  <c r="Y66" i="3"/>
  <c r="CV66" i="3" s="1"/>
  <c r="CU66" i="3"/>
  <c r="CX66" i="3"/>
  <c r="CY66" i="3"/>
  <c r="CZ66" i="3"/>
  <c r="DA66" i="3"/>
  <c r="DB66" i="3"/>
  <c r="DC66" i="3"/>
  <c r="DI66" i="3"/>
  <c r="DJ66" i="3" s="1"/>
  <c r="A67" i="3"/>
  <c r="Y67" i="3"/>
  <c r="CX67" i="3" s="1"/>
  <c r="CY67" i="3"/>
  <c r="CZ67" i="3"/>
  <c r="DA67" i="3"/>
  <c r="DB67" i="3"/>
  <c r="DC67" i="3"/>
  <c r="A68" i="3"/>
  <c r="Y68" i="3"/>
  <c r="CY68" i="3"/>
  <c r="CZ68" i="3"/>
  <c r="DB68" i="3" s="1"/>
  <c r="DA68" i="3"/>
  <c r="DC68" i="3"/>
  <c r="A69" i="3"/>
  <c r="Y69" i="3"/>
  <c r="CW69" i="3"/>
  <c r="CX69" i="3"/>
  <c r="CY69" i="3"/>
  <c r="CZ69" i="3"/>
  <c r="DA69" i="3"/>
  <c r="DB69" i="3"/>
  <c r="DC69" i="3"/>
  <c r="DG69" i="3"/>
  <c r="DH69" i="3"/>
  <c r="A70" i="3"/>
  <c r="Y70" i="3"/>
  <c r="CX70" i="3" s="1"/>
  <c r="DF70" i="3" s="1"/>
  <c r="DJ70" i="3" s="1"/>
  <c r="CY70" i="3"/>
  <c r="CZ70" i="3"/>
  <c r="DB70" i="3" s="1"/>
  <c r="DA70" i="3"/>
  <c r="DC70" i="3"/>
  <c r="DG70" i="3"/>
  <c r="A71" i="3"/>
  <c r="Y71" i="3"/>
  <c r="CX71" i="3" s="1"/>
  <c r="CY71" i="3"/>
  <c r="CZ71" i="3"/>
  <c r="DB71" i="3" s="1"/>
  <c r="DA71" i="3"/>
  <c r="DC71" i="3"/>
  <c r="DF71" i="3"/>
  <c r="DJ71" i="3" s="1"/>
  <c r="A72" i="3"/>
  <c r="Y72" i="3"/>
  <c r="CX72" i="3"/>
  <c r="CY72" i="3"/>
  <c r="CZ72" i="3"/>
  <c r="DA72" i="3"/>
  <c r="DB72" i="3"/>
  <c r="DC72" i="3"/>
  <c r="DH72" i="3"/>
  <c r="DI72" i="3"/>
  <c r="A73" i="3"/>
  <c r="Y73" i="3"/>
  <c r="CX73" i="3" s="1"/>
  <c r="CY73" i="3"/>
  <c r="CZ73" i="3"/>
  <c r="DA73" i="3"/>
  <c r="DB73" i="3"/>
  <c r="DC73" i="3"/>
  <c r="DH73" i="3"/>
  <c r="A74" i="3"/>
  <c r="Y74" i="3"/>
  <c r="CX74" i="3" s="1"/>
  <c r="CY74" i="3"/>
  <c r="CZ74" i="3"/>
  <c r="DB74" i="3" s="1"/>
  <c r="DA74" i="3"/>
  <c r="DC74" i="3"/>
  <c r="DG74" i="3"/>
  <c r="A75" i="3"/>
  <c r="Y75" i="3"/>
  <c r="CY75" i="3"/>
  <c r="CZ75" i="3"/>
  <c r="DA75" i="3"/>
  <c r="DB75" i="3"/>
  <c r="DC75" i="3"/>
  <c r="A76" i="3"/>
  <c r="Y76" i="3"/>
  <c r="CY76" i="3"/>
  <c r="CZ76" i="3"/>
  <c r="DB76" i="3" s="1"/>
  <c r="DA76" i="3"/>
  <c r="DC76" i="3"/>
  <c r="A77" i="3"/>
  <c r="Y77" i="3"/>
  <c r="CU77" i="3"/>
  <c r="CY77" i="3"/>
  <c r="CZ77" i="3"/>
  <c r="DB77" i="3" s="1"/>
  <c r="DA77" i="3"/>
  <c r="DC77" i="3"/>
  <c r="A78" i="3"/>
  <c r="Y78" i="3"/>
  <c r="CX78" i="3"/>
  <c r="CY78" i="3"/>
  <c r="CZ78" i="3"/>
  <c r="DA78" i="3"/>
  <c r="DB78" i="3"/>
  <c r="DC78" i="3"/>
  <c r="A79" i="3"/>
  <c r="Y79" i="3"/>
  <c r="CW79" i="3" s="1"/>
  <c r="CX79" i="3"/>
  <c r="CY79" i="3"/>
  <c r="CZ79" i="3"/>
  <c r="DB79" i="3" s="1"/>
  <c r="DA79" i="3"/>
  <c r="DC79" i="3"/>
  <c r="DF79" i="3"/>
  <c r="A80" i="3"/>
  <c r="Y80" i="3"/>
  <c r="CY80" i="3"/>
  <c r="CZ80" i="3"/>
  <c r="DB80" i="3" s="1"/>
  <c r="DA80" i="3"/>
  <c r="DC80" i="3"/>
  <c r="A81" i="3"/>
  <c r="Y81" i="3"/>
  <c r="CW81" i="3" s="1"/>
  <c r="CX81" i="3"/>
  <c r="CY81" i="3"/>
  <c r="CZ81" i="3"/>
  <c r="DA81" i="3"/>
  <c r="DB81" i="3"/>
  <c r="DC81" i="3"/>
  <c r="A82" i="3"/>
  <c r="Y82" i="3"/>
  <c r="CX82" i="3" s="1"/>
  <c r="CY82" i="3"/>
  <c r="CZ82" i="3"/>
  <c r="DB82" i="3" s="1"/>
  <c r="DA82" i="3"/>
  <c r="DC82" i="3"/>
  <c r="DG82" i="3"/>
  <c r="DI82" i="3"/>
  <c r="A83" i="3"/>
  <c r="Y83" i="3"/>
  <c r="CX83" i="3"/>
  <c r="CY83" i="3"/>
  <c r="CZ83" i="3"/>
  <c r="DA83" i="3"/>
  <c r="DB83" i="3"/>
  <c r="DC83" i="3"/>
  <c r="DH83" i="3"/>
  <c r="A84" i="3"/>
  <c r="Y84" i="3"/>
  <c r="CX84" i="3" s="1"/>
  <c r="CY84" i="3"/>
  <c r="CZ84" i="3"/>
  <c r="DA84" i="3"/>
  <c r="DB84" i="3"/>
  <c r="DC84" i="3"/>
  <c r="DG84" i="3"/>
  <c r="DI84" i="3"/>
  <c r="A85" i="3"/>
  <c r="Y85" i="3"/>
  <c r="CX85" i="3"/>
  <c r="CY85" i="3"/>
  <c r="CZ85" i="3"/>
  <c r="DA85" i="3"/>
  <c r="DB85" i="3"/>
  <c r="DC85" i="3"/>
  <c r="DH85" i="3"/>
  <c r="A86" i="3"/>
  <c r="Y86" i="3"/>
  <c r="CX86" i="3" s="1"/>
  <c r="CY86" i="3"/>
  <c r="CZ86" i="3"/>
  <c r="DB86" i="3" s="1"/>
  <c r="DA86" i="3"/>
  <c r="DC86" i="3"/>
  <c r="DG86" i="3"/>
  <c r="DI86" i="3"/>
  <c r="A87" i="3"/>
  <c r="Y87" i="3"/>
  <c r="CX87" i="3"/>
  <c r="CY87" i="3"/>
  <c r="CZ87" i="3"/>
  <c r="DB87" i="3" s="1"/>
  <c r="DA87" i="3"/>
  <c r="DC87" i="3"/>
  <c r="DF87" i="3"/>
  <c r="DJ87" i="3" s="1"/>
  <c r="A88" i="3"/>
  <c r="Y88" i="3"/>
  <c r="CU88" i="3"/>
  <c r="CY88" i="3"/>
  <c r="CZ88" i="3"/>
  <c r="DB88" i="3" s="1"/>
  <c r="DA88" i="3"/>
  <c r="DC88" i="3"/>
  <c r="A89" i="3"/>
  <c r="Y89" i="3"/>
  <c r="CX89" i="3"/>
  <c r="CY89" i="3"/>
  <c r="CZ89" i="3"/>
  <c r="DA89" i="3"/>
  <c r="DB89" i="3"/>
  <c r="DC89" i="3"/>
  <c r="DH89" i="3"/>
  <c r="A90" i="3"/>
  <c r="Y90" i="3"/>
  <c r="CW90" i="3" s="1"/>
  <c r="CX90" i="3"/>
  <c r="CY90" i="3"/>
  <c r="CZ90" i="3"/>
  <c r="DB90" i="3" s="1"/>
  <c r="DA90" i="3"/>
  <c r="DC90" i="3"/>
  <c r="DF90" i="3"/>
  <c r="A91" i="3"/>
  <c r="Y91" i="3"/>
  <c r="CY91" i="3"/>
  <c r="CZ91" i="3"/>
  <c r="DB91" i="3" s="1"/>
  <c r="DA91" i="3"/>
  <c r="DC91" i="3"/>
  <c r="A92" i="3"/>
  <c r="Y92" i="3"/>
  <c r="CW92" i="3" s="1"/>
  <c r="CX92" i="3"/>
  <c r="CY92" i="3"/>
  <c r="CZ92" i="3"/>
  <c r="DA92" i="3"/>
  <c r="DB92" i="3"/>
  <c r="DC92" i="3"/>
  <c r="A93" i="3"/>
  <c r="Y93" i="3"/>
  <c r="CX93" i="3" s="1"/>
  <c r="DG93" i="3" s="1"/>
  <c r="CY93" i="3"/>
  <c r="CZ93" i="3"/>
  <c r="DB93" i="3" s="1"/>
  <c r="DA93" i="3"/>
  <c r="DC93" i="3"/>
  <c r="DI93" i="3"/>
  <c r="A94" i="3"/>
  <c r="Y94" i="3"/>
  <c r="CX94" i="3"/>
  <c r="CY94" i="3"/>
  <c r="CZ94" i="3"/>
  <c r="DA94" i="3"/>
  <c r="DB94" i="3"/>
  <c r="DC94" i="3"/>
  <c r="DH94" i="3"/>
  <c r="A95" i="3"/>
  <c r="Y95" i="3"/>
  <c r="CX95" i="3" s="1"/>
  <c r="CY95" i="3"/>
  <c r="CZ95" i="3"/>
  <c r="DA95" i="3"/>
  <c r="DB95" i="3"/>
  <c r="DC95" i="3"/>
  <c r="DG95" i="3"/>
  <c r="DI95" i="3"/>
  <c r="A96" i="3"/>
  <c r="Y96" i="3"/>
  <c r="CX96" i="3"/>
  <c r="CY96" i="3"/>
  <c r="CZ96" i="3"/>
  <c r="DA96" i="3"/>
  <c r="DB96" i="3"/>
  <c r="DC96" i="3"/>
  <c r="DH96" i="3"/>
  <c r="A97" i="3"/>
  <c r="Y97" i="3"/>
  <c r="CX97" i="3" s="1"/>
  <c r="CY97" i="3"/>
  <c r="CZ97" i="3"/>
  <c r="DB97" i="3" s="1"/>
  <c r="DA97" i="3"/>
  <c r="DC97" i="3"/>
  <c r="DG97" i="3"/>
  <c r="DI97" i="3"/>
  <c r="A98" i="3"/>
  <c r="Y98" i="3"/>
  <c r="CX98" i="3"/>
  <c r="DG98" i="3" s="1"/>
  <c r="CY98" i="3"/>
  <c r="CZ98" i="3"/>
  <c r="DB98" i="3" s="1"/>
  <c r="DA98" i="3"/>
  <c r="DC98" i="3"/>
  <c r="DF98" i="3"/>
  <c r="DJ98" i="3" s="1"/>
  <c r="DI98" i="3"/>
  <c r="A99" i="3"/>
  <c r="Y99" i="3"/>
  <c r="CY99" i="3"/>
  <c r="CZ99" i="3"/>
  <c r="DB99" i="3" s="1"/>
  <c r="DA99" i="3"/>
  <c r="DC99" i="3"/>
  <c r="A100" i="3"/>
  <c r="Y100" i="3"/>
  <c r="CU100" i="3"/>
  <c r="CV100" i="3"/>
  <c r="CX100" i="3"/>
  <c r="CY100" i="3"/>
  <c r="CZ100" i="3"/>
  <c r="DA100" i="3"/>
  <c r="DB100" i="3"/>
  <c r="DC100" i="3"/>
  <c r="DH100" i="3"/>
  <c r="A101" i="3"/>
  <c r="Y101" i="3"/>
  <c r="CX101" i="3" s="1"/>
  <c r="DH101" i="3" s="1"/>
  <c r="CY101" i="3"/>
  <c r="CZ101" i="3"/>
  <c r="DB101" i="3" s="1"/>
  <c r="DA101" i="3"/>
  <c r="DC101" i="3"/>
  <c r="DF101" i="3"/>
  <c r="DJ101" i="3" s="1"/>
  <c r="DI101" i="3"/>
  <c r="A102" i="3"/>
  <c r="Y102" i="3"/>
  <c r="CX102" i="3"/>
  <c r="DG102" i="3" s="1"/>
  <c r="CY102" i="3"/>
  <c r="CZ102" i="3"/>
  <c r="DB102" i="3" s="1"/>
  <c r="DA102" i="3"/>
  <c r="DC102" i="3"/>
  <c r="DF102" i="3"/>
  <c r="DJ102" i="3" s="1"/>
  <c r="DI102" i="3"/>
  <c r="A103" i="3"/>
  <c r="Y103" i="3"/>
  <c r="CX103" i="3"/>
  <c r="DF103" i="3" s="1"/>
  <c r="DJ103" i="3" s="1"/>
  <c r="CY103" i="3"/>
  <c r="CZ103" i="3"/>
  <c r="DA103" i="3"/>
  <c r="DB103" i="3"/>
  <c r="DC103" i="3"/>
  <c r="DG103" i="3"/>
  <c r="DI103" i="3"/>
  <c r="A104" i="3"/>
  <c r="Y104" i="3"/>
  <c r="CX104" i="3" s="1"/>
  <c r="CY104" i="3"/>
  <c r="CZ104" i="3"/>
  <c r="DB104" i="3" s="1"/>
  <c r="DA104" i="3"/>
  <c r="DC104" i="3"/>
  <c r="A105" i="3"/>
  <c r="Y105" i="3"/>
  <c r="CY105" i="3"/>
  <c r="CZ105" i="3"/>
  <c r="DA105" i="3"/>
  <c r="DB105" i="3"/>
  <c r="DC105" i="3"/>
  <c r="A106" i="3"/>
  <c r="Y106" i="3"/>
  <c r="CY106" i="3"/>
  <c r="CZ106" i="3"/>
  <c r="DB106" i="3" s="1"/>
  <c r="DA106" i="3"/>
  <c r="DC106" i="3"/>
  <c r="A107" i="3"/>
  <c r="Y107" i="3"/>
  <c r="CY107" i="3"/>
  <c r="CZ107" i="3"/>
  <c r="DA107" i="3"/>
  <c r="DB107" i="3"/>
  <c r="DC107" i="3"/>
  <c r="A108" i="3"/>
  <c r="Y108" i="3"/>
  <c r="CY108" i="3"/>
  <c r="CZ108" i="3"/>
  <c r="DB108" i="3" s="1"/>
  <c r="DA108" i="3"/>
  <c r="DC108" i="3"/>
  <c r="A109" i="3"/>
  <c r="Y109" i="3"/>
  <c r="CY109" i="3"/>
  <c r="CZ109" i="3"/>
  <c r="DB109" i="3" s="1"/>
  <c r="DA109" i="3"/>
  <c r="DC109" i="3"/>
  <c r="A110" i="3"/>
  <c r="Y110" i="3"/>
  <c r="CY110" i="3"/>
  <c r="CZ110" i="3"/>
  <c r="DA110" i="3"/>
  <c r="DB110" i="3"/>
  <c r="DC110" i="3"/>
  <c r="A111" i="3"/>
  <c r="Y111" i="3"/>
  <c r="CY111" i="3"/>
  <c r="CZ111" i="3"/>
  <c r="DA111" i="3"/>
  <c r="DB111" i="3"/>
  <c r="DC111" i="3"/>
  <c r="A112" i="3"/>
  <c r="Y112" i="3"/>
  <c r="CY112" i="3"/>
  <c r="CZ112" i="3"/>
  <c r="DB112" i="3" s="1"/>
  <c r="DA112" i="3"/>
  <c r="DC112" i="3"/>
  <c r="A113" i="3"/>
  <c r="Y113" i="3"/>
  <c r="CY113" i="3"/>
  <c r="CZ113" i="3"/>
  <c r="DA113" i="3"/>
  <c r="DB113" i="3"/>
  <c r="DC113" i="3"/>
  <c r="A114" i="3"/>
  <c r="Y114" i="3"/>
  <c r="CY114" i="3"/>
  <c r="CZ114" i="3"/>
  <c r="DB114" i="3" s="1"/>
  <c r="DA114" i="3"/>
  <c r="DC114" i="3"/>
  <c r="A115" i="3"/>
  <c r="Y115" i="3"/>
  <c r="CY115" i="3"/>
  <c r="CZ115" i="3"/>
  <c r="DA115" i="3"/>
  <c r="DB115" i="3"/>
  <c r="DC115" i="3"/>
  <c r="A116" i="3"/>
  <c r="Y116" i="3"/>
  <c r="CY116" i="3"/>
  <c r="CZ116" i="3"/>
  <c r="DA116" i="3"/>
  <c r="DB116" i="3"/>
  <c r="DC116" i="3"/>
  <c r="A117" i="3"/>
  <c r="Y117" i="3"/>
  <c r="CY117" i="3"/>
  <c r="CZ117" i="3"/>
  <c r="DB117" i="3" s="1"/>
  <c r="DA117" i="3"/>
  <c r="DC117" i="3"/>
  <c r="A118" i="3"/>
  <c r="Y118" i="3"/>
  <c r="CY118" i="3"/>
  <c r="CZ118" i="3"/>
  <c r="DB118" i="3" s="1"/>
  <c r="DA118" i="3"/>
  <c r="DC118" i="3"/>
  <c r="A119" i="3"/>
  <c r="Y119" i="3"/>
  <c r="CY119" i="3"/>
  <c r="CZ119" i="3"/>
  <c r="DB119" i="3" s="1"/>
  <c r="DA119" i="3"/>
  <c r="DC119" i="3"/>
  <c r="A120" i="3"/>
  <c r="Y120" i="3"/>
  <c r="CY120" i="3"/>
  <c r="CZ120" i="3"/>
  <c r="DA120" i="3"/>
  <c r="DB120" i="3"/>
  <c r="DC120" i="3"/>
  <c r="A121" i="3"/>
  <c r="Y121" i="3"/>
  <c r="CY121" i="3"/>
  <c r="CZ121" i="3"/>
  <c r="DA121" i="3"/>
  <c r="DB121" i="3"/>
  <c r="DC121" i="3"/>
  <c r="A122" i="3"/>
  <c r="Y122" i="3"/>
  <c r="CY122" i="3"/>
  <c r="CZ122" i="3"/>
  <c r="DB122" i="3" s="1"/>
  <c r="DA122" i="3"/>
  <c r="DC122" i="3"/>
  <c r="A123" i="3"/>
  <c r="Y123" i="3"/>
  <c r="CY123" i="3"/>
  <c r="CZ123" i="3"/>
  <c r="DB123" i="3" s="1"/>
  <c r="DA123" i="3"/>
  <c r="DC123" i="3"/>
  <c r="A124" i="3"/>
  <c r="Y124" i="3"/>
  <c r="CY124" i="3"/>
  <c r="CZ124" i="3"/>
  <c r="DA124" i="3"/>
  <c r="DB124" i="3"/>
  <c r="DC124" i="3"/>
  <c r="A125" i="3"/>
  <c r="Y125" i="3"/>
  <c r="CY125" i="3"/>
  <c r="CZ125" i="3"/>
  <c r="DB125" i="3" s="1"/>
  <c r="DA125" i="3"/>
  <c r="DC125" i="3"/>
  <c r="A126" i="3"/>
  <c r="Y126" i="3"/>
  <c r="CY126" i="3"/>
  <c r="CZ126" i="3"/>
  <c r="DA126" i="3"/>
  <c r="DB126" i="3"/>
  <c r="DC126" i="3"/>
  <c r="A127" i="3"/>
  <c r="Y127" i="3"/>
  <c r="CY127" i="3"/>
  <c r="CZ127" i="3"/>
  <c r="DB127" i="3" s="1"/>
  <c r="DA127" i="3"/>
  <c r="DC127" i="3"/>
  <c r="A128" i="3"/>
  <c r="Y128" i="3"/>
  <c r="CY128" i="3"/>
  <c r="CZ128" i="3"/>
  <c r="DB128" i="3" s="1"/>
  <c r="DA128" i="3"/>
  <c r="DC128" i="3"/>
  <c r="A129" i="3"/>
  <c r="Y129" i="3"/>
  <c r="CY129" i="3"/>
  <c r="CZ129" i="3"/>
  <c r="DA129" i="3"/>
  <c r="DB129" i="3"/>
  <c r="DC129" i="3"/>
  <c r="A130" i="3"/>
  <c r="Y130" i="3"/>
  <c r="CY130" i="3"/>
  <c r="CZ130" i="3"/>
  <c r="DA130" i="3"/>
  <c r="DB130" i="3"/>
  <c r="DC130" i="3"/>
  <c r="A131" i="3"/>
  <c r="Y131" i="3"/>
  <c r="CU131" i="3"/>
  <c r="CY131" i="3"/>
  <c r="CZ131" i="3"/>
  <c r="DA131" i="3"/>
  <c r="DB131" i="3"/>
  <c r="DC131" i="3"/>
  <c r="A132" i="3"/>
  <c r="Y132" i="3"/>
  <c r="CX132" i="3"/>
  <c r="CY132" i="3"/>
  <c r="CZ132" i="3"/>
  <c r="DA132" i="3"/>
  <c r="DB132" i="3"/>
  <c r="DC132" i="3"/>
  <c r="A133" i="3"/>
  <c r="Y133" i="3"/>
  <c r="CX133" i="3" s="1"/>
  <c r="CY133" i="3"/>
  <c r="CZ133" i="3"/>
  <c r="DB133" i="3" s="1"/>
  <c r="DA133" i="3"/>
  <c r="DC133" i="3"/>
  <c r="DG133" i="3"/>
  <c r="A134" i="3"/>
  <c r="Y134" i="3"/>
  <c r="CX134" i="3"/>
  <c r="DG134" i="3" s="1"/>
  <c r="CY134" i="3"/>
  <c r="CZ134" i="3"/>
  <c r="DB134" i="3" s="1"/>
  <c r="DA134" i="3"/>
  <c r="DC134" i="3"/>
  <c r="DF134" i="3"/>
  <c r="DJ134" i="3" s="1"/>
  <c r="DH134" i="3"/>
  <c r="DI134" i="3"/>
  <c r="A135" i="3"/>
  <c r="Y135" i="3"/>
  <c r="CX135" i="3"/>
  <c r="CY135" i="3"/>
  <c r="CZ135" i="3"/>
  <c r="DA135" i="3"/>
  <c r="DB135" i="3"/>
  <c r="DC135" i="3"/>
  <c r="DH135" i="3"/>
  <c r="A136" i="3"/>
  <c r="Y136" i="3"/>
  <c r="CY136" i="3"/>
  <c r="CZ136" i="3"/>
  <c r="DB136" i="3" s="1"/>
  <c r="DA136" i="3"/>
  <c r="DC136" i="3"/>
  <c r="A137" i="3"/>
  <c r="Y137" i="3"/>
  <c r="CY137" i="3"/>
  <c r="CZ137" i="3"/>
  <c r="DA137" i="3"/>
  <c r="DB137" i="3"/>
  <c r="DC137" i="3"/>
  <c r="A138" i="3"/>
  <c r="Y138" i="3"/>
  <c r="CY138" i="3"/>
  <c r="CZ138" i="3"/>
  <c r="DB138" i="3" s="1"/>
  <c r="DA138" i="3"/>
  <c r="DC138" i="3"/>
  <c r="A139" i="3"/>
  <c r="Y139" i="3"/>
  <c r="CY139" i="3"/>
  <c r="CZ139" i="3"/>
  <c r="DA139" i="3"/>
  <c r="DB139" i="3"/>
  <c r="DC139" i="3"/>
  <c r="A140" i="3"/>
  <c r="Y140" i="3"/>
  <c r="CY140" i="3"/>
  <c r="CZ140" i="3"/>
  <c r="DB140" i="3" s="1"/>
  <c r="DA140" i="3"/>
  <c r="DC140" i="3"/>
  <c r="A141" i="3"/>
  <c r="Y141" i="3"/>
  <c r="CY141" i="3"/>
  <c r="CZ141" i="3"/>
  <c r="DA141" i="3"/>
  <c r="DB141" i="3"/>
  <c r="DC141" i="3"/>
  <c r="A142" i="3"/>
  <c r="Y142" i="3"/>
  <c r="CY142" i="3"/>
  <c r="CZ142" i="3"/>
  <c r="DA142" i="3"/>
  <c r="DB142" i="3"/>
  <c r="DC142" i="3"/>
  <c r="A143" i="3"/>
  <c r="Y143" i="3"/>
  <c r="CY143" i="3"/>
  <c r="CZ143" i="3"/>
  <c r="DB143" i="3" s="1"/>
  <c r="DA143" i="3"/>
  <c r="DC143" i="3"/>
  <c r="A144" i="3"/>
  <c r="Y144" i="3"/>
  <c r="CY144" i="3"/>
  <c r="CZ144" i="3"/>
  <c r="DB144" i="3" s="1"/>
  <c r="DA144" i="3"/>
  <c r="DC144" i="3"/>
  <c r="A145" i="3"/>
  <c r="Y145" i="3"/>
  <c r="CY145" i="3"/>
  <c r="CZ145" i="3"/>
  <c r="DA145" i="3"/>
  <c r="DB145" i="3"/>
  <c r="DC145" i="3"/>
  <c r="A146" i="3"/>
  <c r="Y146" i="3"/>
  <c r="CY146" i="3"/>
  <c r="CZ146" i="3"/>
  <c r="DA146" i="3"/>
  <c r="DB146" i="3"/>
  <c r="DC146" i="3"/>
  <c r="A147" i="3"/>
  <c r="Y147" i="3"/>
  <c r="CY147" i="3"/>
  <c r="CZ147" i="3"/>
  <c r="DB147" i="3" s="1"/>
  <c r="DA147" i="3"/>
  <c r="DC147" i="3"/>
  <c r="A148" i="3"/>
  <c r="Y148" i="3"/>
  <c r="CY148" i="3"/>
  <c r="CZ148" i="3"/>
  <c r="DB148" i="3" s="1"/>
  <c r="DA148" i="3"/>
  <c r="DC148" i="3"/>
  <c r="A149" i="3"/>
  <c r="Y149" i="3"/>
  <c r="CY149" i="3"/>
  <c r="CZ149" i="3"/>
  <c r="DA149" i="3"/>
  <c r="DB149" i="3"/>
  <c r="DC149" i="3"/>
  <c r="A150" i="3"/>
  <c r="Y150" i="3"/>
  <c r="CY150" i="3"/>
  <c r="CZ150" i="3"/>
  <c r="DA150" i="3"/>
  <c r="DB150" i="3"/>
  <c r="DC150" i="3"/>
  <c r="A151" i="3"/>
  <c r="Y151" i="3"/>
  <c r="CY151" i="3"/>
  <c r="CZ151" i="3"/>
  <c r="DA151" i="3"/>
  <c r="DB151" i="3"/>
  <c r="DC151" i="3"/>
  <c r="A152" i="3"/>
  <c r="Y152" i="3"/>
  <c r="CY152" i="3"/>
  <c r="CZ152" i="3"/>
  <c r="DA152" i="3"/>
  <c r="DB152" i="3"/>
  <c r="DC152" i="3"/>
  <c r="A153" i="3"/>
  <c r="Y153" i="3"/>
  <c r="CY153" i="3"/>
  <c r="CZ153" i="3"/>
  <c r="DB153" i="3" s="1"/>
  <c r="DA153" i="3"/>
  <c r="DC153" i="3"/>
  <c r="A154" i="3"/>
  <c r="Y154" i="3"/>
  <c r="CY154" i="3"/>
  <c r="CZ154" i="3"/>
  <c r="DA154" i="3"/>
  <c r="DB154" i="3"/>
  <c r="DC154" i="3"/>
  <c r="A155" i="3"/>
  <c r="Y155" i="3"/>
  <c r="CY155" i="3"/>
  <c r="CZ155" i="3"/>
  <c r="DB155" i="3" s="1"/>
  <c r="DA155" i="3"/>
  <c r="DC155" i="3"/>
  <c r="A156" i="3"/>
  <c r="Y156" i="3"/>
  <c r="CY156" i="3"/>
  <c r="CZ156" i="3"/>
  <c r="DB156" i="3" s="1"/>
  <c r="DA156" i="3"/>
  <c r="DC156" i="3"/>
  <c r="A157" i="3"/>
  <c r="Y157" i="3"/>
  <c r="CY157" i="3"/>
  <c r="CZ157" i="3"/>
  <c r="DB157" i="3" s="1"/>
  <c r="DA157" i="3"/>
  <c r="DC157" i="3"/>
  <c r="A158" i="3"/>
  <c r="Y158" i="3"/>
  <c r="CY158" i="3"/>
  <c r="CZ158" i="3"/>
  <c r="DA158" i="3"/>
  <c r="DB158" i="3"/>
  <c r="DC158" i="3"/>
  <c r="A159" i="3"/>
  <c r="Y159" i="3"/>
  <c r="CY159" i="3"/>
  <c r="CZ159" i="3"/>
  <c r="DA159" i="3"/>
  <c r="DB159" i="3"/>
  <c r="DC159" i="3"/>
  <c r="A160" i="3"/>
  <c r="Y160" i="3"/>
  <c r="CY160" i="3"/>
  <c r="CZ160" i="3"/>
  <c r="DA160" i="3"/>
  <c r="DB160" i="3"/>
  <c r="DC160" i="3"/>
  <c r="A161" i="3"/>
  <c r="Y161" i="3"/>
  <c r="CY161" i="3"/>
  <c r="CZ161" i="3"/>
  <c r="DB161" i="3" s="1"/>
  <c r="DA161" i="3"/>
  <c r="DC161" i="3"/>
  <c r="A162" i="3"/>
  <c r="Y162" i="3"/>
  <c r="CY162" i="3"/>
  <c r="CZ162" i="3"/>
  <c r="DB162" i="3" s="1"/>
  <c r="DA162" i="3"/>
  <c r="DC162" i="3"/>
  <c r="A163" i="3"/>
  <c r="Y163" i="3"/>
  <c r="CY163" i="3"/>
  <c r="CZ163" i="3"/>
  <c r="DB163" i="3" s="1"/>
  <c r="DA163" i="3"/>
  <c r="DC163" i="3"/>
  <c r="A164" i="3"/>
  <c r="Y164" i="3"/>
  <c r="CY164" i="3"/>
  <c r="CZ164" i="3"/>
  <c r="DB164" i="3" s="1"/>
  <c r="DA164" i="3"/>
  <c r="DC164" i="3"/>
  <c r="A165" i="3"/>
  <c r="Y165" i="3"/>
  <c r="CY165" i="3"/>
  <c r="CZ165" i="3"/>
  <c r="DB165" i="3" s="1"/>
  <c r="DA165" i="3"/>
  <c r="DC165" i="3"/>
  <c r="A166" i="3"/>
  <c r="Y166" i="3"/>
  <c r="CY166" i="3"/>
  <c r="CZ166" i="3"/>
  <c r="DB166" i="3" s="1"/>
  <c r="DA166" i="3"/>
  <c r="DC166" i="3"/>
  <c r="A167" i="3"/>
  <c r="Y167" i="3"/>
  <c r="CY167" i="3"/>
  <c r="CZ167" i="3"/>
  <c r="DA167" i="3"/>
  <c r="DB167" i="3"/>
  <c r="DC167" i="3"/>
  <c r="A168" i="3"/>
  <c r="Y168" i="3"/>
  <c r="CY168" i="3"/>
  <c r="CZ168" i="3"/>
  <c r="DA168" i="3"/>
  <c r="DB168" i="3"/>
  <c r="DC168" i="3"/>
  <c r="A169" i="3"/>
  <c r="Y169" i="3"/>
  <c r="CY169" i="3"/>
  <c r="CZ169" i="3"/>
  <c r="DA169" i="3"/>
  <c r="DB169" i="3"/>
  <c r="DC169" i="3"/>
  <c r="A170" i="3"/>
  <c r="Y170" i="3"/>
  <c r="CY170" i="3"/>
  <c r="CZ170" i="3"/>
  <c r="DB170" i="3" s="1"/>
  <c r="DA170" i="3"/>
  <c r="DC170" i="3"/>
  <c r="A171" i="3"/>
  <c r="Y171" i="3"/>
  <c r="CY171" i="3"/>
  <c r="CZ171" i="3"/>
  <c r="DA171" i="3"/>
  <c r="DB171" i="3"/>
  <c r="DC171" i="3"/>
  <c r="A172" i="3"/>
  <c r="Y172" i="3"/>
  <c r="CY172" i="3"/>
  <c r="CZ172" i="3"/>
  <c r="DB172" i="3" s="1"/>
  <c r="DA172" i="3"/>
  <c r="DC172" i="3"/>
  <c r="A173" i="3"/>
  <c r="Y173" i="3"/>
  <c r="CY173" i="3"/>
  <c r="CZ173" i="3"/>
  <c r="DB173" i="3" s="1"/>
  <c r="DA173" i="3"/>
  <c r="DC173" i="3"/>
  <c r="A174" i="3"/>
  <c r="Y174" i="3"/>
  <c r="CY174" i="3"/>
  <c r="CZ174" i="3"/>
  <c r="DA174" i="3"/>
  <c r="DB174" i="3"/>
  <c r="DC174" i="3"/>
  <c r="A175" i="3"/>
  <c r="Y175" i="3"/>
  <c r="CY175" i="3"/>
  <c r="CZ175" i="3"/>
  <c r="DB175" i="3" s="1"/>
  <c r="DA175" i="3"/>
  <c r="DC175" i="3"/>
  <c r="A176" i="3"/>
  <c r="Y176" i="3"/>
  <c r="CY176" i="3"/>
  <c r="CZ176" i="3"/>
  <c r="DB176" i="3" s="1"/>
  <c r="DA176" i="3"/>
  <c r="DC176" i="3"/>
  <c r="A177" i="3"/>
  <c r="Y177" i="3"/>
  <c r="CY177" i="3"/>
  <c r="CZ177" i="3"/>
  <c r="DA177" i="3"/>
  <c r="DB177" i="3"/>
  <c r="DC177" i="3"/>
  <c r="A178" i="3"/>
  <c r="Y178" i="3"/>
  <c r="CY178" i="3"/>
  <c r="CZ178" i="3"/>
  <c r="DB178" i="3" s="1"/>
  <c r="DA178" i="3"/>
  <c r="DC178" i="3"/>
  <c r="A179" i="3"/>
  <c r="Y179" i="3"/>
  <c r="CU179" i="3"/>
  <c r="CY179" i="3"/>
  <c r="CZ179" i="3"/>
  <c r="DB179" i="3" s="1"/>
  <c r="DA179" i="3"/>
  <c r="DC179" i="3"/>
  <c r="A180" i="3"/>
  <c r="Y180" i="3"/>
  <c r="CX180" i="3"/>
  <c r="DG180" i="3" s="1"/>
  <c r="CY180" i="3"/>
  <c r="CZ180" i="3"/>
  <c r="DB180" i="3" s="1"/>
  <c r="DA180" i="3"/>
  <c r="DC180" i="3"/>
  <c r="DF180" i="3"/>
  <c r="DH180" i="3"/>
  <c r="DI180" i="3"/>
  <c r="DJ180" i="3"/>
  <c r="A181" i="3"/>
  <c r="Y181" i="3"/>
  <c r="CY181" i="3"/>
  <c r="CZ181" i="3"/>
  <c r="DB181" i="3" s="1"/>
  <c r="DA181" i="3"/>
  <c r="DC181" i="3"/>
  <c r="A182" i="3"/>
  <c r="Y182" i="3"/>
  <c r="CW182" i="3"/>
  <c r="CX182" i="3"/>
  <c r="CY182" i="3"/>
  <c r="CZ182" i="3"/>
  <c r="DA182" i="3"/>
  <c r="DB182" i="3"/>
  <c r="DC182" i="3"/>
  <c r="A183" i="3"/>
  <c r="Y183" i="3"/>
  <c r="CX183" i="3"/>
  <c r="CY183" i="3"/>
  <c r="CZ183" i="3"/>
  <c r="DA183" i="3"/>
  <c r="DB183" i="3"/>
  <c r="DC183" i="3"/>
  <c r="DG183" i="3"/>
  <c r="A184" i="3"/>
  <c r="Y184" i="3"/>
  <c r="CX184" i="3" s="1"/>
  <c r="CY184" i="3"/>
  <c r="CZ184" i="3"/>
  <c r="DB184" i="3" s="1"/>
  <c r="DA184" i="3"/>
  <c r="DC184" i="3"/>
  <c r="DF184" i="3"/>
  <c r="DJ184" i="3" s="1"/>
  <c r="DG184" i="3"/>
  <c r="A185" i="3"/>
  <c r="Y185" i="3"/>
  <c r="CX185" i="3"/>
  <c r="DG185" i="3" s="1"/>
  <c r="CY185" i="3"/>
  <c r="CZ185" i="3"/>
  <c r="DB185" i="3" s="1"/>
  <c r="DA185" i="3"/>
  <c r="DC185" i="3"/>
  <c r="DF185" i="3"/>
  <c r="DJ185" i="3" s="1"/>
  <c r="DH185" i="3"/>
  <c r="DI185" i="3"/>
  <c r="A186" i="3"/>
  <c r="Y186" i="3"/>
  <c r="CX186" i="3"/>
  <c r="CY186" i="3"/>
  <c r="CZ186" i="3"/>
  <c r="DA186" i="3"/>
  <c r="DB186" i="3"/>
  <c r="DC186" i="3"/>
  <c r="A187" i="3"/>
  <c r="Y187" i="3"/>
  <c r="CX187" i="3"/>
  <c r="CY187" i="3"/>
  <c r="CZ187" i="3"/>
  <c r="DA187" i="3"/>
  <c r="DB187" i="3"/>
  <c r="DC187" i="3"/>
  <c r="DG187" i="3"/>
  <c r="A188" i="3"/>
  <c r="Y188" i="3"/>
  <c r="CX188" i="3" s="1"/>
  <c r="CY188" i="3"/>
  <c r="CZ188" i="3"/>
  <c r="DB188" i="3" s="1"/>
  <c r="DA188" i="3"/>
  <c r="DC188" i="3"/>
  <c r="DF188" i="3"/>
  <c r="DJ188" i="3" s="1"/>
  <c r="DG188" i="3"/>
  <c r="A189" i="3"/>
  <c r="Y189" i="3"/>
  <c r="CY189" i="3"/>
  <c r="CZ189" i="3"/>
  <c r="DA189" i="3"/>
  <c r="DB189" i="3"/>
  <c r="DC189" i="3"/>
  <c r="A190" i="3"/>
  <c r="Y190" i="3"/>
  <c r="CY190" i="3"/>
  <c r="CZ190" i="3"/>
  <c r="DA190" i="3"/>
  <c r="DB190" i="3"/>
  <c r="DC190" i="3"/>
  <c r="A191" i="3"/>
  <c r="Y191" i="3"/>
  <c r="CY191" i="3"/>
  <c r="CZ191" i="3"/>
  <c r="DA191" i="3"/>
  <c r="DB191" i="3"/>
  <c r="DC191" i="3"/>
  <c r="A192" i="3"/>
  <c r="Y192" i="3"/>
  <c r="CY192" i="3"/>
  <c r="CZ192" i="3"/>
  <c r="DB192" i="3" s="1"/>
  <c r="DA192" i="3"/>
  <c r="DC192" i="3"/>
  <c r="A193" i="3"/>
  <c r="Y193" i="3"/>
  <c r="CY193" i="3"/>
  <c r="CZ193" i="3"/>
  <c r="DA193" i="3"/>
  <c r="DB193" i="3"/>
  <c r="DC193" i="3"/>
  <c r="A194" i="3"/>
  <c r="Y194" i="3"/>
  <c r="CY194" i="3"/>
  <c r="CZ194" i="3"/>
  <c r="DB194" i="3" s="1"/>
  <c r="DA194" i="3"/>
  <c r="DC194" i="3"/>
  <c r="A195" i="3"/>
  <c r="Y195" i="3"/>
  <c r="CY195" i="3"/>
  <c r="CZ195" i="3"/>
  <c r="DA195" i="3"/>
  <c r="DB195" i="3"/>
  <c r="DC195" i="3"/>
  <c r="A196" i="3"/>
  <c r="Y196" i="3"/>
  <c r="CY196" i="3"/>
  <c r="CZ196" i="3"/>
  <c r="DB196" i="3" s="1"/>
  <c r="DA196" i="3"/>
  <c r="DC196" i="3"/>
  <c r="A197" i="3"/>
  <c r="Y197" i="3"/>
  <c r="CY197" i="3"/>
  <c r="CZ197" i="3"/>
  <c r="DA197" i="3"/>
  <c r="DB197" i="3"/>
  <c r="DC197" i="3"/>
  <c r="A198" i="3"/>
  <c r="Y198" i="3"/>
  <c r="CY198" i="3"/>
  <c r="CZ198" i="3"/>
  <c r="DA198" i="3"/>
  <c r="DB198" i="3"/>
  <c r="DC198" i="3"/>
  <c r="A199" i="3"/>
  <c r="Y199" i="3"/>
  <c r="CY199" i="3"/>
  <c r="CZ199" i="3"/>
  <c r="DB199" i="3" s="1"/>
  <c r="DA199" i="3"/>
  <c r="DC199" i="3"/>
  <c r="A200" i="3"/>
  <c r="Y200" i="3"/>
  <c r="CY200" i="3"/>
  <c r="CZ200" i="3"/>
  <c r="DB200" i="3" s="1"/>
  <c r="DA200" i="3"/>
  <c r="DC200" i="3"/>
  <c r="A201" i="3"/>
  <c r="Y201" i="3"/>
  <c r="CY201" i="3"/>
  <c r="CZ201" i="3"/>
  <c r="DA201" i="3"/>
  <c r="DB201" i="3"/>
  <c r="DC201" i="3"/>
  <c r="A202" i="3"/>
  <c r="Y202" i="3"/>
  <c r="CY202" i="3"/>
  <c r="CZ202" i="3"/>
  <c r="DB202" i="3" s="1"/>
  <c r="DA202" i="3"/>
  <c r="DC202" i="3"/>
  <c r="A203" i="3"/>
  <c r="Y203" i="3"/>
  <c r="CY203" i="3"/>
  <c r="CZ203" i="3"/>
  <c r="DA203" i="3"/>
  <c r="DB203" i="3"/>
  <c r="DC203" i="3"/>
  <c r="A204" i="3"/>
  <c r="Y204" i="3"/>
  <c r="CY204" i="3"/>
  <c r="CZ204" i="3"/>
  <c r="DB204" i="3" s="1"/>
  <c r="DA204" i="3"/>
  <c r="DC204" i="3"/>
  <c r="A205" i="3"/>
  <c r="Y205" i="3"/>
  <c r="CY205" i="3"/>
  <c r="CZ205" i="3"/>
  <c r="DA205" i="3"/>
  <c r="DB205" i="3"/>
  <c r="DC205" i="3"/>
  <c r="A206" i="3"/>
  <c r="Y206" i="3"/>
  <c r="CY206" i="3"/>
  <c r="CZ206" i="3"/>
  <c r="DB206" i="3" s="1"/>
  <c r="DA206" i="3"/>
  <c r="DC206" i="3"/>
  <c r="A207" i="3"/>
  <c r="Y207" i="3"/>
  <c r="CY207" i="3"/>
  <c r="CZ207" i="3"/>
  <c r="DA207" i="3"/>
  <c r="DB207" i="3"/>
  <c r="DC207" i="3"/>
  <c r="A208" i="3"/>
  <c r="Y208" i="3"/>
  <c r="CY208" i="3"/>
  <c r="CZ208" i="3"/>
  <c r="DB208" i="3" s="1"/>
  <c r="DA208" i="3"/>
  <c r="DC208" i="3"/>
  <c r="A209" i="3"/>
  <c r="Y209" i="3"/>
  <c r="CY209" i="3"/>
  <c r="CZ209" i="3"/>
  <c r="DB209" i="3" s="1"/>
  <c r="DA209" i="3"/>
  <c r="DC209" i="3"/>
  <c r="A210" i="3"/>
  <c r="Y210" i="3"/>
  <c r="CY210" i="3"/>
  <c r="CZ210" i="3"/>
  <c r="DA210" i="3"/>
  <c r="DB210" i="3"/>
  <c r="DC210" i="3"/>
  <c r="A211" i="3"/>
  <c r="Y211" i="3"/>
  <c r="CY211" i="3"/>
  <c r="CZ211" i="3"/>
  <c r="DA211" i="3"/>
  <c r="DB211" i="3"/>
  <c r="DC211" i="3"/>
  <c r="A212" i="3"/>
  <c r="Y212" i="3"/>
  <c r="CY212" i="3"/>
  <c r="CZ212" i="3"/>
  <c r="DB212" i="3" s="1"/>
  <c r="DA212" i="3"/>
  <c r="DC212" i="3"/>
  <c r="A213" i="3"/>
  <c r="Y213" i="3"/>
  <c r="CY213" i="3"/>
  <c r="CZ213" i="3"/>
  <c r="DB213" i="3" s="1"/>
  <c r="DA213" i="3"/>
  <c r="DC213" i="3"/>
  <c r="A214" i="3"/>
  <c r="Y214" i="3"/>
  <c r="CX214" i="3" s="1"/>
  <c r="CU214" i="3"/>
  <c r="CV214" i="3"/>
  <c r="CY214" i="3"/>
  <c r="CZ214" i="3"/>
  <c r="DB214" i="3" s="1"/>
  <c r="DA214" i="3"/>
  <c r="DC214" i="3"/>
  <c r="DF214" i="3"/>
  <c r="DG214" i="3"/>
  <c r="A215" i="3"/>
  <c r="Y215" i="3"/>
  <c r="CX215" i="3"/>
  <c r="DG215" i="3" s="1"/>
  <c r="CY215" i="3"/>
  <c r="CZ215" i="3"/>
  <c r="DB215" i="3" s="1"/>
  <c r="DA215" i="3"/>
  <c r="DC215" i="3"/>
  <c r="DF215" i="3"/>
  <c r="DJ215" i="3" s="1"/>
  <c r="DH215" i="3"/>
  <c r="DI215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I28" i="1"/>
  <c r="K28" i="1"/>
  <c r="W28" i="1"/>
  <c r="AC28" i="1"/>
  <c r="AE28" i="1"/>
  <c r="AD28" i="1" s="1"/>
  <c r="AF28" i="1"/>
  <c r="AG28" i="1"/>
  <c r="CU28" i="1" s="1"/>
  <c r="T28" i="1" s="1"/>
  <c r="AH28" i="1"/>
  <c r="AI28" i="1"/>
  <c r="AJ28" i="1"/>
  <c r="CQ28" i="1"/>
  <c r="CR28" i="1"/>
  <c r="CS28" i="1"/>
  <c r="CT28" i="1"/>
  <c r="CV28" i="1"/>
  <c r="CW28" i="1"/>
  <c r="CX28" i="1"/>
  <c r="GL28" i="1"/>
  <c r="GO28" i="1"/>
  <c r="GP28" i="1"/>
  <c r="GV28" i="1"/>
  <c r="HC28" i="1" s="1"/>
  <c r="GX28" i="1" s="1"/>
  <c r="I29" i="1"/>
  <c r="W29" i="1"/>
  <c r="AC29" i="1"/>
  <c r="AE29" i="1"/>
  <c r="AD29" i="1" s="1"/>
  <c r="AF29" i="1"/>
  <c r="AG29" i="1"/>
  <c r="CU29" i="1" s="1"/>
  <c r="T29" i="1" s="1"/>
  <c r="AH29" i="1"/>
  <c r="AI29" i="1"/>
  <c r="CW29" i="1" s="1"/>
  <c r="V29" i="1" s="1"/>
  <c r="AJ29" i="1"/>
  <c r="CQ29" i="1"/>
  <c r="P29" i="1" s="1"/>
  <c r="CR29" i="1"/>
  <c r="Q29" i="1" s="1"/>
  <c r="CS29" i="1"/>
  <c r="R29" i="1" s="1"/>
  <c r="CT29" i="1"/>
  <c r="S29" i="1" s="1"/>
  <c r="CV29" i="1"/>
  <c r="U29" i="1" s="1"/>
  <c r="CX29" i="1"/>
  <c r="GL29" i="1"/>
  <c r="GO29" i="1"/>
  <c r="GP29" i="1"/>
  <c r="GV29" i="1"/>
  <c r="HC29" i="1" s="1"/>
  <c r="GX29" i="1" s="1"/>
  <c r="I30" i="1"/>
  <c r="S30" i="1"/>
  <c r="AC30" i="1"/>
  <c r="AB30" i="1" s="1"/>
  <c r="AE30" i="1"/>
  <c r="AD30" i="1" s="1"/>
  <c r="AF30" i="1"/>
  <c r="AG30" i="1"/>
  <c r="CU30" i="1" s="1"/>
  <c r="T30" i="1" s="1"/>
  <c r="AH30" i="1"/>
  <c r="AI30" i="1"/>
  <c r="CW30" i="1" s="1"/>
  <c r="V30" i="1" s="1"/>
  <c r="AJ30" i="1"/>
  <c r="CQ30" i="1"/>
  <c r="P30" i="1" s="1"/>
  <c r="CP30" i="1" s="1"/>
  <c r="O30" i="1" s="1"/>
  <c r="CR30" i="1"/>
  <c r="Q30" i="1" s="1"/>
  <c r="CS30" i="1"/>
  <c r="R30" i="1" s="1"/>
  <c r="CT30" i="1"/>
  <c r="CV30" i="1"/>
  <c r="U30" i="1" s="1"/>
  <c r="CX30" i="1"/>
  <c r="W30" i="1" s="1"/>
  <c r="GL30" i="1"/>
  <c r="GO30" i="1"/>
  <c r="GP30" i="1"/>
  <c r="GV30" i="1"/>
  <c r="HC30" i="1" s="1"/>
  <c r="GX30" i="1" s="1"/>
  <c r="C31" i="1"/>
  <c r="D31" i="1"/>
  <c r="I31" i="1"/>
  <c r="K31" i="1"/>
  <c r="T31" i="1"/>
  <c r="AC31" i="1"/>
  <c r="AE31" i="1"/>
  <c r="AD31" i="1" s="1"/>
  <c r="AB31" i="1" s="1"/>
  <c r="AF31" i="1"/>
  <c r="AG31" i="1"/>
  <c r="AH31" i="1"/>
  <c r="AI31" i="1"/>
  <c r="AJ31" i="1"/>
  <c r="CX31" i="1" s="1"/>
  <c r="W31" i="1" s="1"/>
  <c r="CQ31" i="1"/>
  <c r="CR31" i="1"/>
  <c r="CS31" i="1"/>
  <c r="CT31" i="1"/>
  <c r="CU31" i="1"/>
  <c r="CV31" i="1"/>
  <c r="CW31" i="1"/>
  <c r="GL31" i="1"/>
  <c r="GO31" i="1"/>
  <c r="GP31" i="1"/>
  <c r="GV31" i="1"/>
  <c r="HC31" i="1" s="1"/>
  <c r="GX31" i="1" s="1"/>
  <c r="I32" i="1"/>
  <c r="AC32" i="1"/>
  <c r="AD32" i="1"/>
  <c r="AB32" i="1" s="1"/>
  <c r="AE32" i="1"/>
  <c r="AF32" i="1"/>
  <c r="AG32" i="1"/>
  <c r="AH32" i="1"/>
  <c r="CV32" i="1" s="1"/>
  <c r="U32" i="1" s="1"/>
  <c r="AI32" i="1"/>
  <c r="AJ32" i="1"/>
  <c r="CX32" i="1" s="1"/>
  <c r="W32" i="1" s="1"/>
  <c r="CQ32" i="1"/>
  <c r="P32" i="1" s="1"/>
  <c r="CP32" i="1" s="1"/>
  <c r="O32" i="1" s="1"/>
  <c r="CR32" i="1"/>
  <c r="Q32" i="1" s="1"/>
  <c r="CS32" i="1"/>
  <c r="R32" i="1" s="1"/>
  <c r="CT32" i="1"/>
  <c r="S32" i="1" s="1"/>
  <c r="CU32" i="1"/>
  <c r="T32" i="1" s="1"/>
  <c r="CW32" i="1"/>
  <c r="V32" i="1" s="1"/>
  <c r="CY32" i="1"/>
  <c r="X32" i="1" s="1"/>
  <c r="GL32" i="1"/>
  <c r="GO32" i="1"/>
  <c r="GP32" i="1"/>
  <c r="GV32" i="1"/>
  <c r="HC32" i="1" s="1"/>
  <c r="GX32" i="1"/>
  <c r="C33" i="1"/>
  <c r="D33" i="1"/>
  <c r="U33" i="1"/>
  <c r="G89" i="7" s="1"/>
  <c r="V33" i="1"/>
  <c r="G92" i="7" s="1"/>
  <c r="AC33" i="1"/>
  <c r="AE33" i="1"/>
  <c r="AD33" i="1" s="1"/>
  <c r="AF33" i="1"/>
  <c r="AG33" i="1"/>
  <c r="CU33" i="1" s="1"/>
  <c r="T33" i="1" s="1"/>
  <c r="AH33" i="1"/>
  <c r="AI33" i="1"/>
  <c r="AJ33" i="1"/>
  <c r="CQ33" i="1"/>
  <c r="CR33" i="1"/>
  <c r="CS33" i="1"/>
  <c r="CT33" i="1"/>
  <c r="CV33" i="1"/>
  <c r="CW33" i="1"/>
  <c r="CX33" i="1"/>
  <c r="W33" i="1" s="1"/>
  <c r="GL33" i="1"/>
  <c r="GO33" i="1"/>
  <c r="GP33" i="1"/>
  <c r="GV33" i="1"/>
  <c r="HC33" i="1" s="1"/>
  <c r="GX33" i="1" s="1"/>
  <c r="I34" i="1"/>
  <c r="S34" i="1"/>
  <c r="W34" i="1"/>
  <c r="AC34" i="1"/>
  <c r="AB34" i="1" s="1"/>
  <c r="AE34" i="1"/>
  <c r="AD34" i="1" s="1"/>
  <c r="AF34" i="1"/>
  <c r="AG34" i="1"/>
  <c r="CU34" i="1" s="1"/>
  <c r="T34" i="1" s="1"/>
  <c r="AH34" i="1"/>
  <c r="AI34" i="1"/>
  <c r="CW34" i="1" s="1"/>
  <c r="V34" i="1" s="1"/>
  <c r="AJ34" i="1"/>
  <c r="CQ34" i="1"/>
  <c r="P34" i="1" s="1"/>
  <c r="CP34" i="1" s="1"/>
  <c r="O34" i="1" s="1"/>
  <c r="CR34" i="1"/>
  <c r="Q34" i="1" s="1"/>
  <c r="CS34" i="1"/>
  <c r="R34" i="1" s="1"/>
  <c r="CT34" i="1"/>
  <c r="CV34" i="1"/>
  <c r="U34" i="1" s="1"/>
  <c r="CX34" i="1"/>
  <c r="GL34" i="1"/>
  <c r="GO34" i="1"/>
  <c r="GP34" i="1"/>
  <c r="GV34" i="1"/>
  <c r="HC34" i="1" s="1"/>
  <c r="GX34" i="1" s="1"/>
  <c r="I35" i="1"/>
  <c r="AC35" i="1"/>
  <c r="AE35" i="1"/>
  <c r="AD35" i="1" s="1"/>
  <c r="AF35" i="1"/>
  <c r="AG35" i="1"/>
  <c r="CU35" i="1" s="1"/>
  <c r="T35" i="1" s="1"/>
  <c r="AH35" i="1"/>
  <c r="AI35" i="1"/>
  <c r="CW35" i="1" s="1"/>
  <c r="V35" i="1" s="1"/>
  <c r="AJ35" i="1"/>
  <c r="CQ35" i="1"/>
  <c r="P35" i="1" s="1"/>
  <c r="CR35" i="1"/>
  <c r="Q35" i="1" s="1"/>
  <c r="CS35" i="1"/>
  <c r="R35" i="1" s="1"/>
  <c r="CT35" i="1"/>
  <c r="S35" i="1" s="1"/>
  <c r="CV35" i="1"/>
  <c r="U35" i="1" s="1"/>
  <c r="CX35" i="1"/>
  <c r="W35" i="1" s="1"/>
  <c r="GL35" i="1"/>
  <c r="GO35" i="1"/>
  <c r="GP35" i="1"/>
  <c r="GV35" i="1"/>
  <c r="HC35" i="1" s="1"/>
  <c r="GX35" i="1" s="1"/>
  <c r="C36" i="1"/>
  <c r="D36" i="1"/>
  <c r="U36" i="1"/>
  <c r="G115" i="7" s="1"/>
  <c r="V36" i="1"/>
  <c r="G118" i="7" s="1"/>
  <c r="AC36" i="1"/>
  <c r="AD36" i="1"/>
  <c r="AE36" i="1"/>
  <c r="AF36" i="1"/>
  <c r="AG36" i="1"/>
  <c r="AH36" i="1"/>
  <c r="AI36" i="1"/>
  <c r="AJ36" i="1"/>
  <c r="CX36" i="1" s="1"/>
  <c r="W36" i="1" s="1"/>
  <c r="CQ36" i="1"/>
  <c r="CR36" i="1"/>
  <c r="CS36" i="1"/>
  <c r="CT36" i="1"/>
  <c r="CU36" i="1"/>
  <c r="T36" i="1" s="1"/>
  <c r="CV36" i="1"/>
  <c r="CW36" i="1"/>
  <c r="GL36" i="1"/>
  <c r="GN36" i="1"/>
  <c r="GP36" i="1"/>
  <c r="GV36" i="1"/>
  <c r="GX36" i="1"/>
  <c r="HC36" i="1"/>
  <c r="I37" i="1"/>
  <c r="AC37" i="1"/>
  <c r="AD37" i="1"/>
  <c r="AE37" i="1"/>
  <c r="AF37" i="1"/>
  <c r="AB37" i="1" s="1"/>
  <c r="AG37" i="1"/>
  <c r="AH37" i="1"/>
  <c r="AI37" i="1"/>
  <c r="AJ37" i="1"/>
  <c r="CP37" i="1"/>
  <c r="CQ37" i="1"/>
  <c r="CR37" i="1"/>
  <c r="Q37" i="1" s="1"/>
  <c r="CS37" i="1"/>
  <c r="R37" i="1" s="1"/>
  <c r="CT37" i="1"/>
  <c r="S37" i="1" s="1"/>
  <c r="CU37" i="1"/>
  <c r="T37" i="1" s="1"/>
  <c r="CV37" i="1"/>
  <c r="U37" i="1" s="1"/>
  <c r="CW37" i="1"/>
  <c r="V37" i="1" s="1"/>
  <c r="CX37" i="1"/>
  <c r="W37" i="1" s="1"/>
  <c r="CY37" i="1"/>
  <c r="X37" i="1" s="1"/>
  <c r="CZ37" i="1"/>
  <c r="Y37" i="1" s="1"/>
  <c r="GL37" i="1"/>
  <c r="GN37" i="1"/>
  <c r="GP37" i="1"/>
  <c r="GV37" i="1"/>
  <c r="HC37" i="1"/>
  <c r="C38" i="1"/>
  <c r="D38" i="1"/>
  <c r="U38" i="1"/>
  <c r="G132" i="7" s="1"/>
  <c r="AC38" i="1"/>
  <c r="AE38" i="1"/>
  <c r="AD38" i="1" s="1"/>
  <c r="AF38" i="1"/>
  <c r="AG38" i="1"/>
  <c r="CU38" i="1" s="1"/>
  <c r="T38" i="1" s="1"/>
  <c r="AH38" i="1"/>
  <c r="AI38" i="1"/>
  <c r="AJ38" i="1"/>
  <c r="CQ38" i="1"/>
  <c r="CR38" i="1"/>
  <c r="CS38" i="1"/>
  <c r="CT38" i="1"/>
  <c r="CV38" i="1"/>
  <c r="CW38" i="1"/>
  <c r="CX38" i="1"/>
  <c r="W38" i="1" s="1"/>
  <c r="GL38" i="1"/>
  <c r="GN38" i="1"/>
  <c r="GP38" i="1"/>
  <c r="GV38" i="1"/>
  <c r="HC38" i="1"/>
  <c r="GX38" i="1" s="1"/>
  <c r="I39" i="1"/>
  <c r="P39" i="1"/>
  <c r="Y39" i="1"/>
  <c r="AC39" i="1"/>
  <c r="AE39" i="1"/>
  <c r="AD39" i="1" s="1"/>
  <c r="AF39" i="1"/>
  <c r="AG39" i="1"/>
  <c r="AH39" i="1"/>
  <c r="AI39" i="1"/>
  <c r="AJ39" i="1"/>
  <c r="CP39" i="1"/>
  <c r="CQ39" i="1"/>
  <c r="CR39" i="1"/>
  <c r="Q39" i="1" s="1"/>
  <c r="CS39" i="1"/>
  <c r="R39" i="1" s="1"/>
  <c r="CT39" i="1"/>
  <c r="S39" i="1" s="1"/>
  <c r="CU39" i="1"/>
  <c r="T39" i="1" s="1"/>
  <c r="CV39" i="1"/>
  <c r="U39" i="1" s="1"/>
  <c r="CW39" i="1"/>
  <c r="V39" i="1" s="1"/>
  <c r="CX39" i="1"/>
  <c r="W39" i="1" s="1"/>
  <c r="CY39" i="1"/>
  <c r="X39" i="1" s="1"/>
  <c r="CZ39" i="1"/>
  <c r="GL39" i="1"/>
  <c r="GN39" i="1"/>
  <c r="GP39" i="1"/>
  <c r="GV39" i="1"/>
  <c r="HC39" i="1"/>
  <c r="GX39" i="1" s="1"/>
  <c r="I40" i="1"/>
  <c r="Q40" i="1"/>
  <c r="Y40" i="1"/>
  <c r="AC40" i="1"/>
  <c r="AE40" i="1"/>
  <c r="AD40" i="1" s="1"/>
  <c r="AF40" i="1"/>
  <c r="AG40" i="1"/>
  <c r="CU40" i="1" s="1"/>
  <c r="T40" i="1" s="1"/>
  <c r="AH40" i="1"/>
  <c r="AI40" i="1"/>
  <c r="CW40" i="1" s="1"/>
  <c r="V40" i="1" s="1"/>
  <c r="AJ40" i="1"/>
  <c r="CQ40" i="1"/>
  <c r="P40" i="1" s="1"/>
  <c r="CP40" i="1" s="1"/>
  <c r="O40" i="1" s="1"/>
  <c r="CR40" i="1"/>
  <c r="CS40" i="1"/>
  <c r="R40" i="1" s="1"/>
  <c r="CT40" i="1"/>
  <c r="S40" i="1" s="1"/>
  <c r="CV40" i="1"/>
  <c r="U40" i="1" s="1"/>
  <c r="CX40" i="1"/>
  <c r="W40" i="1" s="1"/>
  <c r="CZ40" i="1"/>
  <c r="GL40" i="1"/>
  <c r="GN40" i="1"/>
  <c r="GP40" i="1"/>
  <c r="GV40" i="1"/>
  <c r="HC40" i="1"/>
  <c r="GX40" i="1" s="1"/>
  <c r="C41" i="1"/>
  <c r="D41" i="1"/>
  <c r="I41" i="1"/>
  <c r="K41" i="1"/>
  <c r="AC41" i="1"/>
  <c r="AD41" i="1"/>
  <c r="AE41" i="1"/>
  <c r="AF41" i="1"/>
  <c r="AG41" i="1"/>
  <c r="AH41" i="1"/>
  <c r="AI41" i="1"/>
  <c r="AJ41" i="1"/>
  <c r="CX41" i="1" s="1"/>
  <c r="W41" i="1" s="1"/>
  <c r="CQ41" i="1"/>
  <c r="CR41" i="1"/>
  <c r="CS41" i="1"/>
  <c r="CT41" i="1"/>
  <c r="CU41" i="1"/>
  <c r="T41" i="1" s="1"/>
  <c r="CV41" i="1"/>
  <c r="CW41" i="1"/>
  <c r="GL41" i="1"/>
  <c r="GO41" i="1"/>
  <c r="GP41" i="1"/>
  <c r="GV41" i="1"/>
  <c r="GX41" i="1"/>
  <c r="HC41" i="1"/>
  <c r="B43" i="1"/>
  <c r="B26" i="1" s="1"/>
  <c r="C43" i="1"/>
  <c r="C26" i="1" s="1"/>
  <c r="D43" i="1"/>
  <c r="D26" i="1" s="1"/>
  <c r="F43" i="1"/>
  <c r="F26" i="1" s="1"/>
  <c r="G43" i="1"/>
  <c r="G26" i="1" s="1"/>
  <c r="BX43" i="1"/>
  <c r="AO43" i="1" s="1"/>
  <c r="BY43" i="1"/>
  <c r="CK43" i="1"/>
  <c r="CK26" i="1" s="1"/>
  <c r="CL43" i="1"/>
  <c r="CL26" i="1" s="1"/>
  <c r="CM43" i="1"/>
  <c r="CM26" i="1" s="1"/>
  <c r="D73" i="1"/>
  <c r="B75" i="1"/>
  <c r="C75" i="1"/>
  <c r="E75" i="1"/>
  <c r="F75" i="1"/>
  <c r="G75" i="1"/>
  <c r="Z75" i="1"/>
  <c r="AA75" i="1"/>
  <c r="AM75" i="1"/>
  <c r="AN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CL75" i="1"/>
  <c r="CN75" i="1"/>
  <c r="CO75" i="1"/>
  <c r="CP75" i="1"/>
  <c r="CQ75" i="1"/>
  <c r="CR75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FD75" i="1"/>
  <c r="FE75" i="1"/>
  <c r="FF75" i="1"/>
  <c r="FG75" i="1"/>
  <c r="FH75" i="1"/>
  <c r="FI75" i="1"/>
  <c r="FJ75" i="1"/>
  <c r="FK75" i="1"/>
  <c r="FL75" i="1"/>
  <c r="FM75" i="1"/>
  <c r="FN75" i="1"/>
  <c r="FO75" i="1"/>
  <c r="FP75" i="1"/>
  <c r="FQ75" i="1"/>
  <c r="FR75" i="1"/>
  <c r="FS75" i="1"/>
  <c r="FT75" i="1"/>
  <c r="FU75" i="1"/>
  <c r="FV75" i="1"/>
  <c r="FW75" i="1"/>
  <c r="FX75" i="1"/>
  <c r="FY75" i="1"/>
  <c r="FZ75" i="1"/>
  <c r="GA75" i="1"/>
  <c r="GB75" i="1"/>
  <c r="GC75" i="1"/>
  <c r="GD75" i="1"/>
  <c r="GE75" i="1"/>
  <c r="GF75" i="1"/>
  <c r="GG75" i="1"/>
  <c r="GH75" i="1"/>
  <c r="GI75" i="1"/>
  <c r="GJ75" i="1"/>
  <c r="GK75" i="1"/>
  <c r="GL75" i="1"/>
  <c r="GM75" i="1"/>
  <c r="GN75" i="1"/>
  <c r="GO75" i="1"/>
  <c r="GP75" i="1"/>
  <c r="GQ75" i="1"/>
  <c r="GR75" i="1"/>
  <c r="GS75" i="1"/>
  <c r="GT75" i="1"/>
  <c r="GU75" i="1"/>
  <c r="GV75" i="1"/>
  <c r="GW75" i="1"/>
  <c r="GX75" i="1"/>
  <c r="C77" i="1"/>
  <c r="D77" i="1"/>
  <c r="I77" i="1"/>
  <c r="CU44" i="3" s="1"/>
  <c r="K77" i="1"/>
  <c r="V77" i="1"/>
  <c r="AC77" i="1"/>
  <c r="AB77" i="1" s="1"/>
  <c r="AE77" i="1"/>
  <c r="AD77" i="1" s="1"/>
  <c r="AF77" i="1"/>
  <c r="AG77" i="1"/>
  <c r="AH77" i="1"/>
  <c r="AI77" i="1"/>
  <c r="AJ77" i="1"/>
  <c r="CX77" i="1" s="1"/>
  <c r="W77" i="1" s="1"/>
  <c r="CQ77" i="1"/>
  <c r="CR77" i="1"/>
  <c r="CS77" i="1"/>
  <c r="CT77" i="1"/>
  <c r="CU77" i="1"/>
  <c r="T77" i="1" s="1"/>
  <c r="CV77" i="1"/>
  <c r="CW77" i="1"/>
  <c r="GL77" i="1"/>
  <c r="GO77" i="1"/>
  <c r="GP77" i="1"/>
  <c r="GV77" i="1"/>
  <c r="HC77" i="1"/>
  <c r="GX77" i="1" s="1"/>
  <c r="C78" i="1"/>
  <c r="D78" i="1"/>
  <c r="U78" i="1"/>
  <c r="G217" i="7" s="1"/>
  <c r="V78" i="1"/>
  <c r="AC78" i="1"/>
  <c r="AE78" i="1"/>
  <c r="AD78" i="1" s="1"/>
  <c r="AF78" i="1"/>
  <c r="AG78" i="1"/>
  <c r="AH78" i="1"/>
  <c r="AI78" i="1"/>
  <c r="AJ78" i="1"/>
  <c r="CQ78" i="1"/>
  <c r="CR78" i="1"/>
  <c r="CS78" i="1"/>
  <c r="CT78" i="1"/>
  <c r="CU78" i="1"/>
  <c r="T78" i="1" s="1"/>
  <c r="CV78" i="1"/>
  <c r="CW78" i="1"/>
  <c r="CX78" i="1"/>
  <c r="W78" i="1" s="1"/>
  <c r="GL78" i="1"/>
  <c r="GO78" i="1"/>
  <c r="GP78" i="1"/>
  <c r="GV78" i="1"/>
  <c r="HC78" i="1"/>
  <c r="GX78" i="1" s="1"/>
  <c r="I79" i="1"/>
  <c r="P79" i="1"/>
  <c r="X79" i="1"/>
  <c r="AC79" i="1"/>
  <c r="AE79" i="1"/>
  <c r="AD79" i="1" s="1"/>
  <c r="AF79" i="1"/>
  <c r="AG79" i="1"/>
  <c r="AH79" i="1"/>
  <c r="AI79" i="1"/>
  <c r="CW79" i="1" s="1"/>
  <c r="V79" i="1" s="1"/>
  <c r="AJ79" i="1"/>
  <c r="CQ79" i="1"/>
  <c r="CR79" i="1"/>
  <c r="Q79" i="1" s="1"/>
  <c r="CS79" i="1"/>
  <c r="R79" i="1" s="1"/>
  <c r="CT79" i="1"/>
  <c r="S79" i="1" s="1"/>
  <c r="CU79" i="1"/>
  <c r="T79" i="1" s="1"/>
  <c r="CV79" i="1"/>
  <c r="U79" i="1" s="1"/>
  <c r="CX79" i="1"/>
  <c r="W79" i="1" s="1"/>
  <c r="CY79" i="1"/>
  <c r="CZ79" i="1"/>
  <c r="Y79" i="1" s="1"/>
  <c r="GL79" i="1"/>
  <c r="GN79" i="1"/>
  <c r="GO79" i="1"/>
  <c r="GP79" i="1"/>
  <c r="GV79" i="1"/>
  <c r="HC79" i="1" s="1"/>
  <c r="GX79" i="1" s="1"/>
  <c r="I80" i="1"/>
  <c r="P80" i="1"/>
  <c r="X80" i="1"/>
  <c r="AC80" i="1"/>
  <c r="AD80" i="1"/>
  <c r="AE80" i="1"/>
  <c r="AF80" i="1"/>
  <c r="AG80" i="1"/>
  <c r="AH80" i="1"/>
  <c r="CV80" i="1" s="1"/>
  <c r="U80" i="1" s="1"/>
  <c r="AI80" i="1"/>
  <c r="AJ80" i="1"/>
  <c r="CQ80" i="1"/>
  <c r="CR80" i="1"/>
  <c r="Q80" i="1" s="1"/>
  <c r="CS80" i="1"/>
  <c r="R80" i="1" s="1"/>
  <c r="CT80" i="1"/>
  <c r="S80" i="1" s="1"/>
  <c r="CU80" i="1"/>
  <c r="T80" i="1" s="1"/>
  <c r="CW80" i="1"/>
  <c r="V80" i="1" s="1"/>
  <c r="CX80" i="1"/>
  <c r="W80" i="1" s="1"/>
  <c r="CY80" i="1"/>
  <c r="CZ80" i="1"/>
  <c r="Y80" i="1" s="1"/>
  <c r="GL80" i="1"/>
  <c r="GN80" i="1"/>
  <c r="GO80" i="1"/>
  <c r="GP80" i="1"/>
  <c r="GV80" i="1"/>
  <c r="HC80" i="1" s="1"/>
  <c r="GX80" i="1" s="1"/>
  <c r="C81" i="1"/>
  <c r="D81" i="1"/>
  <c r="I81" i="1"/>
  <c r="CU56" i="3" s="1"/>
  <c r="K81" i="1"/>
  <c r="T81" i="1"/>
  <c r="V81" i="1"/>
  <c r="AC81" i="1"/>
  <c r="AD81" i="1"/>
  <c r="AE81" i="1"/>
  <c r="AF81" i="1"/>
  <c r="AG81" i="1"/>
  <c r="CU81" i="1" s="1"/>
  <c r="AH81" i="1"/>
  <c r="AI81" i="1"/>
  <c r="AJ81" i="1"/>
  <c r="CQ81" i="1"/>
  <c r="CR81" i="1"/>
  <c r="CS81" i="1"/>
  <c r="CT81" i="1"/>
  <c r="CV81" i="1"/>
  <c r="CW81" i="1"/>
  <c r="CX81" i="1"/>
  <c r="W81" i="1" s="1"/>
  <c r="GL81" i="1"/>
  <c r="GO81" i="1"/>
  <c r="GP81" i="1"/>
  <c r="GV81" i="1"/>
  <c r="HC81" i="1" s="1"/>
  <c r="GX81" i="1"/>
  <c r="C82" i="1"/>
  <c r="D82" i="1"/>
  <c r="U82" i="1"/>
  <c r="G242" i="7" s="1"/>
  <c r="V82" i="1"/>
  <c r="AC82" i="1"/>
  <c r="AE82" i="1"/>
  <c r="AD82" i="1" s="1"/>
  <c r="AF82" i="1"/>
  <c r="AG82" i="1"/>
  <c r="CU82" i="1" s="1"/>
  <c r="T82" i="1" s="1"/>
  <c r="AH82" i="1"/>
  <c r="AI82" i="1"/>
  <c r="AJ82" i="1"/>
  <c r="CX82" i="1" s="1"/>
  <c r="W82" i="1" s="1"/>
  <c r="CQ82" i="1"/>
  <c r="CR82" i="1"/>
  <c r="CS82" i="1"/>
  <c r="CT82" i="1"/>
  <c r="CV82" i="1"/>
  <c r="CW82" i="1"/>
  <c r="GL82" i="1"/>
  <c r="GO82" i="1"/>
  <c r="GP82" i="1"/>
  <c r="GV82" i="1"/>
  <c r="HC82" i="1" s="1"/>
  <c r="GX82" i="1" s="1"/>
  <c r="I83" i="1"/>
  <c r="R83" i="1"/>
  <c r="AB83" i="1"/>
  <c r="AC83" i="1"/>
  <c r="AE83" i="1"/>
  <c r="AD83" i="1" s="1"/>
  <c r="AF83" i="1"/>
  <c r="AG83" i="1"/>
  <c r="CU83" i="1" s="1"/>
  <c r="T83" i="1" s="1"/>
  <c r="AH83" i="1"/>
  <c r="AI83" i="1"/>
  <c r="AJ83" i="1"/>
  <c r="CQ83" i="1"/>
  <c r="CR83" i="1"/>
  <c r="Q83" i="1" s="1"/>
  <c r="CS83" i="1"/>
  <c r="CT83" i="1"/>
  <c r="S83" i="1" s="1"/>
  <c r="CV83" i="1"/>
  <c r="CW83" i="1"/>
  <c r="V83" i="1" s="1"/>
  <c r="CX83" i="1"/>
  <c r="W83" i="1" s="1"/>
  <c r="CY83" i="1"/>
  <c r="X83" i="1" s="1"/>
  <c r="CZ83" i="1"/>
  <c r="Y83" i="1" s="1"/>
  <c r="GL83" i="1"/>
  <c r="GN83" i="1"/>
  <c r="GO83" i="1"/>
  <c r="GP83" i="1"/>
  <c r="GV83" i="1"/>
  <c r="HC83" i="1"/>
  <c r="GX83" i="1" s="1"/>
  <c r="C84" i="1"/>
  <c r="D84" i="1"/>
  <c r="I84" i="1"/>
  <c r="K84" i="1"/>
  <c r="AC84" i="1"/>
  <c r="AE84" i="1"/>
  <c r="AD84" i="1" s="1"/>
  <c r="AB84" i="1" s="1"/>
  <c r="AF84" i="1"/>
  <c r="AG84" i="1"/>
  <c r="CU84" i="1" s="1"/>
  <c r="T84" i="1" s="1"/>
  <c r="AH84" i="1"/>
  <c r="AI84" i="1"/>
  <c r="AJ84" i="1"/>
  <c r="CQ84" i="1"/>
  <c r="CR84" i="1"/>
  <c r="CS84" i="1"/>
  <c r="CT84" i="1"/>
  <c r="CV84" i="1"/>
  <c r="CW84" i="1"/>
  <c r="CX84" i="1"/>
  <c r="W84" i="1" s="1"/>
  <c r="GL84" i="1"/>
  <c r="GO84" i="1"/>
  <c r="GP84" i="1"/>
  <c r="GV84" i="1"/>
  <c r="HC84" i="1" s="1"/>
  <c r="GX84" i="1" s="1"/>
  <c r="I85" i="1"/>
  <c r="S85" i="1"/>
  <c r="W85" i="1"/>
  <c r="AC85" i="1"/>
  <c r="AB85" i="1" s="1"/>
  <c r="AE85" i="1"/>
  <c r="AD85" i="1" s="1"/>
  <c r="AF85" i="1"/>
  <c r="AG85" i="1"/>
  <c r="CU85" i="1" s="1"/>
  <c r="AH85" i="1"/>
  <c r="AI85" i="1"/>
  <c r="AJ85" i="1"/>
  <c r="CQ85" i="1"/>
  <c r="P85" i="1" s="1"/>
  <c r="CP85" i="1" s="1"/>
  <c r="O85" i="1" s="1"/>
  <c r="CR85" i="1"/>
  <c r="Q85" i="1" s="1"/>
  <c r="CS85" i="1"/>
  <c r="R85" i="1" s="1"/>
  <c r="CT85" i="1"/>
  <c r="CV85" i="1"/>
  <c r="U85" i="1" s="1"/>
  <c r="CW85" i="1"/>
  <c r="V85" i="1" s="1"/>
  <c r="CX85" i="1"/>
  <c r="GL85" i="1"/>
  <c r="GO85" i="1"/>
  <c r="GP85" i="1"/>
  <c r="GV85" i="1"/>
  <c r="HC85" i="1" s="1"/>
  <c r="C86" i="1"/>
  <c r="D86" i="1"/>
  <c r="U86" i="1"/>
  <c r="G270" i="7" s="1"/>
  <c r="AC86" i="1"/>
  <c r="AE86" i="1"/>
  <c r="AD86" i="1" s="1"/>
  <c r="AF86" i="1"/>
  <c r="AG86" i="1"/>
  <c r="AH86" i="1"/>
  <c r="AI86" i="1"/>
  <c r="AJ86" i="1"/>
  <c r="CX86" i="1" s="1"/>
  <c r="W86" i="1" s="1"/>
  <c r="CQ86" i="1"/>
  <c r="CR86" i="1"/>
  <c r="CS86" i="1"/>
  <c r="CT86" i="1"/>
  <c r="CU86" i="1"/>
  <c r="T86" i="1" s="1"/>
  <c r="CV86" i="1"/>
  <c r="CW86" i="1"/>
  <c r="GL86" i="1"/>
  <c r="GO86" i="1"/>
  <c r="GP86" i="1"/>
  <c r="GV86" i="1"/>
  <c r="HC86" i="1"/>
  <c r="GX86" i="1" s="1"/>
  <c r="I87" i="1"/>
  <c r="Q87" i="1" s="1"/>
  <c r="R87" i="1"/>
  <c r="AB87" i="1"/>
  <c r="AC87" i="1"/>
  <c r="AE87" i="1"/>
  <c r="AD87" i="1" s="1"/>
  <c r="AF87" i="1"/>
  <c r="AG87" i="1"/>
  <c r="AH87" i="1"/>
  <c r="AI87" i="1"/>
  <c r="AJ87" i="1"/>
  <c r="CX87" i="1" s="1"/>
  <c r="CQ87" i="1"/>
  <c r="P87" i="1" s="1"/>
  <c r="CR87" i="1"/>
  <c r="CS87" i="1"/>
  <c r="CT87" i="1"/>
  <c r="CU87" i="1"/>
  <c r="T87" i="1" s="1"/>
  <c r="CV87" i="1"/>
  <c r="U87" i="1" s="1"/>
  <c r="CW87" i="1"/>
  <c r="V87" i="1" s="1"/>
  <c r="GL87" i="1"/>
  <c r="GO87" i="1"/>
  <c r="GP87" i="1"/>
  <c r="GV87" i="1"/>
  <c r="HC87" i="1"/>
  <c r="GX87" i="1" s="1"/>
  <c r="I88" i="1"/>
  <c r="R88" i="1"/>
  <c r="U88" i="1"/>
  <c r="AC88" i="1"/>
  <c r="AE88" i="1"/>
  <c r="AD88" i="1" s="1"/>
  <c r="AF88" i="1"/>
  <c r="AB88" i="1" s="1"/>
  <c r="AG88" i="1"/>
  <c r="AH88" i="1"/>
  <c r="AI88" i="1"/>
  <c r="AJ88" i="1"/>
  <c r="CX88" i="1" s="1"/>
  <c r="W88" i="1" s="1"/>
  <c r="CQ88" i="1"/>
  <c r="P88" i="1" s="1"/>
  <c r="CR88" i="1"/>
  <c r="Q88" i="1" s="1"/>
  <c r="CS88" i="1"/>
  <c r="CT88" i="1"/>
  <c r="S88" i="1" s="1"/>
  <c r="CY88" i="1" s="1"/>
  <c r="X88" i="1" s="1"/>
  <c r="CU88" i="1"/>
  <c r="T88" i="1" s="1"/>
  <c r="CV88" i="1"/>
  <c r="CW88" i="1"/>
  <c r="V88" i="1" s="1"/>
  <c r="CZ88" i="1"/>
  <c r="Y88" i="1" s="1"/>
  <c r="GL88" i="1"/>
  <c r="GO88" i="1"/>
  <c r="GP88" i="1"/>
  <c r="GV88" i="1"/>
  <c r="HC88" i="1"/>
  <c r="GX88" i="1" s="1"/>
  <c r="C89" i="1"/>
  <c r="D89" i="1"/>
  <c r="I89" i="1"/>
  <c r="K89" i="1"/>
  <c r="V89" i="1"/>
  <c r="AC89" i="1"/>
  <c r="AE89" i="1"/>
  <c r="AD89" i="1" s="1"/>
  <c r="AF89" i="1"/>
  <c r="AG89" i="1"/>
  <c r="CU89" i="1" s="1"/>
  <c r="T89" i="1" s="1"/>
  <c r="AH89" i="1"/>
  <c r="AI89" i="1"/>
  <c r="AJ89" i="1"/>
  <c r="CQ89" i="1"/>
  <c r="CR89" i="1"/>
  <c r="CS89" i="1"/>
  <c r="CT89" i="1"/>
  <c r="CV89" i="1"/>
  <c r="CW89" i="1"/>
  <c r="CX89" i="1"/>
  <c r="W89" i="1" s="1"/>
  <c r="GL89" i="1"/>
  <c r="GO89" i="1"/>
  <c r="GP89" i="1"/>
  <c r="GV89" i="1"/>
  <c r="HC89" i="1" s="1"/>
  <c r="GX89" i="1" s="1"/>
  <c r="I90" i="1"/>
  <c r="R90" i="1"/>
  <c r="AB90" i="1"/>
  <c r="AC90" i="1"/>
  <c r="AE90" i="1"/>
  <c r="AD90" i="1" s="1"/>
  <c r="AF90" i="1"/>
  <c r="AG90" i="1"/>
  <c r="CU90" i="1" s="1"/>
  <c r="T90" i="1" s="1"/>
  <c r="AH90" i="1"/>
  <c r="AI90" i="1"/>
  <c r="AJ90" i="1"/>
  <c r="CQ90" i="1"/>
  <c r="CR90" i="1"/>
  <c r="Q90" i="1" s="1"/>
  <c r="CS90" i="1"/>
  <c r="CT90" i="1"/>
  <c r="S90" i="1" s="1"/>
  <c r="CV90" i="1"/>
  <c r="CW90" i="1"/>
  <c r="V90" i="1" s="1"/>
  <c r="CX90" i="1"/>
  <c r="W90" i="1" s="1"/>
  <c r="GL90" i="1"/>
  <c r="GO90" i="1"/>
  <c r="GP90" i="1"/>
  <c r="GV90" i="1"/>
  <c r="HC90" i="1" s="1"/>
  <c r="GX90" i="1" s="1"/>
  <c r="C91" i="1"/>
  <c r="D91" i="1"/>
  <c r="AC91" i="1"/>
  <c r="AE91" i="1"/>
  <c r="AD91" i="1" s="1"/>
  <c r="AB91" i="1" s="1"/>
  <c r="AF91" i="1"/>
  <c r="AG91" i="1"/>
  <c r="AH91" i="1"/>
  <c r="AI91" i="1"/>
  <c r="AJ91" i="1"/>
  <c r="CX91" i="1" s="1"/>
  <c r="W91" i="1" s="1"/>
  <c r="CQ91" i="1"/>
  <c r="CR91" i="1"/>
  <c r="CS91" i="1"/>
  <c r="CT91" i="1"/>
  <c r="CU91" i="1"/>
  <c r="T91" i="1" s="1"/>
  <c r="CV91" i="1"/>
  <c r="CW91" i="1"/>
  <c r="GL91" i="1"/>
  <c r="GO91" i="1"/>
  <c r="GP91" i="1"/>
  <c r="GV91" i="1"/>
  <c r="HC91" i="1"/>
  <c r="GX91" i="1" s="1"/>
  <c r="I92" i="1"/>
  <c r="R92" i="1"/>
  <c r="AC92" i="1"/>
  <c r="AE92" i="1"/>
  <c r="AD92" i="1" s="1"/>
  <c r="AF92" i="1"/>
  <c r="AB92" i="1" s="1"/>
  <c r="AG92" i="1"/>
  <c r="AH92" i="1"/>
  <c r="AI92" i="1"/>
  <c r="AJ92" i="1"/>
  <c r="CX92" i="1" s="1"/>
  <c r="W92" i="1" s="1"/>
  <c r="CQ92" i="1"/>
  <c r="P92" i="1" s="1"/>
  <c r="CR92" i="1"/>
  <c r="Q92" i="1" s="1"/>
  <c r="CS92" i="1"/>
  <c r="CT92" i="1"/>
  <c r="S92" i="1" s="1"/>
  <c r="CY92" i="1" s="1"/>
  <c r="X92" i="1" s="1"/>
  <c r="CU92" i="1"/>
  <c r="T92" i="1" s="1"/>
  <c r="CV92" i="1"/>
  <c r="U92" i="1" s="1"/>
  <c r="CW92" i="1"/>
  <c r="V92" i="1" s="1"/>
  <c r="CZ92" i="1"/>
  <c r="Y92" i="1" s="1"/>
  <c r="GL92" i="1"/>
  <c r="GO92" i="1"/>
  <c r="GP92" i="1"/>
  <c r="GV92" i="1"/>
  <c r="HC92" i="1"/>
  <c r="GX92" i="1" s="1"/>
  <c r="C93" i="1"/>
  <c r="D93" i="1"/>
  <c r="AC93" i="1"/>
  <c r="AE93" i="1"/>
  <c r="AD93" i="1" s="1"/>
  <c r="AF93" i="1"/>
  <c r="AG93" i="1"/>
  <c r="AH93" i="1"/>
  <c r="AI93" i="1"/>
  <c r="AJ93" i="1"/>
  <c r="CQ93" i="1"/>
  <c r="CR93" i="1"/>
  <c r="CS93" i="1"/>
  <c r="CT93" i="1"/>
  <c r="CU93" i="1"/>
  <c r="T93" i="1" s="1"/>
  <c r="CV93" i="1"/>
  <c r="CW93" i="1"/>
  <c r="CX93" i="1"/>
  <c r="W93" i="1" s="1"/>
  <c r="GL93" i="1"/>
  <c r="GO93" i="1"/>
  <c r="GP93" i="1"/>
  <c r="GV93" i="1"/>
  <c r="HC93" i="1"/>
  <c r="GX93" i="1" s="1"/>
  <c r="I94" i="1"/>
  <c r="Q94" i="1"/>
  <c r="T94" i="1"/>
  <c r="AC94" i="1"/>
  <c r="AE94" i="1"/>
  <c r="AD94" i="1" s="1"/>
  <c r="AF94" i="1"/>
  <c r="AG94" i="1"/>
  <c r="AH94" i="1"/>
  <c r="AI94" i="1"/>
  <c r="CW94" i="1" s="1"/>
  <c r="V94" i="1" s="1"/>
  <c r="AJ94" i="1"/>
  <c r="CQ94" i="1"/>
  <c r="P94" i="1" s="1"/>
  <c r="CP94" i="1" s="1"/>
  <c r="O94" i="1" s="1"/>
  <c r="CR94" i="1"/>
  <c r="CS94" i="1"/>
  <c r="R94" i="1" s="1"/>
  <c r="CY94" i="1" s="1"/>
  <c r="X94" i="1" s="1"/>
  <c r="CT94" i="1"/>
  <c r="S94" i="1" s="1"/>
  <c r="CU94" i="1"/>
  <c r="CV94" i="1"/>
  <c r="U94" i="1" s="1"/>
  <c r="CX94" i="1"/>
  <c r="W94" i="1" s="1"/>
  <c r="GL94" i="1"/>
  <c r="GO94" i="1"/>
  <c r="GP94" i="1"/>
  <c r="GV94" i="1"/>
  <c r="GX94" i="1"/>
  <c r="HC94" i="1"/>
  <c r="C95" i="1"/>
  <c r="D95" i="1"/>
  <c r="I95" i="1"/>
  <c r="K95" i="1"/>
  <c r="V95" i="1"/>
  <c r="AC95" i="1"/>
  <c r="AE95" i="1"/>
  <c r="AD95" i="1" s="1"/>
  <c r="AF95" i="1"/>
  <c r="AG95" i="1"/>
  <c r="AH95" i="1"/>
  <c r="AI95" i="1"/>
  <c r="AJ95" i="1"/>
  <c r="CX95" i="1" s="1"/>
  <c r="W95" i="1" s="1"/>
  <c r="CQ95" i="1"/>
  <c r="CR95" i="1"/>
  <c r="CS95" i="1"/>
  <c r="CT95" i="1"/>
  <c r="CU95" i="1"/>
  <c r="CV95" i="1"/>
  <c r="CW95" i="1"/>
  <c r="GL95" i="1"/>
  <c r="GO95" i="1"/>
  <c r="GP95" i="1"/>
  <c r="GV95" i="1"/>
  <c r="HC95" i="1"/>
  <c r="C96" i="1"/>
  <c r="D96" i="1"/>
  <c r="T96" i="1"/>
  <c r="U96" i="1"/>
  <c r="G361" i="7" s="1"/>
  <c r="V96" i="1"/>
  <c r="AC96" i="1"/>
  <c r="AD96" i="1"/>
  <c r="AE96" i="1"/>
  <c r="AF96" i="1"/>
  <c r="AG96" i="1"/>
  <c r="AH96" i="1"/>
  <c r="AI96" i="1"/>
  <c r="AJ96" i="1"/>
  <c r="CQ96" i="1"/>
  <c r="CR96" i="1"/>
  <c r="CS96" i="1"/>
  <c r="CT96" i="1"/>
  <c r="CU96" i="1"/>
  <c r="CV96" i="1"/>
  <c r="CW96" i="1"/>
  <c r="CX96" i="1"/>
  <c r="W96" i="1" s="1"/>
  <c r="GL96" i="1"/>
  <c r="GO96" i="1"/>
  <c r="GP96" i="1"/>
  <c r="GV96" i="1"/>
  <c r="GX96" i="1"/>
  <c r="HC96" i="1"/>
  <c r="I97" i="1"/>
  <c r="Y97" i="1"/>
  <c r="AC97" i="1"/>
  <c r="AD97" i="1"/>
  <c r="AE97" i="1"/>
  <c r="AF97" i="1"/>
  <c r="AG97" i="1"/>
  <c r="AH97" i="1"/>
  <c r="AI97" i="1"/>
  <c r="CW97" i="1" s="1"/>
  <c r="V97" i="1" s="1"/>
  <c r="AJ97" i="1"/>
  <c r="CQ97" i="1"/>
  <c r="P97" i="1" s="1"/>
  <c r="CR97" i="1"/>
  <c r="Q97" i="1" s="1"/>
  <c r="CS97" i="1"/>
  <c r="R97" i="1" s="1"/>
  <c r="CT97" i="1"/>
  <c r="S97" i="1" s="1"/>
  <c r="CU97" i="1"/>
  <c r="T97" i="1" s="1"/>
  <c r="CV97" i="1"/>
  <c r="U97" i="1" s="1"/>
  <c r="CX97" i="1"/>
  <c r="W97" i="1" s="1"/>
  <c r="CY97" i="1"/>
  <c r="X97" i="1" s="1"/>
  <c r="CZ97" i="1"/>
  <c r="GL97" i="1"/>
  <c r="GN97" i="1"/>
  <c r="GO97" i="1"/>
  <c r="GP97" i="1"/>
  <c r="GV97" i="1"/>
  <c r="HC97" i="1" s="1"/>
  <c r="GX97" i="1"/>
  <c r="C98" i="1"/>
  <c r="D98" i="1"/>
  <c r="I98" i="1"/>
  <c r="K98" i="1"/>
  <c r="AC98" i="1"/>
  <c r="AE98" i="1"/>
  <c r="AD98" i="1" s="1"/>
  <c r="AF98" i="1"/>
  <c r="AG98" i="1"/>
  <c r="AH98" i="1"/>
  <c r="AI98" i="1"/>
  <c r="AJ98" i="1"/>
  <c r="CQ98" i="1"/>
  <c r="CR98" i="1"/>
  <c r="CS98" i="1"/>
  <c r="CT98" i="1"/>
  <c r="CU98" i="1"/>
  <c r="T98" i="1" s="1"/>
  <c r="CV98" i="1"/>
  <c r="CW98" i="1"/>
  <c r="CX98" i="1"/>
  <c r="W98" i="1" s="1"/>
  <c r="GL98" i="1"/>
  <c r="GO98" i="1"/>
  <c r="GP98" i="1"/>
  <c r="GV98" i="1"/>
  <c r="GX98" i="1"/>
  <c r="HC98" i="1"/>
  <c r="AC99" i="1"/>
  <c r="AB99" i="1" s="1"/>
  <c r="AE99" i="1"/>
  <c r="AD99" i="1" s="1"/>
  <c r="AF99" i="1"/>
  <c r="AG99" i="1"/>
  <c r="AH99" i="1"/>
  <c r="AI99" i="1"/>
  <c r="CW99" i="1" s="1"/>
  <c r="AJ99" i="1"/>
  <c r="CQ99" i="1"/>
  <c r="CR99" i="1"/>
  <c r="CS99" i="1"/>
  <c r="CT99" i="1"/>
  <c r="CU99" i="1"/>
  <c r="CV99" i="1"/>
  <c r="CX99" i="1"/>
  <c r="GL99" i="1"/>
  <c r="GO99" i="1"/>
  <c r="GP99" i="1"/>
  <c r="GV99" i="1"/>
  <c r="HC99" i="1"/>
  <c r="AC100" i="1"/>
  <c r="AB100" i="1" s="1"/>
  <c r="AE100" i="1"/>
  <c r="AD100" i="1" s="1"/>
  <c r="AF100" i="1"/>
  <c r="AG100" i="1"/>
  <c r="AH100" i="1"/>
  <c r="AI100" i="1"/>
  <c r="CW100" i="1" s="1"/>
  <c r="AJ100" i="1"/>
  <c r="CQ100" i="1"/>
  <c r="CR100" i="1"/>
  <c r="CS100" i="1"/>
  <c r="CT100" i="1"/>
  <c r="CU100" i="1"/>
  <c r="CV100" i="1"/>
  <c r="CX100" i="1"/>
  <c r="GL100" i="1"/>
  <c r="GO100" i="1"/>
  <c r="GP100" i="1"/>
  <c r="GV100" i="1"/>
  <c r="HC100" i="1"/>
  <c r="B102" i="1"/>
  <c r="C102" i="1"/>
  <c r="D102" i="1"/>
  <c r="D75" i="1" s="1"/>
  <c r="F102" i="1"/>
  <c r="G102" i="1"/>
  <c r="BD102" i="1"/>
  <c r="BX102" i="1"/>
  <c r="BX75" i="1" s="1"/>
  <c r="CK102" i="1"/>
  <c r="BB102" i="1" s="1"/>
  <c r="BB75" i="1" s="1"/>
  <c r="CL102" i="1"/>
  <c r="BC102" i="1" s="1"/>
  <c r="CM102" i="1"/>
  <c r="CM75" i="1" s="1"/>
  <c r="F115" i="1"/>
  <c r="D132" i="1"/>
  <c r="E134" i="1"/>
  <c r="Z134" i="1"/>
  <c r="AA134" i="1"/>
  <c r="AM134" i="1"/>
  <c r="AN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CN134" i="1"/>
  <c r="CO134" i="1"/>
  <c r="CP134" i="1"/>
  <c r="CQ134" i="1"/>
  <c r="CR134" i="1"/>
  <c r="CS134" i="1"/>
  <c r="CT134" i="1"/>
  <c r="CU134" i="1"/>
  <c r="CV134" i="1"/>
  <c r="CW134" i="1"/>
  <c r="CX134" i="1"/>
  <c r="CY134" i="1"/>
  <c r="CZ134" i="1"/>
  <c r="DA134" i="1"/>
  <c r="DB134" i="1"/>
  <c r="DC134" i="1"/>
  <c r="DD134" i="1"/>
  <c r="DE134" i="1"/>
  <c r="DF134" i="1"/>
  <c r="DG134" i="1"/>
  <c r="DH134" i="1"/>
  <c r="DI134" i="1"/>
  <c r="DJ134" i="1"/>
  <c r="DK134" i="1"/>
  <c r="DL134" i="1"/>
  <c r="DM134" i="1"/>
  <c r="DN134" i="1"/>
  <c r="DO134" i="1"/>
  <c r="DP134" i="1"/>
  <c r="DQ134" i="1"/>
  <c r="DR134" i="1"/>
  <c r="DS134" i="1"/>
  <c r="DT134" i="1"/>
  <c r="DU134" i="1"/>
  <c r="DV134" i="1"/>
  <c r="DW134" i="1"/>
  <c r="DX134" i="1"/>
  <c r="DY134" i="1"/>
  <c r="DZ134" i="1"/>
  <c r="EA134" i="1"/>
  <c r="EB134" i="1"/>
  <c r="EC134" i="1"/>
  <c r="ED134" i="1"/>
  <c r="EE134" i="1"/>
  <c r="EF134" i="1"/>
  <c r="EG134" i="1"/>
  <c r="EH134" i="1"/>
  <c r="EI134" i="1"/>
  <c r="EJ134" i="1"/>
  <c r="EK134" i="1"/>
  <c r="EL134" i="1"/>
  <c r="EM134" i="1"/>
  <c r="EN134" i="1"/>
  <c r="EO134" i="1"/>
  <c r="EP134" i="1"/>
  <c r="EQ134" i="1"/>
  <c r="ER134" i="1"/>
  <c r="ES134" i="1"/>
  <c r="ET134" i="1"/>
  <c r="EU134" i="1"/>
  <c r="EV134" i="1"/>
  <c r="EW134" i="1"/>
  <c r="EX134" i="1"/>
  <c r="EY134" i="1"/>
  <c r="EZ134" i="1"/>
  <c r="FA134" i="1"/>
  <c r="FB134" i="1"/>
  <c r="FC134" i="1"/>
  <c r="FD134" i="1"/>
  <c r="FE134" i="1"/>
  <c r="FF134" i="1"/>
  <c r="FG134" i="1"/>
  <c r="FH134" i="1"/>
  <c r="FI134" i="1"/>
  <c r="FJ134" i="1"/>
  <c r="FK134" i="1"/>
  <c r="FL134" i="1"/>
  <c r="FM134" i="1"/>
  <c r="FN134" i="1"/>
  <c r="FO134" i="1"/>
  <c r="FP134" i="1"/>
  <c r="FQ134" i="1"/>
  <c r="FR134" i="1"/>
  <c r="FS134" i="1"/>
  <c r="FT134" i="1"/>
  <c r="FU134" i="1"/>
  <c r="FV134" i="1"/>
  <c r="FW134" i="1"/>
  <c r="FX134" i="1"/>
  <c r="FY134" i="1"/>
  <c r="FZ134" i="1"/>
  <c r="GA134" i="1"/>
  <c r="GB134" i="1"/>
  <c r="GC134" i="1"/>
  <c r="GD134" i="1"/>
  <c r="GE134" i="1"/>
  <c r="GF134" i="1"/>
  <c r="GG134" i="1"/>
  <c r="GH134" i="1"/>
  <c r="GI134" i="1"/>
  <c r="GJ134" i="1"/>
  <c r="GK134" i="1"/>
  <c r="GL134" i="1"/>
  <c r="GM134" i="1"/>
  <c r="GN134" i="1"/>
  <c r="GO134" i="1"/>
  <c r="GP134" i="1"/>
  <c r="GQ134" i="1"/>
  <c r="GR134" i="1"/>
  <c r="GS134" i="1"/>
  <c r="GT134" i="1"/>
  <c r="GU134" i="1"/>
  <c r="GV134" i="1"/>
  <c r="GW134" i="1"/>
  <c r="GX134" i="1"/>
  <c r="C136" i="1"/>
  <c r="D136" i="1"/>
  <c r="I136" i="1"/>
  <c r="K136" i="1"/>
  <c r="AC136" i="1"/>
  <c r="AE136" i="1"/>
  <c r="AD136" i="1" s="1"/>
  <c r="AF136" i="1"/>
  <c r="AG136" i="1"/>
  <c r="AH136" i="1"/>
  <c r="AI136" i="1"/>
  <c r="AJ136" i="1"/>
  <c r="CX136" i="1" s="1"/>
  <c r="CQ136" i="1"/>
  <c r="CR136" i="1"/>
  <c r="CS136" i="1"/>
  <c r="CT136" i="1"/>
  <c r="CU136" i="1"/>
  <c r="T136" i="1" s="1"/>
  <c r="CV136" i="1"/>
  <c r="CW136" i="1"/>
  <c r="GL136" i="1"/>
  <c r="GO136" i="1"/>
  <c r="GP136" i="1"/>
  <c r="GV136" i="1"/>
  <c r="GX136" i="1"/>
  <c r="HC136" i="1"/>
  <c r="C137" i="1"/>
  <c r="D137" i="1"/>
  <c r="I137" i="1"/>
  <c r="W137" i="1" s="1"/>
  <c r="K137" i="1"/>
  <c r="AC137" i="1"/>
  <c r="AE137" i="1"/>
  <c r="AD137" i="1" s="1"/>
  <c r="AF137" i="1"/>
  <c r="AG137" i="1"/>
  <c r="CU137" i="1" s="1"/>
  <c r="AH137" i="1"/>
  <c r="AI137" i="1"/>
  <c r="AJ137" i="1"/>
  <c r="CQ137" i="1"/>
  <c r="CR137" i="1"/>
  <c r="CS137" i="1"/>
  <c r="CT137" i="1"/>
  <c r="CV137" i="1"/>
  <c r="CW137" i="1"/>
  <c r="CX137" i="1"/>
  <c r="GL137" i="1"/>
  <c r="GO137" i="1"/>
  <c r="GP137" i="1"/>
  <c r="GV137" i="1"/>
  <c r="HC137" i="1"/>
  <c r="GX137" i="1" s="1"/>
  <c r="C138" i="1"/>
  <c r="D138" i="1"/>
  <c r="I138" i="1"/>
  <c r="K138" i="1"/>
  <c r="AC138" i="1"/>
  <c r="AD138" i="1"/>
  <c r="AE138" i="1"/>
  <c r="AF138" i="1"/>
  <c r="AG138" i="1"/>
  <c r="CU138" i="1" s="1"/>
  <c r="T138" i="1" s="1"/>
  <c r="AH138" i="1"/>
  <c r="AI138" i="1"/>
  <c r="AJ138" i="1"/>
  <c r="CQ138" i="1"/>
  <c r="CR138" i="1"/>
  <c r="CS138" i="1"/>
  <c r="CT138" i="1"/>
  <c r="CV138" i="1"/>
  <c r="CW138" i="1"/>
  <c r="CX138" i="1"/>
  <c r="W138" i="1" s="1"/>
  <c r="GL138" i="1"/>
  <c r="GO138" i="1"/>
  <c r="GP138" i="1"/>
  <c r="GV138" i="1"/>
  <c r="HC138" i="1" s="1"/>
  <c r="GX138" i="1"/>
  <c r="C139" i="1"/>
  <c r="D139" i="1"/>
  <c r="V139" i="1"/>
  <c r="AC139" i="1"/>
  <c r="AD139" i="1"/>
  <c r="AE139" i="1"/>
  <c r="AF139" i="1"/>
  <c r="AG139" i="1"/>
  <c r="AH139" i="1"/>
  <c r="AI139" i="1"/>
  <c r="AJ139" i="1"/>
  <c r="CX139" i="1" s="1"/>
  <c r="W139" i="1" s="1"/>
  <c r="CQ139" i="1"/>
  <c r="CR139" i="1"/>
  <c r="CS139" i="1"/>
  <c r="CT139" i="1"/>
  <c r="CU139" i="1"/>
  <c r="T139" i="1" s="1"/>
  <c r="CV139" i="1"/>
  <c r="CW139" i="1"/>
  <c r="GL139" i="1"/>
  <c r="GO139" i="1"/>
  <c r="GP139" i="1"/>
  <c r="GV139" i="1"/>
  <c r="GX139" i="1"/>
  <c r="HC139" i="1"/>
  <c r="I140" i="1"/>
  <c r="P140" i="1"/>
  <c r="AC140" i="1"/>
  <c r="AD140" i="1"/>
  <c r="AE140" i="1"/>
  <c r="AF140" i="1"/>
  <c r="AB140" i="1" s="1"/>
  <c r="AG140" i="1"/>
  <c r="AH140" i="1"/>
  <c r="CV140" i="1" s="1"/>
  <c r="U140" i="1" s="1"/>
  <c r="AI140" i="1"/>
  <c r="AJ140" i="1"/>
  <c r="CX140" i="1" s="1"/>
  <c r="W140" i="1" s="1"/>
  <c r="CQ140" i="1"/>
  <c r="CR140" i="1"/>
  <c r="Q140" i="1" s="1"/>
  <c r="CS140" i="1"/>
  <c r="R140" i="1" s="1"/>
  <c r="CT140" i="1"/>
  <c r="S140" i="1" s="1"/>
  <c r="CU140" i="1"/>
  <c r="T140" i="1" s="1"/>
  <c r="CW140" i="1"/>
  <c r="V140" i="1" s="1"/>
  <c r="CY140" i="1"/>
  <c r="X140" i="1" s="1"/>
  <c r="CZ140" i="1"/>
  <c r="Y140" i="1" s="1"/>
  <c r="GL140" i="1"/>
  <c r="GN140" i="1"/>
  <c r="GO140" i="1"/>
  <c r="GP140" i="1"/>
  <c r="GV140" i="1"/>
  <c r="HC140" i="1" s="1"/>
  <c r="GX140" i="1" s="1"/>
  <c r="C141" i="1"/>
  <c r="D141" i="1"/>
  <c r="I141" i="1"/>
  <c r="K141" i="1"/>
  <c r="AC141" i="1"/>
  <c r="AE141" i="1"/>
  <c r="AD141" i="1" s="1"/>
  <c r="AF141" i="1"/>
  <c r="AG141" i="1"/>
  <c r="AH141" i="1"/>
  <c r="AI141" i="1"/>
  <c r="AJ141" i="1"/>
  <c r="CX141" i="1" s="1"/>
  <c r="W141" i="1" s="1"/>
  <c r="CQ141" i="1"/>
  <c r="CR141" i="1"/>
  <c r="CS141" i="1"/>
  <c r="CT141" i="1"/>
  <c r="CU141" i="1"/>
  <c r="T141" i="1" s="1"/>
  <c r="CV141" i="1"/>
  <c r="CW141" i="1"/>
  <c r="GL141" i="1"/>
  <c r="GO141" i="1"/>
  <c r="GP141" i="1"/>
  <c r="GV141" i="1"/>
  <c r="GX141" i="1"/>
  <c r="HC141" i="1"/>
  <c r="I142" i="1"/>
  <c r="P142" i="1"/>
  <c r="AC142" i="1"/>
  <c r="AD142" i="1"/>
  <c r="AE142" i="1"/>
  <c r="AF142" i="1"/>
  <c r="AB142" i="1" s="1"/>
  <c r="AG142" i="1"/>
  <c r="AH142" i="1"/>
  <c r="CV142" i="1" s="1"/>
  <c r="U142" i="1" s="1"/>
  <c r="AI142" i="1"/>
  <c r="AJ142" i="1"/>
  <c r="CX142" i="1" s="1"/>
  <c r="W142" i="1" s="1"/>
  <c r="CQ142" i="1"/>
  <c r="CR142" i="1"/>
  <c r="Q142" i="1" s="1"/>
  <c r="CS142" i="1"/>
  <c r="R142" i="1" s="1"/>
  <c r="CY142" i="1" s="1"/>
  <c r="X142" i="1" s="1"/>
  <c r="CT142" i="1"/>
  <c r="S142" i="1" s="1"/>
  <c r="CU142" i="1"/>
  <c r="T142" i="1" s="1"/>
  <c r="CW142" i="1"/>
  <c r="V142" i="1" s="1"/>
  <c r="GL142" i="1"/>
  <c r="GO142" i="1"/>
  <c r="GP142" i="1"/>
  <c r="GV142" i="1"/>
  <c r="GX142" i="1"/>
  <c r="HC142" i="1"/>
  <c r="I143" i="1"/>
  <c r="P143" i="1" s="1"/>
  <c r="AC143" i="1"/>
  <c r="AD143" i="1"/>
  <c r="AB143" i="1" s="1"/>
  <c r="AE143" i="1"/>
  <c r="AF143" i="1"/>
  <c r="AG143" i="1"/>
  <c r="AH143" i="1"/>
  <c r="CV143" i="1" s="1"/>
  <c r="U143" i="1" s="1"/>
  <c r="AI143" i="1"/>
  <c r="AJ143" i="1"/>
  <c r="CX143" i="1" s="1"/>
  <c r="CQ143" i="1"/>
  <c r="CR143" i="1"/>
  <c r="Q143" i="1" s="1"/>
  <c r="CS143" i="1"/>
  <c r="R143" i="1" s="1"/>
  <c r="CT143" i="1"/>
  <c r="CU143" i="1"/>
  <c r="T143" i="1" s="1"/>
  <c r="CW143" i="1"/>
  <c r="V143" i="1" s="1"/>
  <c r="GL143" i="1"/>
  <c r="GO143" i="1"/>
  <c r="GP143" i="1"/>
  <c r="GV143" i="1"/>
  <c r="HC143" i="1"/>
  <c r="C144" i="1"/>
  <c r="D144" i="1"/>
  <c r="I144" i="1"/>
  <c r="K144" i="1"/>
  <c r="AC144" i="1"/>
  <c r="AE144" i="1"/>
  <c r="AD144" i="1" s="1"/>
  <c r="AF144" i="1"/>
  <c r="AG144" i="1"/>
  <c r="CU144" i="1" s="1"/>
  <c r="T144" i="1" s="1"/>
  <c r="AH144" i="1"/>
  <c r="AI144" i="1"/>
  <c r="AJ144" i="1"/>
  <c r="CQ144" i="1"/>
  <c r="CR144" i="1"/>
  <c r="CS144" i="1"/>
  <c r="CT144" i="1"/>
  <c r="CV144" i="1"/>
  <c r="CW144" i="1"/>
  <c r="CX144" i="1"/>
  <c r="W144" i="1" s="1"/>
  <c r="GL144" i="1"/>
  <c r="GO144" i="1"/>
  <c r="GP144" i="1"/>
  <c r="GV144" i="1"/>
  <c r="HC144" i="1"/>
  <c r="GX144" i="1" s="1"/>
  <c r="AC145" i="1"/>
  <c r="AE145" i="1"/>
  <c r="AD145" i="1" s="1"/>
  <c r="AF145" i="1"/>
  <c r="AG145" i="1"/>
  <c r="CU145" i="1" s="1"/>
  <c r="AH145" i="1"/>
  <c r="AI145" i="1"/>
  <c r="CW145" i="1" s="1"/>
  <c r="AJ145" i="1"/>
  <c r="CQ145" i="1"/>
  <c r="CR145" i="1"/>
  <c r="CS145" i="1"/>
  <c r="CT145" i="1"/>
  <c r="CV145" i="1"/>
  <c r="CX145" i="1"/>
  <c r="GL145" i="1"/>
  <c r="GO145" i="1"/>
  <c r="GP145" i="1"/>
  <c r="GV145" i="1"/>
  <c r="HC145" i="1" s="1"/>
  <c r="AC146" i="1"/>
  <c r="AB146" i="1" s="1"/>
  <c r="AE146" i="1"/>
  <c r="AD146" i="1" s="1"/>
  <c r="AF146" i="1"/>
  <c r="AG146" i="1"/>
  <c r="CU146" i="1" s="1"/>
  <c r="AH146" i="1"/>
  <c r="AI146" i="1"/>
  <c r="CW146" i="1" s="1"/>
  <c r="AJ146" i="1"/>
  <c r="CQ146" i="1"/>
  <c r="CR146" i="1"/>
  <c r="CS146" i="1"/>
  <c r="CT146" i="1"/>
  <c r="CV146" i="1"/>
  <c r="CX146" i="1"/>
  <c r="GL146" i="1"/>
  <c r="GO146" i="1"/>
  <c r="GP146" i="1"/>
  <c r="GV146" i="1"/>
  <c r="HC146" i="1" s="1"/>
  <c r="C147" i="1"/>
  <c r="D147" i="1"/>
  <c r="I147" i="1"/>
  <c r="K147" i="1"/>
  <c r="AC147" i="1"/>
  <c r="AE147" i="1"/>
  <c r="AD147" i="1" s="1"/>
  <c r="AF147" i="1"/>
  <c r="AG147" i="1"/>
  <c r="AH147" i="1"/>
  <c r="AI147" i="1"/>
  <c r="AJ147" i="1"/>
  <c r="CX147" i="1" s="1"/>
  <c r="W147" i="1" s="1"/>
  <c r="CQ147" i="1"/>
  <c r="CR147" i="1"/>
  <c r="CS147" i="1"/>
  <c r="CT147" i="1"/>
  <c r="CU147" i="1"/>
  <c r="T147" i="1" s="1"/>
  <c r="CV147" i="1"/>
  <c r="CW147" i="1"/>
  <c r="GL147" i="1"/>
  <c r="GO147" i="1"/>
  <c r="GP147" i="1"/>
  <c r="GV147" i="1"/>
  <c r="HC147" i="1" s="1"/>
  <c r="GX147" i="1" s="1"/>
  <c r="C148" i="1"/>
  <c r="D148" i="1"/>
  <c r="I148" i="1"/>
  <c r="K148" i="1"/>
  <c r="AC148" i="1"/>
  <c r="AE148" i="1"/>
  <c r="AD148" i="1" s="1"/>
  <c r="AF148" i="1"/>
  <c r="AG148" i="1"/>
  <c r="CU148" i="1" s="1"/>
  <c r="T148" i="1" s="1"/>
  <c r="AH148" i="1"/>
  <c r="AI148" i="1"/>
  <c r="AJ148" i="1"/>
  <c r="CQ148" i="1"/>
  <c r="CR148" i="1"/>
  <c r="CS148" i="1"/>
  <c r="CT148" i="1"/>
  <c r="CV148" i="1"/>
  <c r="CW148" i="1"/>
  <c r="CX148" i="1"/>
  <c r="W148" i="1" s="1"/>
  <c r="GL148" i="1"/>
  <c r="GO148" i="1"/>
  <c r="GP148" i="1"/>
  <c r="GV148" i="1"/>
  <c r="HC148" i="1"/>
  <c r="GX148" i="1" s="1"/>
  <c r="AC149" i="1"/>
  <c r="AE149" i="1"/>
  <c r="AD149" i="1" s="1"/>
  <c r="AF149" i="1"/>
  <c r="AG149" i="1"/>
  <c r="CU149" i="1" s="1"/>
  <c r="AH149" i="1"/>
  <c r="AI149" i="1"/>
  <c r="CW149" i="1" s="1"/>
  <c r="AJ149" i="1"/>
  <c r="CQ149" i="1"/>
  <c r="CR149" i="1"/>
  <c r="CS149" i="1"/>
  <c r="CT149" i="1"/>
  <c r="CV149" i="1"/>
  <c r="CX149" i="1"/>
  <c r="GL149" i="1"/>
  <c r="GO149" i="1"/>
  <c r="GP149" i="1"/>
  <c r="GV149" i="1"/>
  <c r="HC149" i="1" s="1"/>
  <c r="C150" i="1"/>
  <c r="D150" i="1"/>
  <c r="I150" i="1"/>
  <c r="CU178" i="3" s="1"/>
  <c r="K150" i="1"/>
  <c r="V150" i="1"/>
  <c r="AC150" i="1"/>
  <c r="AD150" i="1"/>
  <c r="AE150" i="1"/>
  <c r="AF150" i="1"/>
  <c r="AB150" i="1" s="1"/>
  <c r="AG150" i="1"/>
  <c r="AH150" i="1"/>
  <c r="AI150" i="1"/>
  <c r="AJ150" i="1"/>
  <c r="CX150" i="1" s="1"/>
  <c r="W150" i="1" s="1"/>
  <c r="CQ150" i="1"/>
  <c r="CR150" i="1"/>
  <c r="CS150" i="1"/>
  <c r="CT150" i="1"/>
  <c r="CU150" i="1"/>
  <c r="T150" i="1" s="1"/>
  <c r="CV150" i="1"/>
  <c r="CW150" i="1"/>
  <c r="GL150" i="1"/>
  <c r="GO150" i="1"/>
  <c r="GP150" i="1"/>
  <c r="GV150" i="1"/>
  <c r="HC150" i="1"/>
  <c r="GX150" i="1" s="1"/>
  <c r="C151" i="1"/>
  <c r="D151" i="1"/>
  <c r="AC151" i="1"/>
  <c r="AE151" i="1"/>
  <c r="AD151" i="1" s="1"/>
  <c r="AF151" i="1"/>
  <c r="AG151" i="1"/>
  <c r="CU151" i="1" s="1"/>
  <c r="T151" i="1" s="1"/>
  <c r="AH151" i="1"/>
  <c r="AI151" i="1"/>
  <c r="AJ151" i="1"/>
  <c r="CQ151" i="1"/>
  <c r="CR151" i="1"/>
  <c r="CS151" i="1"/>
  <c r="CT151" i="1"/>
  <c r="CV151" i="1"/>
  <c r="CW151" i="1"/>
  <c r="CX151" i="1"/>
  <c r="W151" i="1" s="1"/>
  <c r="GL151" i="1"/>
  <c r="GO151" i="1"/>
  <c r="GP151" i="1"/>
  <c r="GV151" i="1"/>
  <c r="HC151" i="1" s="1"/>
  <c r="GX151" i="1" s="1"/>
  <c r="I152" i="1"/>
  <c r="P152" i="1"/>
  <c r="Q152" i="1"/>
  <c r="AC152" i="1"/>
  <c r="AB152" i="1" s="1"/>
  <c r="AD152" i="1"/>
  <c r="AE152" i="1"/>
  <c r="AF152" i="1"/>
  <c r="AG152" i="1"/>
  <c r="CU152" i="1" s="1"/>
  <c r="T152" i="1" s="1"/>
  <c r="AH152" i="1"/>
  <c r="CV152" i="1" s="1"/>
  <c r="U152" i="1" s="1"/>
  <c r="AI152" i="1"/>
  <c r="AJ152" i="1"/>
  <c r="CQ152" i="1"/>
  <c r="CR152" i="1"/>
  <c r="CS152" i="1"/>
  <c r="R152" i="1" s="1"/>
  <c r="CT152" i="1"/>
  <c r="S152" i="1" s="1"/>
  <c r="CW152" i="1"/>
  <c r="V152" i="1" s="1"/>
  <c r="CX152" i="1"/>
  <c r="W152" i="1" s="1"/>
  <c r="GL152" i="1"/>
  <c r="GO152" i="1"/>
  <c r="GP152" i="1"/>
  <c r="GV152" i="1"/>
  <c r="HC152" i="1" s="1"/>
  <c r="GX152" i="1" s="1"/>
  <c r="C153" i="1"/>
  <c r="D153" i="1"/>
  <c r="I153" i="1"/>
  <c r="K153" i="1"/>
  <c r="V153" i="1"/>
  <c r="AC153" i="1"/>
  <c r="AD153" i="1"/>
  <c r="AE153" i="1"/>
  <c r="AF153" i="1"/>
  <c r="AG153" i="1"/>
  <c r="CU153" i="1" s="1"/>
  <c r="T153" i="1" s="1"/>
  <c r="AH153" i="1"/>
  <c r="AI153" i="1"/>
  <c r="AJ153" i="1"/>
  <c r="CQ153" i="1"/>
  <c r="CR153" i="1"/>
  <c r="CS153" i="1"/>
  <c r="CT153" i="1"/>
  <c r="CV153" i="1"/>
  <c r="CW153" i="1"/>
  <c r="CX153" i="1"/>
  <c r="W153" i="1" s="1"/>
  <c r="GL153" i="1"/>
  <c r="GO153" i="1"/>
  <c r="GP153" i="1"/>
  <c r="GV153" i="1"/>
  <c r="HC153" i="1" s="1"/>
  <c r="GX153" i="1" s="1"/>
  <c r="C154" i="1"/>
  <c r="D154" i="1"/>
  <c r="I154" i="1"/>
  <c r="K154" i="1"/>
  <c r="AC154" i="1"/>
  <c r="AE154" i="1"/>
  <c r="AD154" i="1" s="1"/>
  <c r="AF154" i="1"/>
  <c r="AG154" i="1"/>
  <c r="AH154" i="1"/>
  <c r="AI154" i="1"/>
  <c r="AJ154" i="1"/>
  <c r="CX154" i="1" s="1"/>
  <c r="W154" i="1" s="1"/>
  <c r="CQ154" i="1"/>
  <c r="CR154" i="1"/>
  <c r="CS154" i="1"/>
  <c r="CT154" i="1"/>
  <c r="CU154" i="1"/>
  <c r="T154" i="1" s="1"/>
  <c r="CV154" i="1"/>
  <c r="CW154" i="1"/>
  <c r="GL154" i="1"/>
  <c r="GN154" i="1"/>
  <c r="GP154" i="1"/>
  <c r="GV154" i="1"/>
  <c r="GX154" i="1"/>
  <c r="HC154" i="1"/>
  <c r="I155" i="1"/>
  <c r="AC155" i="1"/>
  <c r="AD155" i="1"/>
  <c r="AB155" i="1" s="1"/>
  <c r="AE155" i="1"/>
  <c r="AF155" i="1"/>
  <c r="AG155" i="1"/>
  <c r="AH155" i="1"/>
  <c r="AI155" i="1"/>
  <c r="AJ155" i="1"/>
  <c r="CP155" i="1"/>
  <c r="CQ155" i="1"/>
  <c r="CR155" i="1"/>
  <c r="Q155" i="1" s="1"/>
  <c r="CS155" i="1"/>
  <c r="R155" i="1" s="1"/>
  <c r="CT155" i="1"/>
  <c r="S155" i="1" s="1"/>
  <c r="CU155" i="1"/>
  <c r="T155" i="1" s="1"/>
  <c r="CV155" i="1"/>
  <c r="U155" i="1" s="1"/>
  <c r="CW155" i="1"/>
  <c r="V155" i="1" s="1"/>
  <c r="CX155" i="1"/>
  <c r="W155" i="1" s="1"/>
  <c r="CY155" i="1"/>
  <c r="X155" i="1" s="1"/>
  <c r="CZ155" i="1"/>
  <c r="Y155" i="1" s="1"/>
  <c r="GL155" i="1"/>
  <c r="GN155" i="1"/>
  <c r="GP155" i="1"/>
  <c r="GV155" i="1"/>
  <c r="GX155" i="1"/>
  <c r="HC155" i="1"/>
  <c r="C156" i="1"/>
  <c r="D156" i="1"/>
  <c r="I156" i="1"/>
  <c r="K156" i="1"/>
  <c r="AC156" i="1"/>
  <c r="AE156" i="1"/>
  <c r="AD156" i="1" s="1"/>
  <c r="AF156" i="1"/>
  <c r="AG156" i="1"/>
  <c r="CU156" i="1" s="1"/>
  <c r="T156" i="1" s="1"/>
  <c r="AH156" i="1"/>
  <c r="AI156" i="1"/>
  <c r="AJ156" i="1"/>
  <c r="CX156" i="1" s="1"/>
  <c r="W156" i="1" s="1"/>
  <c r="CQ156" i="1"/>
  <c r="CR156" i="1"/>
  <c r="CS156" i="1"/>
  <c r="CT156" i="1"/>
  <c r="CV156" i="1"/>
  <c r="CW156" i="1"/>
  <c r="GL156" i="1"/>
  <c r="GN156" i="1"/>
  <c r="GP156" i="1"/>
  <c r="GV156" i="1"/>
  <c r="HC156" i="1"/>
  <c r="GX156" i="1" s="1"/>
  <c r="I157" i="1"/>
  <c r="AC157" i="1"/>
  <c r="AE157" i="1"/>
  <c r="AD157" i="1" s="1"/>
  <c r="AB157" i="1" s="1"/>
  <c r="AF157" i="1"/>
  <c r="AG157" i="1"/>
  <c r="AH157" i="1"/>
  <c r="AI157" i="1"/>
  <c r="AJ157" i="1"/>
  <c r="CP157" i="1"/>
  <c r="CQ157" i="1"/>
  <c r="CR157" i="1"/>
  <c r="Q157" i="1" s="1"/>
  <c r="CS157" i="1"/>
  <c r="R157" i="1" s="1"/>
  <c r="CT157" i="1"/>
  <c r="S157" i="1" s="1"/>
  <c r="CU157" i="1"/>
  <c r="T157" i="1" s="1"/>
  <c r="CV157" i="1"/>
  <c r="U157" i="1" s="1"/>
  <c r="CW157" i="1"/>
  <c r="V157" i="1" s="1"/>
  <c r="CX157" i="1"/>
  <c r="W157" i="1" s="1"/>
  <c r="CY157" i="1"/>
  <c r="X157" i="1" s="1"/>
  <c r="CZ157" i="1"/>
  <c r="Y157" i="1" s="1"/>
  <c r="GL157" i="1"/>
  <c r="GN157" i="1"/>
  <c r="GP157" i="1"/>
  <c r="GV157" i="1"/>
  <c r="HC157" i="1"/>
  <c r="GX157" i="1" s="1"/>
  <c r="AC158" i="1"/>
  <c r="AD158" i="1"/>
  <c r="AE158" i="1"/>
  <c r="AF158" i="1"/>
  <c r="AB158" i="1" s="1"/>
  <c r="AG158" i="1"/>
  <c r="CU158" i="1" s="1"/>
  <c r="T158" i="1" s="1"/>
  <c r="AH158" i="1"/>
  <c r="CV158" i="1" s="1"/>
  <c r="U158" i="1" s="1"/>
  <c r="AI158" i="1"/>
  <c r="AJ158" i="1"/>
  <c r="CX158" i="1" s="1"/>
  <c r="W158" i="1" s="1"/>
  <c r="CQ158" i="1"/>
  <c r="P158" i="1" s="1"/>
  <c r="CR158" i="1"/>
  <c r="Q158" i="1" s="1"/>
  <c r="CS158" i="1"/>
  <c r="R158" i="1" s="1"/>
  <c r="CT158" i="1"/>
  <c r="S158" i="1" s="1"/>
  <c r="CW158" i="1"/>
  <c r="V158" i="1" s="1"/>
  <c r="CY158" i="1"/>
  <c r="X158" i="1" s="1"/>
  <c r="CZ158" i="1"/>
  <c r="Y158" i="1" s="1"/>
  <c r="GL158" i="1"/>
  <c r="GO158" i="1"/>
  <c r="GP158" i="1"/>
  <c r="GV158" i="1"/>
  <c r="HC158" i="1" s="1"/>
  <c r="GX158" i="1" s="1"/>
  <c r="B160" i="1"/>
  <c r="B134" i="1" s="1"/>
  <c r="C160" i="1"/>
  <c r="C134" i="1" s="1"/>
  <c r="D160" i="1"/>
  <c r="D134" i="1" s="1"/>
  <c r="F160" i="1"/>
  <c r="F134" i="1" s="1"/>
  <c r="G160" i="1"/>
  <c r="G134" i="1" s="1"/>
  <c r="BX160" i="1"/>
  <c r="AO160" i="1" s="1"/>
  <c r="CK160" i="1"/>
  <c r="CK134" i="1" s="1"/>
  <c r="CL160" i="1"/>
  <c r="CL134" i="1" s="1"/>
  <c r="CM160" i="1"/>
  <c r="CM134" i="1" s="1"/>
  <c r="D190" i="1"/>
  <c r="C192" i="1"/>
  <c r="D192" i="1"/>
  <c r="E192" i="1"/>
  <c r="Z192" i="1"/>
  <c r="AA192" i="1"/>
  <c r="AM192" i="1"/>
  <c r="AN192" i="1"/>
  <c r="BE192" i="1"/>
  <c r="BF192" i="1"/>
  <c r="BG192" i="1"/>
  <c r="BH192" i="1"/>
  <c r="BI192" i="1"/>
  <c r="BJ192" i="1"/>
  <c r="BK192" i="1"/>
  <c r="BL192" i="1"/>
  <c r="BM192" i="1"/>
  <c r="BN192" i="1"/>
  <c r="BO192" i="1"/>
  <c r="BP192" i="1"/>
  <c r="BQ192" i="1"/>
  <c r="BR192" i="1"/>
  <c r="BS192" i="1"/>
  <c r="BT192" i="1"/>
  <c r="BU192" i="1"/>
  <c r="BV192" i="1"/>
  <c r="BW192" i="1"/>
  <c r="BX192" i="1"/>
  <c r="CL192" i="1"/>
  <c r="CN192" i="1"/>
  <c r="CO192" i="1"/>
  <c r="CP192" i="1"/>
  <c r="CQ192" i="1"/>
  <c r="CR192" i="1"/>
  <c r="CS192" i="1"/>
  <c r="CT192" i="1"/>
  <c r="CU192" i="1"/>
  <c r="CV192" i="1"/>
  <c r="CW192" i="1"/>
  <c r="CX192" i="1"/>
  <c r="CY192" i="1"/>
  <c r="CZ192" i="1"/>
  <c r="DA192" i="1"/>
  <c r="DB192" i="1"/>
  <c r="DC192" i="1"/>
  <c r="DD192" i="1"/>
  <c r="DE192" i="1"/>
  <c r="DF192" i="1"/>
  <c r="DG192" i="1"/>
  <c r="DH192" i="1"/>
  <c r="DI192" i="1"/>
  <c r="DJ192" i="1"/>
  <c r="DK192" i="1"/>
  <c r="DL192" i="1"/>
  <c r="DM192" i="1"/>
  <c r="DN192" i="1"/>
  <c r="DO192" i="1"/>
  <c r="DP192" i="1"/>
  <c r="DQ192" i="1"/>
  <c r="DR192" i="1"/>
  <c r="DS192" i="1"/>
  <c r="DT192" i="1"/>
  <c r="DU192" i="1"/>
  <c r="DV192" i="1"/>
  <c r="DW192" i="1"/>
  <c r="DX192" i="1"/>
  <c r="DY192" i="1"/>
  <c r="DZ192" i="1"/>
  <c r="EA192" i="1"/>
  <c r="EB192" i="1"/>
  <c r="EC192" i="1"/>
  <c r="ED192" i="1"/>
  <c r="EE192" i="1"/>
  <c r="EF192" i="1"/>
  <c r="EG192" i="1"/>
  <c r="EH192" i="1"/>
  <c r="EI192" i="1"/>
  <c r="EJ192" i="1"/>
  <c r="EK192" i="1"/>
  <c r="EL192" i="1"/>
  <c r="EM192" i="1"/>
  <c r="EN192" i="1"/>
  <c r="EO192" i="1"/>
  <c r="EP192" i="1"/>
  <c r="EQ192" i="1"/>
  <c r="ER192" i="1"/>
  <c r="ES192" i="1"/>
  <c r="ET192" i="1"/>
  <c r="EU192" i="1"/>
  <c r="EV192" i="1"/>
  <c r="EW192" i="1"/>
  <c r="EX192" i="1"/>
  <c r="EY192" i="1"/>
  <c r="EZ192" i="1"/>
  <c r="FA192" i="1"/>
  <c r="FB192" i="1"/>
  <c r="FC192" i="1"/>
  <c r="FD192" i="1"/>
  <c r="FE192" i="1"/>
  <c r="FF192" i="1"/>
  <c r="FG192" i="1"/>
  <c r="FH192" i="1"/>
  <c r="FI192" i="1"/>
  <c r="FJ192" i="1"/>
  <c r="FK192" i="1"/>
  <c r="FL192" i="1"/>
  <c r="FM192" i="1"/>
  <c r="FN192" i="1"/>
  <c r="FO192" i="1"/>
  <c r="FP192" i="1"/>
  <c r="FQ192" i="1"/>
  <c r="FR192" i="1"/>
  <c r="FS192" i="1"/>
  <c r="FT192" i="1"/>
  <c r="FU192" i="1"/>
  <c r="FV192" i="1"/>
  <c r="FW192" i="1"/>
  <c r="FX192" i="1"/>
  <c r="FY192" i="1"/>
  <c r="FZ192" i="1"/>
  <c r="GA192" i="1"/>
  <c r="GB192" i="1"/>
  <c r="GC192" i="1"/>
  <c r="GD192" i="1"/>
  <c r="GE192" i="1"/>
  <c r="GF192" i="1"/>
  <c r="GG192" i="1"/>
  <c r="GH192" i="1"/>
  <c r="GI192" i="1"/>
  <c r="GJ192" i="1"/>
  <c r="GK192" i="1"/>
  <c r="GL192" i="1"/>
  <c r="GM192" i="1"/>
  <c r="GN192" i="1"/>
  <c r="GO192" i="1"/>
  <c r="GP192" i="1"/>
  <c r="GQ192" i="1"/>
  <c r="GR192" i="1"/>
  <c r="GS192" i="1"/>
  <c r="GT192" i="1"/>
  <c r="GU192" i="1"/>
  <c r="GV192" i="1"/>
  <c r="GW192" i="1"/>
  <c r="GX192" i="1"/>
  <c r="C194" i="1"/>
  <c r="D194" i="1"/>
  <c r="P194" i="1"/>
  <c r="AC198" i="1" s="1"/>
  <c r="Q194" i="1"/>
  <c r="AD198" i="1" s="1"/>
  <c r="U194" i="1"/>
  <c r="V194" i="1"/>
  <c r="AI198" i="1" s="1"/>
  <c r="AC194" i="1"/>
  <c r="AD194" i="1"/>
  <c r="AE194" i="1"/>
  <c r="AF194" i="1"/>
  <c r="AG194" i="1"/>
  <c r="AH194" i="1"/>
  <c r="AI194" i="1"/>
  <c r="AJ194" i="1"/>
  <c r="CX194" i="1" s="1"/>
  <c r="W194" i="1" s="1"/>
  <c r="AJ198" i="1" s="1"/>
  <c r="CQ194" i="1"/>
  <c r="CR194" i="1"/>
  <c r="CS194" i="1"/>
  <c r="CT194" i="1"/>
  <c r="CU194" i="1"/>
  <c r="T194" i="1" s="1"/>
  <c r="AG198" i="1" s="1"/>
  <c r="CV194" i="1"/>
  <c r="CW194" i="1"/>
  <c r="GL194" i="1"/>
  <c r="GO194" i="1"/>
  <c r="CC198" i="1" s="1"/>
  <c r="AT198" i="1" s="1"/>
  <c r="GP194" i="1"/>
  <c r="GV194" i="1"/>
  <c r="GX194" i="1"/>
  <c r="CJ198" i="1" s="1"/>
  <c r="HC194" i="1"/>
  <c r="I195" i="1"/>
  <c r="K195" i="1"/>
  <c r="O195" i="1"/>
  <c r="P195" i="1"/>
  <c r="Q195" i="1"/>
  <c r="R195" i="1"/>
  <c r="S195" i="1"/>
  <c r="T195" i="1"/>
  <c r="U195" i="1"/>
  <c r="V195" i="1"/>
  <c r="W195" i="1"/>
  <c r="X195" i="1"/>
  <c r="Y195" i="1"/>
  <c r="AB195" i="1"/>
  <c r="AC195" i="1"/>
  <c r="AD195" i="1"/>
  <c r="AE195" i="1"/>
  <c r="AF195" i="1"/>
  <c r="AG195" i="1"/>
  <c r="AH195" i="1"/>
  <c r="AI195" i="1"/>
  <c r="AJ195" i="1"/>
  <c r="CP195" i="1"/>
  <c r="GM195" i="1" s="1"/>
  <c r="GL195" i="1"/>
  <c r="GO195" i="1"/>
  <c r="GP195" i="1"/>
  <c r="GV195" i="1"/>
  <c r="GX195" i="1"/>
  <c r="I196" i="1"/>
  <c r="K196" i="1"/>
  <c r="O196" i="1"/>
  <c r="P196" i="1"/>
  <c r="Q196" i="1"/>
  <c r="R196" i="1"/>
  <c r="S196" i="1"/>
  <c r="T196" i="1"/>
  <c r="U196" i="1"/>
  <c r="V196" i="1"/>
  <c r="W196" i="1"/>
  <c r="X196" i="1"/>
  <c r="Y196" i="1"/>
  <c r="AB196" i="1"/>
  <c r="CP196" i="1" s="1"/>
  <c r="GM196" i="1" s="1"/>
  <c r="AC196" i="1"/>
  <c r="AD196" i="1"/>
  <c r="AE196" i="1"/>
  <c r="AF196" i="1"/>
  <c r="AG196" i="1"/>
  <c r="AH196" i="1"/>
  <c r="AI196" i="1"/>
  <c r="AJ196" i="1"/>
  <c r="GL196" i="1"/>
  <c r="BZ198" i="1" s="1"/>
  <c r="GO196" i="1"/>
  <c r="GP196" i="1"/>
  <c r="CD198" i="1" s="1"/>
  <c r="GV196" i="1"/>
  <c r="GX196" i="1"/>
  <c r="B198" i="1"/>
  <c r="B192" i="1" s="1"/>
  <c r="C198" i="1"/>
  <c r="D198" i="1"/>
  <c r="F198" i="1"/>
  <c r="F192" i="1" s="1"/>
  <c r="G198" i="1"/>
  <c r="G192" i="1" s="1"/>
  <c r="BX198" i="1"/>
  <c r="AO198" i="1" s="1"/>
  <c r="BY198" i="1"/>
  <c r="CK198" i="1"/>
  <c r="BB198" i="1" s="1"/>
  <c r="CL198" i="1"/>
  <c r="BC198" i="1" s="1"/>
  <c r="B228" i="1"/>
  <c r="B22" i="1" s="1"/>
  <c r="C228" i="1"/>
  <c r="C22" i="1" s="1"/>
  <c r="D228" i="1"/>
  <c r="D22" i="1" s="1"/>
  <c r="F228" i="1"/>
  <c r="F22" i="1" s="1"/>
  <c r="G228" i="1"/>
  <c r="G22" i="1" s="1"/>
  <c r="B258" i="1"/>
  <c r="B18" i="1" s="1"/>
  <c r="C258" i="1"/>
  <c r="C18" i="1" s="1"/>
  <c r="D258" i="1"/>
  <c r="D18" i="1" s="1"/>
  <c r="F258" i="1"/>
  <c r="F18" i="1" s="1"/>
  <c r="G258" i="1"/>
  <c r="G18" i="1" s="1"/>
  <c r="F12" i="6"/>
  <c r="G12" i="6"/>
  <c r="CI198" i="1" l="1"/>
  <c r="AB86" i="1"/>
  <c r="AB137" i="1"/>
  <c r="AB136" i="1"/>
  <c r="O39" i="1"/>
  <c r="L143" i="7"/>
  <c r="AB38" i="1"/>
  <c r="AH198" i="1"/>
  <c r="U198" i="1" s="1"/>
  <c r="G719" i="7"/>
  <c r="AB153" i="1"/>
  <c r="AB141" i="1"/>
  <c r="L796" i="7"/>
  <c r="L547" i="7"/>
  <c r="L847" i="7"/>
  <c r="L66" i="7"/>
  <c r="L587" i="7"/>
  <c r="L520" i="7"/>
  <c r="L654" i="7"/>
  <c r="L162" i="7"/>
  <c r="L106" i="7"/>
  <c r="L747" i="7"/>
  <c r="L735" i="7"/>
  <c r="L724" i="7"/>
  <c r="L544" i="7"/>
  <c r="L692" i="7"/>
  <c r="L319" i="7"/>
  <c r="L283" i="7"/>
  <c r="L853" i="7"/>
  <c r="L746" i="7"/>
  <c r="L782" i="7"/>
  <c r="AW392" i="7"/>
  <c r="L405" i="7" s="1"/>
  <c r="L403" i="7" s="1"/>
  <c r="L386" i="7"/>
  <c r="L396" i="7"/>
  <c r="L211" i="7"/>
  <c r="L408" i="7"/>
  <c r="K40" i="7"/>
  <c r="AO267" i="7"/>
  <c r="L170" i="7"/>
  <c r="K39" i="7"/>
  <c r="AO657" i="7"/>
  <c r="L794" i="7" s="1"/>
  <c r="L792" i="7" s="1"/>
  <c r="L458" i="7"/>
  <c r="AO523" i="7"/>
  <c r="L690" i="7" s="1"/>
  <c r="L688" i="7" s="1"/>
  <c r="L699" i="7"/>
  <c r="L687" i="7"/>
  <c r="L440" i="7"/>
  <c r="AO86" i="7"/>
  <c r="L81" i="7"/>
  <c r="L776" i="7"/>
  <c r="L401" i="7"/>
  <c r="L771" i="7"/>
  <c r="L783" i="7"/>
  <c r="L517" i="7"/>
  <c r="L457" i="7"/>
  <c r="AO349" i="7"/>
  <c r="L344" i="7"/>
  <c r="L803" i="7"/>
  <c r="L791" i="7"/>
  <c r="L127" i="7"/>
  <c r="L182" i="7"/>
  <c r="L842" i="7"/>
  <c r="L618" i="7"/>
  <c r="L475" i="7"/>
  <c r="L780" i="7"/>
  <c r="L778" i="7" s="1"/>
  <c r="L854" i="7"/>
  <c r="AB33" i="1"/>
  <c r="AB139" i="1"/>
  <c r="AB138" i="1"/>
  <c r="AB41" i="1"/>
  <c r="AB95" i="1"/>
  <c r="AB36" i="1"/>
  <c r="AB154" i="1"/>
  <c r="AB147" i="1"/>
  <c r="CD160" i="1"/>
  <c r="CD134" i="1" s="1"/>
  <c r="BZ160" i="1"/>
  <c r="AB93" i="1"/>
  <c r="AB89" i="1"/>
  <c r="AB194" i="1"/>
  <c r="AB156" i="1"/>
  <c r="AB151" i="1"/>
  <c r="AB81" i="1"/>
  <c r="F211" i="1"/>
  <c r="BB192" i="1"/>
  <c r="CH198" i="1"/>
  <c r="P198" i="1"/>
  <c r="CE198" i="1"/>
  <c r="AC192" i="1"/>
  <c r="CF198" i="1"/>
  <c r="U149" i="1"/>
  <c r="F216" i="1"/>
  <c r="AT192" i="1"/>
  <c r="AQ198" i="1"/>
  <c r="CG198" i="1"/>
  <c r="BZ192" i="1"/>
  <c r="GN195" i="1"/>
  <c r="HD195" i="1"/>
  <c r="CJ192" i="1"/>
  <c r="BA198" i="1"/>
  <c r="W198" i="1"/>
  <c r="AJ192" i="1"/>
  <c r="AI192" i="1"/>
  <c r="V198" i="1"/>
  <c r="F47" i="1"/>
  <c r="AO26" i="1"/>
  <c r="CI192" i="1"/>
  <c r="AZ198" i="1"/>
  <c r="GN196" i="1"/>
  <c r="HD196" i="1"/>
  <c r="AH192" i="1"/>
  <c r="AO134" i="1"/>
  <c r="F164" i="1"/>
  <c r="CP158" i="1"/>
  <c r="O158" i="1" s="1"/>
  <c r="GM158" i="1" s="1"/>
  <c r="GN158" i="1" s="1"/>
  <c r="P157" i="1"/>
  <c r="CP152" i="1"/>
  <c r="O152" i="1" s="1"/>
  <c r="CY152" i="1"/>
  <c r="X152" i="1" s="1"/>
  <c r="CZ152" i="1"/>
  <c r="Y152" i="1" s="1"/>
  <c r="GX146" i="1"/>
  <c r="BZ134" i="1"/>
  <c r="AQ160" i="1"/>
  <c r="CG160" i="1"/>
  <c r="P99" i="1"/>
  <c r="T198" i="1"/>
  <c r="AG192" i="1"/>
  <c r="BC192" i="1"/>
  <c r="F214" i="1"/>
  <c r="F202" i="1"/>
  <c r="AO192" i="1"/>
  <c r="AU198" i="1"/>
  <c r="CD192" i="1"/>
  <c r="Q198" i="1"/>
  <c r="AD192" i="1"/>
  <c r="GX149" i="1"/>
  <c r="Q149" i="1"/>
  <c r="GX145" i="1"/>
  <c r="BB160" i="1"/>
  <c r="CW205" i="3"/>
  <c r="CW207" i="3"/>
  <c r="CX209" i="3"/>
  <c r="CX213" i="3"/>
  <c r="CU202" i="3"/>
  <c r="CX211" i="3"/>
  <c r="CX203" i="3"/>
  <c r="CX205" i="3"/>
  <c r="CX207" i="3"/>
  <c r="CX210" i="3"/>
  <c r="V149" i="1"/>
  <c r="CP142" i="1"/>
  <c r="O142" i="1" s="1"/>
  <c r="FR97" i="1"/>
  <c r="CP97" i="1"/>
  <c r="O97" i="1" s="1"/>
  <c r="GM97" i="1" s="1"/>
  <c r="CY90" i="1"/>
  <c r="X90" i="1" s="1"/>
  <c r="CZ90" i="1"/>
  <c r="Y90" i="1" s="1"/>
  <c r="CY35" i="1"/>
  <c r="X35" i="1" s="1"/>
  <c r="CZ35" i="1"/>
  <c r="Y35" i="1" s="1"/>
  <c r="GM30" i="1"/>
  <c r="GN30" i="1" s="1"/>
  <c r="CK192" i="1"/>
  <c r="CC192" i="1"/>
  <c r="BY192" i="1"/>
  <c r="AB145" i="1"/>
  <c r="AB144" i="1"/>
  <c r="CU151" i="3"/>
  <c r="CX162" i="3"/>
  <c r="CX151" i="3"/>
  <c r="CW154" i="3"/>
  <c r="CX160" i="3"/>
  <c r="CX152" i="3"/>
  <c r="CX158" i="3"/>
  <c r="CX159" i="3"/>
  <c r="CX154" i="3"/>
  <c r="I145" i="1"/>
  <c r="U145" i="1" s="1"/>
  <c r="I146" i="1"/>
  <c r="GX143" i="1"/>
  <c r="CJ160" i="1" s="1"/>
  <c r="T137" i="1"/>
  <c r="CU99" i="3"/>
  <c r="CV99" i="3"/>
  <c r="U95" i="1" s="1"/>
  <c r="G352" i="7" s="1"/>
  <c r="AB94" i="1"/>
  <c r="FR80" i="1"/>
  <c r="CP80" i="1"/>
  <c r="O80" i="1" s="1"/>
  <c r="GM80" i="1" s="1"/>
  <c r="CY29" i="1"/>
  <c r="X29" i="1" s="1"/>
  <c r="CZ29" i="1"/>
  <c r="Y29" i="1" s="1"/>
  <c r="CP29" i="1"/>
  <c r="O29" i="1" s="1"/>
  <c r="AP198" i="1"/>
  <c r="R146" i="1"/>
  <c r="V145" i="1"/>
  <c r="CP140" i="1"/>
  <c r="O140" i="1" s="1"/>
  <c r="GM140" i="1" s="1"/>
  <c r="BD160" i="1"/>
  <c r="CU189" i="3"/>
  <c r="CV189" i="3"/>
  <c r="U153" i="1" s="1"/>
  <c r="G626" i="7" s="1"/>
  <c r="CX189" i="3"/>
  <c r="AB149" i="1"/>
  <c r="AB148" i="1"/>
  <c r="P146" i="1"/>
  <c r="S143" i="1"/>
  <c r="W143" i="1"/>
  <c r="FR140" i="1"/>
  <c r="BY160" i="1" s="1"/>
  <c r="BC75" i="1"/>
  <c r="F118" i="1"/>
  <c r="BD75" i="1"/>
  <c r="F127" i="1"/>
  <c r="R99" i="1"/>
  <c r="CP87" i="1"/>
  <c r="O87" i="1" s="1"/>
  <c r="AB82" i="1"/>
  <c r="FR79" i="1"/>
  <c r="CP79" i="1"/>
  <c r="O79" i="1" s="1"/>
  <c r="GM79" i="1" s="1"/>
  <c r="BZ102" i="1"/>
  <c r="CP35" i="1"/>
  <c r="O35" i="1" s="1"/>
  <c r="AG43" i="1"/>
  <c r="AJ43" i="1"/>
  <c r="BC160" i="1"/>
  <c r="CU190" i="3"/>
  <c r="P155" i="1" s="1"/>
  <c r="CX200" i="3"/>
  <c r="CW193" i="3"/>
  <c r="CW195" i="3"/>
  <c r="CX197" i="3"/>
  <c r="CX191" i="3"/>
  <c r="CX193" i="3"/>
  <c r="CX195" i="3"/>
  <c r="CX201" i="3"/>
  <c r="CX190" i="3"/>
  <c r="R149" i="1"/>
  <c r="CU171" i="3"/>
  <c r="CX176" i="3"/>
  <c r="CV171" i="3"/>
  <c r="U148" i="1" s="1"/>
  <c r="G575" i="7" s="1"/>
  <c r="CX172" i="3"/>
  <c r="CX173" i="3"/>
  <c r="CW174" i="3"/>
  <c r="CX171" i="3"/>
  <c r="CX174" i="3"/>
  <c r="I149" i="1"/>
  <c r="T149" i="1" s="1"/>
  <c r="T146" i="1"/>
  <c r="CZ142" i="1"/>
  <c r="Y142" i="1" s="1"/>
  <c r="CW120" i="3"/>
  <c r="V137" i="1" s="1"/>
  <c r="G450" i="7" s="1"/>
  <c r="CX123" i="3"/>
  <c r="CU119" i="3"/>
  <c r="CX120" i="3"/>
  <c r="CX124" i="3"/>
  <c r="CX121" i="3"/>
  <c r="CV119" i="3"/>
  <c r="U137" i="1" s="1"/>
  <c r="G447" i="7" s="1"/>
  <c r="U99" i="1"/>
  <c r="CZ94" i="1"/>
  <c r="Y94" i="1" s="1"/>
  <c r="GM94" i="1" s="1"/>
  <c r="GN94" i="1" s="1"/>
  <c r="CC102" i="1"/>
  <c r="BX26" i="1"/>
  <c r="CJ43" i="1"/>
  <c r="CW139" i="3"/>
  <c r="CW141" i="3"/>
  <c r="CX144" i="3"/>
  <c r="CX148" i="3"/>
  <c r="CX137" i="3"/>
  <c r="CX139" i="3"/>
  <c r="CX141" i="3"/>
  <c r="CX146" i="3"/>
  <c r="CX149" i="3"/>
  <c r="CU136" i="3"/>
  <c r="CX150" i="3"/>
  <c r="CX142" i="3"/>
  <c r="CW140" i="3"/>
  <c r="CW138" i="3"/>
  <c r="V141" i="1" s="1"/>
  <c r="G499" i="7" s="1"/>
  <c r="CX145" i="3"/>
  <c r="CU113" i="3"/>
  <c r="CW115" i="3"/>
  <c r="V136" i="1" s="1"/>
  <c r="G432" i="7" s="1"/>
  <c r="CX118" i="3"/>
  <c r="CV113" i="3"/>
  <c r="U136" i="1" s="1"/>
  <c r="G429" i="7" s="1"/>
  <c r="CX115" i="3"/>
  <c r="CX113" i="3"/>
  <c r="CX116" i="3"/>
  <c r="AO102" i="1"/>
  <c r="AO228" i="1" s="1"/>
  <c r="S99" i="1"/>
  <c r="AB97" i="1"/>
  <c r="AB96" i="1"/>
  <c r="CP92" i="1"/>
  <c r="O92" i="1" s="1"/>
  <c r="GM92" i="1" s="1"/>
  <c r="GN92" i="1" s="1"/>
  <c r="CP88" i="1"/>
  <c r="O88" i="1" s="1"/>
  <c r="GM88" i="1" s="1"/>
  <c r="GN88" i="1" s="1"/>
  <c r="S87" i="1"/>
  <c r="W87" i="1"/>
  <c r="BB43" i="1"/>
  <c r="CY40" i="1"/>
  <c r="X40" i="1" s="1"/>
  <c r="GM40" i="1" s="1"/>
  <c r="GO40" i="1" s="1"/>
  <c r="AB35" i="1"/>
  <c r="CZ32" i="1"/>
  <c r="Y32" i="1" s="1"/>
  <c r="GM32" i="1" s="1"/>
  <c r="GN32" i="1" s="1"/>
  <c r="CY85" i="1"/>
  <c r="X85" i="1" s="1"/>
  <c r="GM85" i="1" s="1"/>
  <c r="GN85" i="1" s="1"/>
  <c r="CZ85" i="1"/>
  <c r="Y85" i="1" s="1"/>
  <c r="AB79" i="1"/>
  <c r="AB78" i="1"/>
  <c r="CD102" i="1"/>
  <c r="CK75" i="1"/>
  <c r="CY34" i="1"/>
  <c r="X34" i="1" s="1"/>
  <c r="CZ34" i="1"/>
  <c r="Y34" i="1" s="1"/>
  <c r="GM34" i="1" s="1"/>
  <c r="GN34" i="1" s="1"/>
  <c r="BZ43" i="1"/>
  <c r="CI43" i="1" s="1"/>
  <c r="CY30" i="1"/>
  <c r="X30" i="1" s="1"/>
  <c r="CZ30" i="1"/>
  <c r="Y30" i="1" s="1"/>
  <c r="CX198" i="3"/>
  <c r="CU163" i="3"/>
  <c r="CX164" i="3"/>
  <c r="CX166" i="3"/>
  <c r="CW167" i="3"/>
  <c r="CX170" i="3"/>
  <c r="CX167" i="3"/>
  <c r="CX168" i="3"/>
  <c r="CX169" i="3"/>
  <c r="W136" i="1"/>
  <c r="AB98" i="1"/>
  <c r="CU105" i="3"/>
  <c r="CX106" i="3"/>
  <c r="CX109" i="3"/>
  <c r="I99" i="1"/>
  <c r="I100" i="1"/>
  <c r="CX107" i="3"/>
  <c r="CX111" i="3"/>
  <c r="GX95" i="1"/>
  <c r="T95" i="1"/>
  <c r="U90" i="1"/>
  <c r="P90" i="1"/>
  <c r="CP90" i="1" s="1"/>
  <c r="O90" i="1" s="1"/>
  <c r="GX85" i="1"/>
  <c r="T85" i="1"/>
  <c r="U83" i="1"/>
  <c r="P83" i="1"/>
  <c r="AB80" i="1"/>
  <c r="BY26" i="1"/>
  <c r="AP43" i="1"/>
  <c r="AB40" i="1"/>
  <c r="GM39" i="1"/>
  <c r="GO39" i="1" s="1"/>
  <c r="AB39" i="1"/>
  <c r="P37" i="1"/>
  <c r="GX37" i="1"/>
  <c r="CD43" i="1"/>
  <c r="AB29" i="1"/>
  <c r="AB28" i="1"/>
  <c r="CX208" i="3"/>
  <c r="CX206" i="3"/>
  <c r="CX204" i="3"/>
  <c r="CV202" i="3"/>
  <c r="U156" i="1" s="1"/>
  <c r="G660" i="7" s="1"/>
  <c r="CX202" i="3"/>
  <c r="CX199" i="3"/>
  <c r="DF186" i="3"/>
  <c r="DJ186" i="3" s="1"/>
  <c r="DG186" i="3"/>
  <c r="DF182" i="3"/>
  <c r="DG182" i="3"/>
  <c r="DJ182" i="3" s="1"/>
  <c r="CX177" i="3"/>
  <c r="CX163" i="3"/>
  <c r="CV163" i="3"/>
  <c r="U147" i="1" s="1"/>
  <c r="G554" i="7" s="1"/>
  <c r="DI92" i="3"/>
  <c r="DG92" i="3"/>
  <c r="DJ92" i="3" s="1"/>
  <c r="DF92" i="3"/>
  <c r="DH92" i="3"/>
  <c r="CW80" i="3"/>
  <c r="V91" i="1" s="1"/>
  <c r="G305" i="7" s="1"/>
  <c r="CX80" i="3"/>
  <c r="CW39" i="3"/>
  <c r="V41" i="1" s="1"/>
  <c r="G155" i="7" s="1"/>
  <c r="CX41" i="3"/>
  <c r="CX39" i="3"/>
  <c r="CU38" i="3"/>
  <c r="CU1" i="3"/>
  <c r="CX4" i="3"/>
  <c r="CX2" i="3"/>
  <c r="CX5" i="3"/>
  <c r="CX212" i="3"/>
  <c r="CW196" i="3"/>
  <c r="CX196" i="3"/>
  <c r="CW194" i="3"/>
  <c r="CX194" i="3"/>
  <c r="CW192" i="3"/>
  <c r="CX192" i="3"/>
  <c r="CV190" i="3"/>
  <c r="U154" i="1" s="1"/>
  <c r="G636" i="7" s="1"/>
  <c r="DH188" i="3"/>
  <c r="DI188" i="3"/>
  <c r="DI186" i="3"/>
  <c r="DH184" i="3"/>
  <c r="DI184" i="3"/>
  <c r="DI182" i="3"/>
  <c r="CX112" i="3"/>
  <c r="CX108" i="3"/>
  <c r="DI104" i="3"/>
  <c r="DH104" i="3"/>
  <c r="DF104" i="3"/>
  <c r="DJ104" i="3" s="1"/>
  <c r="DG104" i="3"/>
  <c r="DI81" i="3"/>
  <c r="DG81" i="3"/>
  <c r="DF81" i="3"/>
  <c r="DH81" i="3"/>
  <c r="CX128" i="3"/>
  <c r="CW126" i="3"/>
  <c r="V138" i="1" s="1"/>
  <c r="G468" i="7" s="1"/>
  <c r="CX129" i="3"/>
  <c r="CX126" i="3"/>
  <c r="CX130" i="3"/>
  <c r="CU75" i="3"/>
  <c r="CX75" i="3"/>
  <c r="CV75" i="3"/>
  <c r="U89" i="1" s="1"/>
  <c r="G292" i="7" s="1"/>
  <c r="CX76" i="3"/>
  <c r="CU62" i="3"/>
  <c r="CV62" i="3"/>
  <c r="U84" i="1" s="1"/>
  <c r="G256" i="7" s="1"/>
  <c r="CX64" i="3"/>
  <c r="CX62" i="3"/>
  <c r="CX65" i="3"/>
  <c r="BD43" i="1"/>
  <c r="DI187" i="3"/>
  <c r="DF187" i="3"/>
  <c r="DJ187" i="3" s="1"/>
  <c r="DH186" i="3"/>
  <c r="DI183" i="3"/>
  <c r="DF183" i="3"/>
  <c r="DJ183" i="3" s="1"/>
  <c r="DH182" i="3"/>
  <c r="CW181" i="3"/>
  <c r="V151" i="1" s="1"/>
  <c r="G607" i="7" s="1"/>
  <c r="CX181" i="3"/>
  <c r="CX179" i="3"/>
  <c r="CV179" i="3"/>
  <c r="U151" i="1" s="1"/>
  <c r="G604" i="7" s="1"/>
  <c r="CW165" i="3"/>
  <c r="CX165" i="3"/>
  <c r="CW156" i="3"/>
  <c r="CX156" i="3"/>
  <c r="CU125" i="3"/>
  <c r="CX117" i="3"/>
  <c r="BC43" i="1"/>
  <c r="CX8" i="3"/>
  <c r="CU8" i="3"/>
  <c r="CW10" i="3"/>
  <c r="V31" i="1" s="1"/>
  <c r="G78" i="7" s="1"/>
  <c r="CV8" i="3"/>
  <c r="U31" i="1" s="1"/>
  <c r="G75" i="7" s="1"/>
  <c r="CX10" i="3"/>
  <c r="DH214" i="3"/>
  <c r="R194" i="1" s="1"/>
  <c r="AE198" i="1" s="1"/>
  <c r="DI214" i="3"/>
  <c r="CW208" i="3"/>
  <c r="CW206" i="3"/>
  <c r="CW204" i="3"/>
  <c r="DH187" i="3"/>
  <c r="DH183" i="3"/>
  <c r="CV178" i="3"/>
  <c r="U150" i="1" s="1"/>
  <c r="G595" i="7" s="1"/>
  <c r="CX178" i="3"/>
  <c r="CX122" i="3"/>
  <c r="CX114" i="3"/>
  <c r="CW91" i="3"/>
  <c r="V93" i="1" s="1"/>
  <c r="G330" i="7" s="1"/>
  <c r="CX91" i="3"/>
  <c r="CX77" i="3"/>
  <c r="CV77" i="3"/>
  <c r="U91" i="1" s="1"/>
  <c r="G302" i="7" s="1"/>
  <c r="CX147" i="3"/>
  <c r="CX140" i="3"/>
  <c r="CX138" i="3"/>
  <c r="CV136" i="3"/>
  <c r="U141" i="1" s="1"/>
  <c r="G496" i="7" s="1"/>
  <c r="CX136" i="3"/>
  <c r="DH133" i="3"/>
  <c r="DI133" i="3"/>
  <c r="DF133" i="3"/>
  <c r="DJ133" i="3" s="1"/>
  <c r="DI132" i="3"/>
  <c r="DF132" i="3"/>
  <c r="DJ132" i="3" s="1"/>
  <c r="DG132" i="3"/>
  <c r="CV125" i="3"/>
  <c r="U138" i="1" s="1"/>
  <c r="G465" i="7" s="1"/>
  <c r="CX119" i="3"/>
  <c r="CX110" i="3"/>
  <c r="CW107" i="3"/>
  <c r="V98" i="1" s="1"/>
  <c r="G378" i="7" s="1"/>
  <c r="CV105" i="3"/>
  <c r="U98" i="1" s="1"/>
  <c r="G375" i="7" s="1"/>
  <c r="CX105" i="3"/>
  <c r="CX88" i="3"/>
  <c r="CV88" i="3"/>
  <c r="U93" i="1" s="1"/>
  <c r="G327" i="7" s="1"/>
  <c r="DI25" i="3"/>
  <c r="DF25" i="3"/>
  <c r="DJ25" i="3" s="1"/>
  <c r="DG25" i="3"/>
  <c r="DH25" i="3"/>
  <c r="CX175" i="3"/>
  <c r="CW168" i="3"/>
  <c r="CX161" i="3"/>
  <c r="DF135" i="3"/>
  <c r="DJ135" i="3" s="1"/>
  <c r="DG135" i="3"/>
  <c r="CW173" i="3"/>
  <c r="V148" i="1" s="1"/>
  <c r="G578" i="7" s="1"/>
  <c r="CW166" i="3"/>
  <c r="CX157" i="3"/>
  <c r="CW155" i="3"/>
  <c r="CX155" i="3"/>
  <c r="CW153" i="3"/>
  <c r="CX153" i="3"/>
  <c r="CV151" i="3"/>
  <c r="U144" i="1" s="1"/>
  <c r="G526" i="7" s="1"/>
  <c r="CX143" i="3"/>
  <c r="DI135" i="3"/>
  <c r="DH132" i="3"/>
  <c r="CV131" i="3"/>
  <c r="U139" i="1" s="1"/>
  <c r="G482" i="7" s="1"/>
  <c r="CX131" i="3"/>
  <c r="CX127" i="3"/>
  <c r="DI100" i="3"/>
  <c r="DF100" i="3"/>
  <c r="P96" i="1" s="1"/>
  <c r="DG100" i="3"/>
  <c r="Q96" i="1" s="1"/>
  <c r="DI96" i="3"/>
  <c r="DG96" i="3"/>
  <c r="DG94" i="3"/>
  <c r="DI94" i="3"/>
  <c r="DG89" i="3"/>
  <c r="DI89" i="3"/>
  <c r="DJ89" i="3" s="1"/>
  <c r="DI85" i="3"/>
  <c r="DG85" i="3"/>
  <c r="DG83" i="3"/>
  <c r="DI83" i="3"/>
  <c r="DG78" i="3"/>
  <c r="DI78" i="3"/>
  <c r="DJ78" i="3" s="1"/>
  <c r="DI67" i="3"/>
  <c r="DF67" i="3"/>
  <c r="DG67" i="3"/>
  <c r="CX63" i="3"/>
  <c r="DI60" i="3"/>
  <c r="DF60" i="3"/>
  <c r="DJ60" i="3" s="1"/>
  <c r="DG60" i="3"/>
  <c r="DH60" i="3"/>
  <c r="DI52" i="3"/>
  <c r="DF52" i="3"/>
  <c r="DJ52" i="3" s="1"/>
  <c r="DG52" i="3"/>
  <c r="DH52" i="3"/>
  <c r="CX125" i="3"/>
  <c r="DH93" i="3"/>
  <c r="DF93" i="3"/>
  <c r="DJ93" i="3" s="1"/>
  <c r="DI90" i="3"/>
  <c r="DG90" i="3"/>
  <c r="DG87" i="3"/>
  <c r="DI87" i="3"/>
  <c r="DH82" i="3"/>
  <c r="DF82" i="3"/>
  <c r="DJ82" i="3" s="1"/>
  <c r="DI79" i="3"/>
  <c r="DG79" i="3"/>
  <c r="DH78" i="3"/>
  <c r="DH61" i="3"/>
  <c r="DI61" i="3"/>
  <c r="DF61" i="3"/>
  <c r="DJ61" i="3" s="1"/>
  <c r="DG61" i="3"/>
  <c r="CV56" i="3"/>
  <c r="U81" i="1" s="1"/>
  <c r="G233" i="7" s="1"/>
  <c r="CX56" i="3"/>
  <c r="DH53" i="3"/>
  <c r="DI53" i="3"/>
  <c r="DF53" i="3"/>
  <c r="DJ53" i="3" s="1"/>
  <c r="DG53" i="3"/>
  <c r="DH103" i="3"/>
  <c r="DH102" i="3"/>
  <c r="R96" i="1" s="1"/>
  <c r="DG101" i="3"/>
  <c r="CX99" i="3"/>
  <c r="DH98" i="3"/>
  <c r="DH97" i="3"/>
  <c r="DF97" i="3"/>
  <c r="DJ97" i="3" s="1"/>
  <c r="DF96" i="3"/>
  <c r="DJ96" i="3" s="1"/>
  <c r="DF95" i="3"/>
  <c r="DJ95" i="3" s="1"/>
  <c r="DH95" i="3"/>
  <c r="DF94" i="3"/>
  <c r="DJ94" i="3" s="1"/>
  <c r="DH90" i="3"/>
  <c r="DF89" i="3"/>
  <c r="DH87" i="3"/>
  <c r="DH86" i="3"/>
  <c r="DF86" i="3"/>
  <c r="DJ86" i="3" s="1"/>
  <c r="DF85" i="3"/>
  <c r="DJ85" i="3" s="1"/>
  <c r="DF84" i="3"/>
  <c r="DJ84" i="3" s="1"/>
  <c r="DH84" i="3"/>
  <c r="DF83" i="3"/>
  <c r="DJ83" i="3" s="1"/>
  <c r="DH79" i="3"/>
  <c r="DF78" i="3"/>
  <c r="DH74" i="3"/>
  <c r="DI74" i="3"/>
  <c r="DF74" i="3"/>
  <c r="DJ74" i="3" s="1"/>
  <c r="DI73" i="3"/>
  <c r="DF73" i="3"/>
  <c r="DJ73" i="3" s="1"/>
  <c r="DG73" i="3"/>
  <c r="DH67" i="3"/>
  <c r="DH17" i="3"/>
  <c r="DI17" i="3"/>
  <c r="DF17" i="3"/>
  <c r="DG17" i="3"/>
  <c r="DG71" i="3"/>
  <c r="DH71" i="3"/>
  <c r="DJ69" i="3"/>
  <c r="DF66" i="3"/>
  <c r="DG66" i="3"/>
  <c r="DG58" i="3"/>
  <c r="Q82" i="1" s="1"/>
  <c r="DH58" i="3"/>
  <c r="DF55" i="3"/>
  <c r="DJ55" i="3" s="1"/>
  <c r="DG55" i="3"/>
  <c r="DG50" i="3"/>
  <c r="Q78" i="1" s="1"/>
  <c r="DH50" i="3"/>
  <c r="CX48" i="3"/>
  <c r="CX47" i="3"/>
  <c r="CX46" i="3"/>
  <c r="CX45" i="3"/>
  <c r="CV44" i="3"/>
  <c r="U77" i="1" s="1"/>
  <c r="G203" i="7" s="1"/>
  <c r="CX44" i="3"/>
  <c r="CX43" i="3"/>
  <c r="CX42" i="3"/>
  <c r="DI29" i="3"/>
  <c r="DF29" i="3"/>
  <c r="DJ29" i="3" s="1"/>
  <c r="DG29" i="3"/>
  <c r="DH29" i="3"/>
  <c r="DH70" i="3"/>
  <c r="DI70" i="3"/>
  <c r="CW68" i="3"/>
  <c r="V86" i="1" s="1"/>
  <c r="G273" i="7" s="1"/>
  <c r="CX68" i="3"/>
  <c r="CX40" i="3"/>
  <c r="DI34" i="3"/>
  <c r="DF34" i="3"/>
  <c r="DJ34" i="3" s="1"/>
  <c r="DG34" i="3"/>
  <c r="DH34" i="3"/>
  <c r="CX31" i="3"/>
  <c r="CW31" i="3"/>
  <c r="V38" i="1" s="1"/>
  <c r="G135" i="7" s="1"/>
  <c r="DF72" i="3"/>
  <c r="DJ72" i="3" s="1"/>
  <c r="DG72" i="3"/>
  <c r="DI71" i="3"/>
  <c r="DI69" i="3"/>
  <c r="DF69" i="3"/>
  <c r="DH66" i="3"/>
  <c r="CW64" i="3"/>
  <c r="V84" i="1" s="1"/>
  <c r="G259" i="7" s="1"/>
  <c r="DF59" i="3"/>
  <c r="DG59" i="3"/>
  <c r="DI58" i="3"/>
  <c r="S82" i="1" s="1"/>
  <c r="DH55" i="3"/>
  <c r="DG54" i="3"/>
  <c r="DH54" i="3"/>
  <c r="DF51" i="3"/>
  <c r="DG51" i="3"/>
  <c r="DI50" i="3"/>
  <c r="S78" i="1" s="1"/>
  <c r="CV38" i="3"/>
  <c r="U41" i="1" s="1"/>
  <c r="G152" i="7" s="1"/>
  <c r="CX38" i="3"/>
  <c r="DG35" i="3"/>
  <c r="CX30" i="3"/>
  <c r="DG26" i="3"/>
  <c r="CX11" i="3"/>
  <c r="CX6" i="3"/>
  <c r="DF37" i="3"/>
  <c r="DJ37" i="3" s="1"/>
  <c r="DG37" i="3"/>
  <c r="DF33" i="3"/>
  <c r="DJ33" i="3" s="1"/>
  <c r="DG33" i="3"/>
  <c r="DF28" i="3"/>
  <c r="DJ28" i="3" s="1"/>
  <c r="DG28" i="3"/>
  <c r="DF24" i="3"/>
  <c r="DG24" i="3"/>
  <c r="DH21" i="3"/>
  <c r="DI21" i="3"/>
  <c r="DF21" i="3"/>
  <c r="DJ21" i="3" s="1"/>
  <c r="DI20" i="3"/>
  <c r="DF20" i="3"/>
  <c r="DJ20" i="3" s="1"/>
  <c r="DG20" i="3"/>
  <c r="DH15" i="3"/>
  <c r="DJ15" i="3" s="1"/>
  <c r="DI15" i="3"/>
  <c r="DF15" i="3"/>
  <c r="CX9" i="3"/>
  <c r="CX7" i="3"/>
  <c r="CW3" i="3"/>
  <c r="V28" i="1" s="1"/>
  <c r="G59" i="7" s="1"/>
  <c r="CX3" i="3"/>
  <c r="DH35" i="3"/>
  <c r="DI35" i="3"/>
  <c r="DH26" i="3"/>
  <c r="DI26" i="3"/>
  <c r="DH23" i="3"/>
  <c r="DI23" i="3"/>
  <c r="DH13" i="3"/>
  <c r="DI13" i="3"/>
  <c r="DJ13" i="3" s="1"/>
  <c r="DF13" i="3"/>
  <c r="DI12" i="3"/>
  <c r="DF12" i="3"/>
  <c r="DG12" i="3"/>
  <c r="Q33" i="1" s="1"/>
  <c r="CV1" i="3"/>
  <c r="U28" i="1" s="1"/>
  <c r="CX1" i="3"/>
  <c r="DG19" i="3"/>
  <c r="DG16" i="3"/>
  <c r="DJ16" i="3" s="1"/>
  <c r="DG14" i="3"/>
  <c r="DJ14" i="3" s="1"/>
  <c r="O157" i="1" l="1"/>
  <c r="GM157" i="1" s="1"/>
  <c r="GO157" i="1" s="1"/>
  <c r="L677" i="7"/>
  <c r="AH43" i="1"/>
  <c r="G56" i="7"/>
  <c r="AN143" i="7"/>
  <c r="AW143" i="7"/>
  <c r="O155" i="1"/>
  <c r="GM155" i="1" s="1"/>
  <c r="GO155" i="1" s="1"/>
  <c r="L653" i="7"/>
  <c r="AU160" i="1"/>
  <c r="O37" i="1"/>
  <c r="GM37" i="1" s="1"/>
  <c r="GO37" i="1" s="1"/>
  <c r="L126" i="7"/>
  <c r="L399" i="7"/>
  <c r="L397" i="7" s="1"/>
  <c r="L733" i="7"/>
  <c r="L173" i="7"/>
  <c r="L171" i="7" s="1"/>
  <c r="L845" i="7"/>
  <c r="L843" i="7" s="1"/>
  <c r="L774" i="7"/>
  <c r="L772" i="7" s="1"/>
  <c r="L769" i="7" s="1"/>
  <c r="L394" i="7"/>
  <c r="AO22" i="1"/>
  <c r="AO258" i="1"/>
  <c r="F232" i="1"/>
  <c r="CJ134" i="1"/>
  <c r="BA160" i="1"/>
  <c r="DF30" i="3"/>
  <c r="DG30" i="3"/>
  <c r="DH30" i="3"/>
  <c r="DI30" i="3"/>
  <c r="DG56" i="3"/>
  <c r="Q81" i="1" s="1"/>
  <c r="DH56" i="3"/>
  <c r="R81" i="1" s="1"/>
  <c r="DF56" i="3"/>
  <c r="P81" i="1" s="1"/>
  <c r="DI56" i="3"/>
  <c r="DG153" i="3"/>
  <c r="DH153" i="3"/>
  <c r="DF153" i="3"/>
  <c r="DI153" i="3"/>
  <c r="DI181" i="3"/>
  <c r="DG181" i="3"/>
  <c r="DJ181" i="3" s="1"/>
  <c r="DH181" i="3"/>
  <c r="DF181" i="3"/>
  <c r="BD26" i="1"/>
  <c r="F68" i="1"/>
  <c r="DG192" i="3"/>
  <c r="DJ192" i="3" s="1"/>
  <c r="DH192" i="3"/>
  <c r="DI192" i="3"/>
  <c r="DF192" i="3"/>
  <c r="DI2" i="3"/>
  <c r="DJ2" i="3" s="1"/>
  <c r="DF2" i="3"/>
  <c r="DG2" i="3"/>
  <c r="DH2" i="3"/>
  <c r="DH199" i="3"/>
  <c r="DI199" i="3"/>
  <c r="DF199" i="3"/>
  <c r="DJ199" i="3" s="1"/>
  <c r="DG199" i="3"/>
  <c r="CD26" i="1"/>
  <c r="AU43" i="1"/>
  <c r="CI26" i="1"/>
  <c r="AZ43" i="1"/>
  <c r="GX100" i="1"/>
  <c r="CJ102" i="1" s="1"/>
  <c r="T100" i="1"/>
  <c r="DF169" i="3"/>
  <c r="DJ169" i="3" s="1"/>
  <c r="DG169" i="3"/>
  <c r="DH169" i="3"/>
  <c r="DI169" i="3"/>
  <c r="DI198" i="3"/>
  <c r="DF198" i="3"/>
  <c r="DJ198" i="3" s="1"/>
  <c r="DG198" i="3"/>
  <c r="DH198" i="3"/>
  <c r="DI116" i="3"/>
  <c r="DF116" i="3"/>
  <c r="DJ116" i="3" s="1"/>
  <c r="DG116" i="3"/>
  <c r="DH116" i="3"/>
  <c r="DG118" i="3"/>
  <c r="DH118" i="3"/>
  <c r="DI118" i="3"/>
  <c r="DF118" i="3"/>
  <c r="DJ118" i="3" s="1"/>
  <c r="DF139" i="3"/>
  <c r="DG139" i="3"/>
  <c r="DI139" i="3"/>
  <c r="DH139" i="3"/>
  <c r="DF120" i="3"/>
  <c r="DG120" i="3"/>
  <c r="DH120" i="3"/>
  <c r="DI120" i="3"/>
  <c r="DI174" i="3"/>
  <c r="DF174" i="3"/>
  <c r="DG174" i="3"/>
  <c r="DJ174" i="3" s="1"/>
  <c r="DH174" i="3"/>
  <c r="DI172" i="3"/>
  <c r="DJ172" i="3" s="1"/>
  <c r="DG172" i="3"/>
  <c r="DH172" i="3"/>
  <c r="DF172" i="3"/>
  <c r="DI193" i="3"/>
  <c r="DF193" i="3"/>
  <c r="DH193" i="3"/>
  <c r="DG193" i="3"/>
  <c r="W43" i="1"/>
  <c r="AJ26" i="1"/>
  <c r="AQ102" i="1"/>
  <c r="BZ75" i="1"/>
  <c r="CG102" i="1"/>
  <c r="Q100" i="1"/>
  <c r="CZ143" i="1"/>
  <c r="Y143" i="1" s="1"/>
  <c r="CY143" i="1"/>
  <c r="X143" i="1" s="1"/>
  <c r="F185" i="1"/>
  <c r="BD134" i="1"/>
  <c r="F207" i="1"/>
  <c r="AP192" i="1"/>
  <c r="V100" i="1"/>
  <c r="DF159" i="3"/>
  <c r="DJ159" i="3" s="1"/>
  <c r="DG159" i="3"/>
  <c r="DH159" i="3"/>
  <c r="DI159" i="3"/>
  <c r="DF203" i="3"/>
  <c r="DG203" i="3"/>
  <c r="DH203" i="3"/>
  <c r="DI203" i="3"/>
  <c r="DJ203" i="3" s="1"/>
  <c r="DG209" i="3"/>
  <c r="DH209" i="3"/>
  <c r="DF209" i="3"/>
  <c r="DJ209" i="3" s="1"/>
  <c r="DI209" i="3"/>
  <c r="AU192" i="1"/>
  <c r="F217" i="1"/>
  <c r="U192" i="1"/>
  <c r="F220" i="1"/>
  <c r="G761" i="7" s="1"/>
  <c r="AZ192" i="1"/>
  <c r="F209" i="1"/>
  <c r="F221" i="1"/>
  <c r="G762" i="7" s="1"/>
  <c r="V192" i="1"/>
  <c r="F218" i="1"/>
  <c r="BA192" i="1"/>
  <c r="P192" i="1"/>
  <c r="F201" i="1"/>
  <c r="P33" i="1"/>
  <c r="R33" i="1"/>
  <c r="AI43" i="1"/>
  <c r="DJ24" i="3"/>
  <c r="Q36" i="1"/>
  <c r="DH6" i="3"/>
  <c r="DI6" i="3"/>
  <c r="DF6" i="3"/>
  <c r="DJ6" i="3" s="1"/>
  <c r="DG6" i="3"/>
  <c r="DH31" i="3"/>
  <c r="DI31" i="3"/>
  <c r="DF31" i="3"/>
  <c r="DG31" i="3"/>
  <c r="DF44" i="3"/>
  <c r="DH44" i="3"/>
  <c r="DI44" i="3"/>
  <c r="DG44" i="3"/>
  <c r="DG47" i="3"/>
  <c r="DH47" i="3"/>
  <c r="DI47" i="3"/>
  <c r="DF47" i="3"/>
  <c r="DJ47" i="3" s="1"/>
  <c r="DJ90" i="3"/>
  <c r="DG125" i="3"/>
  <c r="DH125" i="3"/>
  <c r="DI125" i="3"/>
  <c r="DF125" i="3"/>
  <c r="DJ67" i="3"/>
  <c r="DH127" i="3"/>
  <c r="DI127" i="3"/>
  <c r="DF127" i="3"/>
  <c r="DJ127" i="3" s="1"/>
  <c r="DG127" i="3"/>
  <c r="V144" i="1"/>
  <c r="G529" i="7" s="1"/>
  <c r="DH161" i="3"/>
  <c r="DI161" i="3"/>
  <c r="DF161" i="3"/>
  <c r="DJ161" i="3" s="1"/>
  <c r="DG161" i="3"/>
  <c r="DH88" i="3"/>
  <c r="DF88" i="3"/>
  <c r="P93" i="1" s="1"/>
  <c r="DG88" i="3"/>
  <c r="Q93" i="1" s="1"/>
  <c r="DI88" i="3"/>
  <c r="DF110" i="3"/>
  <c r="DJ110" i="3" s="1"/>
  <c r="DG110" i="3"/>
  <c r="DH110" i="3"/>
  <c r="DI110" i="3"/>
  <c r="DH140" i="3"/>
  <c r="DI140" i="3"/>
  <c r="DF140" i="3"/>
  <c r="DG140" i="3"/>
  <c r="DJ140" i="3" s="1"/>
  <c r="DG91" i="3"/>
  <c r="DI91" i="3"/>
  <c r="DF91" i="3"/>
  <c r="DH91" i="3"/>
  <c r="DG178" i="3"/>
  <c r="Q150" i="1" s="1"/>
  <c r="DI178" i="3"/>
  <c r="DF178" i="3"/>
  <c r="P150" i="1" s="1"/>
  <c r="DH178" i="3"/>
  <c r="R150" i="1" s="1"/>
  <c r="V156" i="1"/>
  <c r="G663" i="7" s="1"/>
  <c r="AE192" i="1"/>
  <c r="R198" i="1"/>
  <c r="V147" i="1"/>
  <c r="G557" i="7" s="1"/>
  <c r="DI65" i="3"/>
  <c r="DF65" i="3"/>
  <c r="DJ65" i="3" s="1"/>
  <c r="DG65" i="3"/>
  <c r="DH65" i="3"/>
  <c r="DJ81" i="3"/>
  <c r="V154" i="1"/>
  <c r="G639" i="7" s="1"/>
  <c r="DF4" i="3"/>
  <c r="DJ4" i="3" s="1"/>
  <c r="DG4" i="3"/>
  <c r="DH4" i="3"/>
  <c r="DI4" i="3"/>
  <c r="DG41" i="3"/>
  <c r="DH41" i="3"/>
  <c r="DI41" i="3"/>
  <c r="DF41" i="3"/>
  <c r="DJ41" i="3" s="1"/>
  <c r="DG202" i="3"/>
  <c r="DH202" i="3"/>
  <c r="DF202" i="3"/>
  <c r="DI202" i="3"/>
  <c r="DH208" i="3"/>
  <c r="DI208" i="3"/>
  <c r="DF208" i="3"/>
  <c r="DG208" i="3"/>
  <c r="DJ208" i="3" s="1"/>
  <c r="Q99" i="1"/>
  <c r="CP99" i="1" s="1"/>
  <c r="O99" i="1" s="1"/>
  <c r="GM99" i="1" s="1"/>
  <c r="GN99" i="1" s="1"/>
  <c r="GX99" i="1"/>
  <c r="DG168" i="3"/>
  <c r="DJ168" i="3" s="1"/>
  <c r="DF168" i="3"/>
  <c r="DH168" i="3"/>
  <c r="DI168" i="3"/>
  <c r="DG166" i="3"/>
  <c r="DJ166" i="3" s="1"/>
  <c r="DH166" i="3"/>
  <c r="DI166" i="3"/>
  <c r="DF166" i="3"/>
  <c r="CY87" i="1"/>
  <c r="X87" i="1" s="1"/>
  <c r="GM87" i="1" s="1"/>
  <c r="GN87" i="1" s="1"/>
  <c r="CZ87" i="1"/>
  <c r="Y87" i="1" s="1"/>
  <c r="DI113" i="3"/>
  <c r="DF113" i="3"/>
  <c r="DG113" i="3"/>
  <c r="DH113" i="3"/>
  <c r="DF149" i="3"/>
  <c r="DJ149" i="3" s="1"/>
  <c r="DG149" i="3"/>
  <c r="DI149" i="3"/>
  <c r="DH149" i="3"/>
  <c r="DF137" i="3"/>
  <c r="DG137" i="3"/>
  <c r="DI137" i="3"/>
  <c r="DJ137" i="3" s="1"/>
  <c r="DH137" i="3"/>
  <c r="CC75" i="1"/>
  <c r="AT102" i="1"/>
  <c r="R145" i="1"/>
  <c r="DF171" i="3"/>
  <c r="DG171" i="3"/>
  <c r="DH171" i="3"/>
  <c r="DI171" i="3"/>
  <c r="DF190" i="3"/>
  <c r="DG190" i="3"/>
  <c r="DH190" i="3"/>
  <c r="DI190" i="3"/>
  <c r="DI191" i="3"/>
  <c r="DJ191" i="3" s="1"/>
  <c r="DF191" i="3"/>
  <c r="DH191" i="3"/>
  <c r="DG191" i="3"/>
  <c r="DG200" i="3"/>
  <c r="DH200" i="3"/>
  <c r="DF200" i="3"/>
  <c r="DJ200" i="3" s="1"/>
  <c r="DI200" i="3"/>
  <c r="AG26" i="1"/>
  <c r="T43" i="1"/>
  <c r="V99" i="1"/>
  <c r="AI102" i="1" s="1"/>
  <c r="U100" i="1"/>
  <c r="T145" i="1"/>
  <c r="AG160" i="1" s="1"/>
  <c r="DI189" i="3"/>
  <c r="DF189" i="3"/>
  <c r="P153" i="1" s="1"/>
  <c r="DH189" i="3"/>
  <c r="R153" i="1" s="1"/>
  <c r="DG189" i="3"/>
  <c r="Q153" i="1" s="1"/>
  <c r="GM29" i="1"/>
  <c r="GN29" i="1" s="1"/>
  <c r="R100" i="1"/>
  <c r="Q146" i="1"/>
  <c r="W146" i="1"/>
  <c r="DG158" i="3"/>
  <c r="DF158" i="3"/>
  <c r="DJ158" i="3" s="1"/>
  <c r="DH158" i="3"/>
  <c r="DI158" i="3"/>
  <c r="DF151" i="3"/>
  <c r="DG151" i="3"/>
  <c r="DI151" i="3"/>
  <c r="DH151" i="3"/>
  <c r="DF210" i="3"/>
  <c r="DJ210" i="3" s="1"/>
  <c r="DG210" i="3"/>
  <c r="DH210" i="3"/>
  <c r="DI210" i="3"/>
  <c r="DI211" i="3"/>
  <c r="DF211" i="3"/>
  <c r="DJ211" i="3" s="1"/>
  <c r="DH211" i="3"/>
  <c r="DG211" i="3"/>
  <c r="P100" i="1"/>
  <c r="U146" i="1"/>
  <c r="AH160" i="1" s="1"/>
  <c r="T99" i="1"/>
  <c r="AG102" i="1" s="1"/>
  <c r="AU134" i="1"/>
  <c r="F179" i="1"/>
  <c r="AX198" i="1"/>
  <c r="CG192" i="1"/>
  <c r="CF192" i="1"/>
  <c r="AW198" i="1"/>
  <c r="AY198" i="1"/>
  <c r="CH192" i="1"/>
  <c r="DG3" i="3"/>
  <c r="DJ3" i="3" s="1"/>
  <c r="DH3" i="3"/>
  <c r="DI3" i="3"/>
  <c r="DF3" i="3"/>
  <c r="DH77" i="3"/>
  <c r="DF77" i="3"/>
  <c r="DG77" i="3"/>
  <c r="Q91" i="1" s="1"/>
  <c r="DI77" i="3"/>
  <c r="DI165" i="3"/>
  <c r="DG165" i="3"/>
  <c r="DH165" i="3"/>
  <c r="DF165" i="3"/>
  <c r="DF75" i="3"/>
  <c r="P89" i="1" s="1"/>
  <c r="DG75" i="3"/>
  <c r="Q89" i="1" s="1"/>
  <c r="DI75" i="3"/>
  <c r="DH75" i="3"/>
  <c r="R89" i="1" s="1"/>
  <c r="DF1" i="3"/>
  <c r="DG1" i="3"/>
  <c r="DH1" i="3"/>
  <c r="R28" i="1" s="1"/>
  <c r="DI1" i="3"/>
  <c r="DH40" i="3"/>
  <c r="DI40" i="3"/>
  <c r="DF40" i="3"/>
  <c r="DJ40" i="3" s="1"/>
  <c r="DG40" i="3"/>
  <c r="DH63" i="3"/>
  <c r="DI63" i="3"/>
  <c r="DJ63" i="3" s="1"/>
  <c r="DF63" i="3"/>
  <c r="DG63" i="3"/>
  <c r="DF131" i="3"/>
  <c r="P139" i="1" s="1"/>
  <c r="DG131" i="3"/>
  <c r="Q139" i="1" s="1"/>
  <c r="DH131" i="3"/>
  <c r="R139" i="1" s="1"/>
  <c r="DI131" i="3"/>
  <c r="DG155" i="3"/>
  <c r="DJ155" i="3" s="1"/>
  <c r="DI155" i="3"/>
  <c r="DF155" i="3"/>
  <c r="DH155" i="3"/>
  <c r="DI10" i="3"/>
  <c r="DF10" i="3"/>
  <c r="DG10" i="3"/>
  <c r="DJ10" i="3" s="1"/>
  <c r="DH10" i="3"/>
  <c r="DI156" i="3"/>
  <c r="DG156" i="3"/>
  <c r="DH156" i="3"/>
  <c r="DF156" i="3"/>
  <c r="DG76" i="3"/>
  <c r="DI76" i="3"/>
  <c r="DH76" i="3"/>
  <c r="DF76" i="3"/>
  <c r="DJ76" i="3" s="1"/>
  <c r="DH212" i="3"/>
  <c r="DI212" i="3"/>
  <c r="DG212" i="3"/>
  <c r="DF212" i="3"/>
  <c r="DJ212" i="3" s="1"/>
  <c r="AP26" i="1"/>
  <c r="F52" i="1"/>
  <c r="FR83" i="1"/>
  <c r="CP83" i="1"/>
  <c r="O83" i="1" s="1"/>
  <c r="GM83" i="1" s="1"/>
  <c r="GM90" i="1"/>
  <c r="GN90" i="1" s="1"/>
  <c r="DI111" i="3"/>
  <c r="DF111" i="3"/>
  <c r="DJ111" i="3" s="1"/>
  <c r="DG111" i="3"/>
  <c r="DH111" i="3"/>
  <c r="DG109" i="3"/>
  <c r="DH109" i="3"/>
  <c r="DI109" i="3"/>
  <c r="DF109" i="3"/>
  <c r="DJ109" i="3" s="1"/>
  <c r="S100" i="1"/>
  <c r="DI167" i="3"/>
  <c r="DF167" i="3"/>
  <c r="DG167" i="3"/>
  <c r="DH167" i="3"/>
  <c r="DG164" i="3"/>
  <c r="DI164" i="3"/>
  <c r="DJ164" i="3" s="1"/>
  <c r="DF164" i="3"/>
  <c r="DH164" i="3"/>
  <c r="CY99" i="1"/>
  <c r="X99" i="1" s="1"/>
  <c r="CZ99" i="1"/>
  <c r="Y99" i="1" s="1"/>
  <c r="DF115" i="3"/>
  <c r="DG115" i="3"/>
  <c r="DJ115" i="3" s="1"/>
  <c r="DH115" i="3"/>
  <c r="DI115" i="3"/>
  <c r="DI142" i="3"/>
  <c r="DF142" i="3"/>
  <c r="DJ142" i="3" s="1"/>
  <c r="DG142" i="3"/>
  <c r="DH142" i="3"/>
  <c r="DI146" i="3"/>
  <c r="DF146" i="3"/>
  <c r="DJ146" i="3" s="1"/>
  <c r="DH146" i="3"/>
  <c r="DG146" i="3"/>
  <c r="DG148" i="3"/>
  <c r="DH148" i="3"/>
  <c r="DF148" i="3"/>
  <c r="DJ148" i="3" s="1"/>
  <c r="DI148" i="3"/>
  <c r="BA43" i="1"/>
  <c r="CJ26" i="1"/>
  <c r="DI121" i="3"/>
  <c r="DF121" i="3"/>
  <c r="DJ121" i="3" s="1"/>
  <c r="DG121" i="3"/>
  <c r="DH121" i="3"/>
  <c r="DG123" i="3"/>
  <c r="DH123" i="3"/>
  <c r="DI123" i="3"/>
  <c r="DF123" i="3"/>
  <c r="DJ123" i="3" s="1"/>
  <c r="DG176" i="3"/>
  <c r="DI176" i="3"/>
  <c r="DF176" i="3"/>
  <c r="DJ176" i="3" s="1"/>
  <c r="DH176" i="3"/>
  <c r="DF201" i="3"/>
  <c r="DJ201" i="3" s="1"/>
  <c r="DG201" i="3"/>
  <c r="DH201" i="3"/>
  <c r="DI201" i="3"/>
  <c r="DF197" i="3"/>
  <c r="DJ197" i="3" s="1"/>
  <c r="DG197" i="3"/>
  <c r="DH197" i="3"/>
  <c r="DI197" i="3"/>
  <c r="BY102" i="1"/>
  <c r="BY134" i="1"/>
  <c r="CI160" i="1"/>
  <c r="AP160" i="1"/>
  <c r="W100" i="1"/>
  <c r="DI152" i="3"/>
  <c r="DJ152" i="3" s="1"/>
  <c r="DF152" i="3"/>
  <c r="DG152" i="3"/>
  <c r="DH152" i="3"/>
  <c r="DG162" i="3"/>
  <c r="DI162" i="3"/>
  <c r="DF162" i="3"/>
  <c r="DJ162" i="3" s="1"/>
  <c r="DH162" i="3"/>
  <c r="P145" i="1"/>
  <c r="DF207" i="3"/>
  <c r="DG207" i="3"/>
  <c r="DH207" i="3"/>
  <c r="DI207" i="3"/>
  <c r="Q145" i="1"/>
  <c r="F210" i="1"/>
  <c r="Q192" i="1"/>
  <c r="CG134" i="1"/>
  <c r="AX160" i="1"/>
  <c r="CM198" i="1"/>
  <c r="AQ192" i="1"/>
  <c r="F208" i="1"/>
  <c r="DJ59" i="3"/>
  <c r="P82" i="1"/>
  <c r="DI43" i="3"/>
  <c r="DH43" i="3"/>
  <c r="DF43" i="3"/>
  <c r="DJ43" i="3" s="1"/>
  <c r="DG43" i="3"/>
  <c r="DH46" i="3"/>
  <c r="DI46" i="3"/>
  <c r="DF46" i="3"/>
  <c r="DJ46" i="3" s="1"/>
  <c r="DG46" i="3"/>
  <c r="DH99" i="3"/>
  <c r="R95" i="1" s="1"/>
  <c r="DG99" i="3"/>
  <c r="Q95" i="1" s="1"/>
  <c r="DI99" i="3"/>
  <c r="DF99" i="3"/>
  <c r="P95" i="1" s="1"/>
  <c r="DJ100" i="3"/>
  <c r="S96" i="1"/>
  <c r="CP96" i="1" s="1"/>
  <c r="O96" i="1" s="1"/>
  <c r="DH157" i="3"/>
  <c r="DF157" i="3"/>
  <c r="DJ157" i="3" s="1"/>
  <c r="DG157" i="3"/>
  <c r="DI157" i="3"/>
  <c r="DH138" i="3"/>
  <c r="DI138" i="3"/>
  <c r="DF138" i="3"/>
  <c r="DG138" i="3"/>
  <c r="DH122" i="3"/>
  <c r="DI122" i="3"/>
  <c r="DF122" i="3"/>
  <c r="DJ122" i="3" s="1"/>
  <c r="DG122" i="3"/>
  <c r="DJ214" i="3"/>
  <c r="S194" i="1"/>
  <c r="DH117" i="3"/>
  <c r="DI117" i="3"/>
  <c r="DF117" i="3"/>
  <c r="DJ117" i="3" s="1"/>
  <c r="DG117" i="3"/>
  <c r="DF129" i="3"/>
  <c r="DJ129" i="3" s="1"/>
  <c r="DG129" i="3"/>
  <c r="DH129" i="3"/>
  <c r="DI129" i="3"/>
  <c r="DH112" i="3"/>
  <c r="DI112" i="3"/>
  <c r="DF112" i="3"/>
  <c r="DJ112" i="3" s="1"/>
  <c r="DG112" i="3"/>
  <c r="DG196" i="3"/>
  <c r="DJ196" i="3" s="1"/>
  <c r="DH196" i="3"/>
  <c r="DI196" i="3"/>
  <c r="DF196" i="3"/>
  <c r="DI39" i="3"/>
  <c r="DF39" i="3"/>
  <c r="DG39" i="3"/>
  <c r="DJ39" i="3" s="1"/>
  <c r="DH39" i="3"/>
  <c r="DH206" i="3"/>
  <c r="DI206" i="3"/>
  <c r="DF206" i="3"/>
  <c r="DG206" i="3"/>
  <c r="DJ12" i="3"/>
  <c r="S33" i="1"/>
  <c r="DJ23" i="3"/>
  <c r="S36" i="1"/>
  <c r="DG7" i="3"/>
  <c r="DH7" i="3"/>
  <c r="DI7" i="3"/>
  <c r="DF7" i="3"/>
  <c r="DJ7" i="3" s="1"/>
  <c r="P36" i="1"/>
  <c r="DH11" i="3"/>
  <c r="DI11" i="3"/>
  <c r="DF11" i="3"/>
  <c r="DJ11" i="3" s="1"/>
  <c r="DG11" i="3"/>
  <c r="DG38" i="3"/>
  <c r="DH38" i="3"/>
  <c r="DF38" i="3"/>
  <c r="DI38" i="3"/>
  <c r="DJ51" i="3"/>
  <c r="P78" i="1"/>
  <c r="AH102" i="1"/>
  <c r="DF48" i="3"/>
  <c r="DJ48" i="3" s="1"/>
  <c r="DG48" i="3"/>
  <c r="DH48" i="3"/>
  <c r="DI48" i="3"/>
  <c r="DH143" i="3"/>
  <c r="DI143" i="3"/>
  <c r="DF143" i="3"/>
  <c r="DJ143" i="3" s="1"/>
  <c r="DG143" i="3"/>
  <c r="DF105" i="3"/>
  <c r="DH105" i="3"/>
  <c r="DI105" i="3"/>
  <c r="DG105" i="3"/>
  <c r="DH119" i="3"/>
  <c r="R137" i="1" s="1"/>
  <c r="DI119" i="3"/>
  <c r="DF119" i="3"/>
  <c r="DG119" i="3"/>
  <c r="DG136" i="3"/>
  <c r="Q141" i="1" s="1"/>
  <c r="DH136" i="3"/>
  <c r="DF136" i="3"/>
  <c r="DI136" i="3"/>
  <c r="DH147" i="3"/>
  <c r="DI147" i="3"/>
  <c r="DG147" i="3"/>
  <c r="DF147" i="3"/>
  <c r="DJ147" i="3" s="1"/>
  <c r="DH8" i="3"/>
  <c r="DI8" i="3"/>
  <c r="DF8" i="3"/>
  <c r="DG8" i="3"/>
  <c r="DI62" i="3"/>
  <c r="DF62" i="3"/>
  <c r="DG62" i="3"/>
  <c r="DH62" i="3"/>
  <c r="DI130" i="3"/>
  <c r="DF130" i="3"/>
  <c r="DJ130" i="3" s="1"/>
  <c r="DG130" i="3"/>
  <c r="DH130" i="3"/>
  <c r="DG128" i="3"/>
  <c r="DH128" i="3"/>
  <c r="DI128" i="3"/>
  <c r="DF128" i="3"/>
  <c r="DJ128" i="3" s="1"/>
  <c r="DG194" i="3"/>
  <c r="DJ194" i="3" s="1"/>
  <c r="DH194" i="3"/>
  <c r="DI194" i="3"/>
  <c r="DF194" i="3"/>
  <c r="DH163" i="3"/>
  <c r="R147" i="1" s="1"/>
  <c r="DI163" i="3"/>
  <c r="DF163" i="3"/>
  <c r="P147" i="1" s="1"/>
  <c r="DG163" i="3"/>
  <c r="AH26" i="1"/>
  <c r="U43" i="1"/>
  <c r="R36" i="1"/>
  <c r="DG9" i="3"/>
  <c r="DH9" i="3"/>
  <c r="DI9" i="3"/>
  <c r="DJ9" i="3" s="1"/>
  <c r="DF9" i="3"/>
  <c r="DG68" i="3"/>
  <c r="DH68" i="3"/>
  <c r="R86" i="1" s="1"/>
  <c r="DF68" i="3"/>
  <c r="P86" i="1" s="1"/>
  <c r="DI68" i="3"/>
  <c r="S86" i="1" s="1"/>
  <c r="DF42" i="3"/>
  <c r="DJ42" i="3" s="1"/>
  <c r="DH42" i="3"/>
  <c r="DI42" i="3"/>
  <c r="DG42" i="3"/>
  <c r="DI45" i="3"/>
  <c r="DH45" i="3"/>
  <c r="DF45" i="3"/>
  <c r="DJ45" i="3" s="1"/>
  <c r="DG45" i="3"/>
  <c r="R78" i="1"/>
  <c r="CZ78" i="1" s="1"/>
  <c r="Y78" i="1" s="1"/>
  <c r="BA230" i="7" s="1"/>
  <c r="L229" i="7" s="1"/>
  <c r="R82" i="1"/>
  <c r="CZ82" i="1" s="1"/>
  <c r="Y82" i="1" s="1"/>
  <c r="BA253" i="7" s="1"/>
  <c r="L252" i="7" s="1"/>
  <c r="DJ17" i="3"/>
  <c r="DJ79" i="3"/>
  <c r="DH175" i="3"/>
  <c r="DI175" i="3"/>
  <c r="DF175" i="3"/>
  <c r="DJ175" i="3" s="1"/>
  <c r="DG175" i="3"/>
  <c r="DH114" i="3"/>
  <c r="DI114" i="3"/>
  <c r="DJ114" i="3" s="1"/>
  <c r="DF114" i="3"/>
  <c r="DG114" i="3"/>
  <c r="BC26" i="1"/>
  <c r="F59" i="1"/>
  <c r="BC228" i="1"/>
  <c r="DH179" i="3"/>
  <c r="R151" i="1" s="1"/>
  <c r="DI179" i="3"/>
  <c r="DG179" i="3"/>
  <c r="Q151" i="1" s="1"/>
  <c r="DF179" i="3"/>
  <c r="P151" i="1" s="1"/>
  <c r="DF64" i="3"/>
  <c r="DG64" i="3"/>
  <c r="DJ64" i="3" s="1"/>
  <c r="DI64" i="3"/>
  <c r="DH64" i="3"/>
  <c r="DI126" i="3"/>
  <c r="DF126" i="3"/>
  <c r="DG126" i="3"/>
  <c r="DH126" i="3"/>
  <c r="DH108" i="3"/>
  <c r="DI108" i="3"/>
  <c r="DF108" i="3"/>
  <c r="DJ108" i="3" s="1"/>
  <c r="DG108" i="3"/>
  <c r="DI5" i="3"/>
  <c r="DF5" i="3"/>
  <c r="DJ5" i="3" s="1"/>
  <c r="DG5" i="3"/>
  <c r="DH5" i="3"/>
  <c r="DG80" i="3"/>
  <c r="DI80" i="3"/>
  <c r="DF80" i="3"/>
  <c r="DH80" i="3"/>
  <c r="DF177" i="3"/>
  <c r="DJ177" i="3" s="1"/>
  <c r="DI177" i="3"/>
  <c r="DG177" i="3"/>
  <c r="DH177" i="3"/>
  <c r="DH204" i="3"/>
  <c r="DI204" i="3"/>
  <c r="DF204" i="3"/>
  <c r="DG204" i="3"/>
  <c r="DJ204" i="3" s="1"/>
  <c r="DI107" i="3"/>
  <c r="DF107" i="3"/>
  <c r="DG107" i="3"/>
  <c r="DH107" i="3"/>
  <c r="DG106" i="3"/>
  <c r="DH106" i="3"/>
  <c r="DI106" i="3"/>
  <c r="DJ106" i="3" s="1"/>
  <c r="DF106" i="3"/>
  <c r="DI170" i="3"/>
  <c r="DG170" i="3"/>
  <c r="DH170" i="3"/>
  <c r="DF170" i="3"/>
  <c r="DJ170" i="3" s="1"/>
  <c r="BZ26" i="1"/>
  <c r="AQ43" i="1"/>
  <c r="AU102" i="1"/>
  <c r="CD75" i="1"/>
  <c r="BB26" i="1"/>
  <c r="F56" i="1"/>
  <c r="BB228" i="1"/>
  <c r="F106" i="1"/>
  <c r="AO75" i="1"/>
  <c r="DF145" i="3"/>
  <c r="DJ145" i="3" s="1"/>
  <c r="DG145" i="3"/>
  <c r="DH145" i="3"/>
  <c r="DI145" i="3"/>
  <c r="DI150" i="3"/>
  <c r="DF150" i="3"/>
  <c r="DJ150" i="3" s="1"/>
  <c r="DG150" i="3"/>
  <c r="DH150" i="3"/>
  <c r="DF141" i="3"/>
  <c r="DG141" i="3"/>
  <c r="DI141" i="3"/>
  <c r="DH141" i="3"/>
  <c r="DG144" i="3"/>
  <c r="DH144" i="3"/>
  <c r="DF144" i="3"/>
  <c r="DJ144" i="3" s="1"/>
  <c r="DI144" i="3"/>
  <c r="CG43" i="1"/>
  <c r="DF124" i="3"/>
  <c r="DJ124" i="3" s="1"/>
  <c r="DG124" i="3"/>
  <c r="DH124" i="3"/>
  <c r="DI124" i="3"/>
  <c r="P149" i="1"/>
  <c r="S149" i="1"/>
  <c r="DG173" i="3"/>
  <c r="DH173" i="3"/>
  <c r="DI173" i="3"/>
  <c r="DF173" i="3"/>
  <c r="DI195" i="3"/>
  <c r="DF195" i="3"/>
  <c r="DH195" i="3"/>
  <c r="DG195" i="3"/>
  <c r="DJ195" i="3" s="1"/>
  <c r="BC134" i="1"/>
  <c r="F176" i="1"/>
  <c r="GM35" i="1"/>
  <c r="GN35" i="1" s="1"/>
  <c r="W99" i="1"/>
  <c r="AJ102" i="1" s="1"/>
  <c r="DI154" i="3"/>
  <c r="DF154" i="3"/>
  <c r="DG154" i="3"/>
  <c r="DH154" i="3"/>
  <c r="DI160" i="3"/>
  <c r="DF160" i="3"/>
  <c r="DJ160" i="3" s="1"/>
  <c r="DG160" i="3"/>
  <c r="DH160" i="3"/>
  <c r="V146" i="1"/>
  <c r="GM142" i="1"/>
  <c r="GN142" i="1" s="1"/>
  <c r="DF205" i="3"/>
  <c r="DG205" i="3"/>
  <c r="DJ205" i="3" s="1"/>
  <c r="DH205" i="3"/>
  <c r="DI205" i="3"/>
  <c r="DG213" i="3"/>
  <c r="DH213" i="3"/>
  <c r="DF213" i="3"/>
  <c r="DJ213" i="3" s="1"/>
  <c r="DI213" i="3"/>
  <c r="BB134" i="1"/>
  <c r="F173" i="1"/>
  <c r="W145" i="1"/>
  <c r="AJ160" i="1" s="1"/>
  <c r="W149" i="1"/>
  <c r="T192" i="1"/>
  <c r="F219" i="1"/>
  <c r="AQ134" i="1"/>
  <c r="F170" i="1"/>
  <c r="CP143" i="1"/>
  <c r="O143" i="1" s="1"/>
  <c r="GM143" i="1" s="1"/>
  <c r="GN143" i="1" s="1"/>
  <c r="GM152" i="1"/>
  <c r="GN152" i="1" s="1"/>
  <c r="S145" i="1"/>
  <c r="W192" i="1"/>
  <c r="F222" i="1"/>
  <c r="S146" i="1"/>
  <c r="CE192" i="1"/>
  <c r="AV198" i="1"/>
  <c r="AI160" i="1" l="1"/>
  <c r="AI134" i="1" s="1"/>
  <c r="AW126" i="7"/>
  <c r="AN126" i="7"/>
  <c r="AW653" i="7"/>
  <c r="L696" i="7" s="1"/>
  <c r="L694" i="7" s="1"/>
  <c r="L685" i="7" s="1"/>
  <c r="AN653" i="7"/>
  <c r="AW677" i="7"/>
  <c r="AN677" i="7"/>
  <c r="CY78" i="1"/>
  <c r="X78" i="1" s="1"/>
  <c r="AZ230" i="7" s="1"/>
  <c r="L228" i="7" s="1"/>
  <c r="AN230" i="7" s="1"/>
  <c r="CP36" i="1"/>
  <c r="O36" i="1" s="1"/>
  <c r="CP78" i="1"/>
  <c r="O78" i="1" s="1"/>
  <c r="AG75" i="1"/>
  <c r="T102" i="1"/>
  <c r="CJ75" i="1"/>
  <c r="BA102" i="1"/>
  <c r="W160" i="1"/>
  <c r="AJ134" i="1"/>
  <c r="AH134" i="1"/>
  <c r="U160" i="1"/>
  <c r="AI75" i="1"/>
  <c r="V102" i="1"/>
  <c r="AJ75" i="1"/>
  <c r="W102" i="1"/>
  <c r="CY86" i="1"/>
  <c r="X86" i="1" s="1"/>
  <c r="AZ289" i="7" s="1"/>
  <c r="L287" i="7" s="1"/>
  <c r="K289" i="7" s="1"/>
  <c r="I289" i="7" s="1"/>
  <c r="CZ86" i="1"/>
  <c r="Y86" i="1" s="1"/>
  <c r="BA289" i="7" s="1"/>
  <c r="L288" i="7" s="1"/>
  <c r="CY146" i="1"/>
  <c r="X146" i="1" s="1"/>
  <c r="CZ146" i="1"/>
  <c r="Y146" i="1" s="1"/>
  <c r="CY149" i="1"/>
  <c r="X149" i="1" s="1"/>
  <c r="CZ149" i="1"/>
  <c r="Y149" i="1" s="1"/>
  <c r="R31" i="1"/>
  <c r="P98" i="1"/>
  <c r="F169" i="1"/>
  <c r="AP134" i="1"/>
  <c r="Q144" i="1"/>
  <c r="R154" i="1"/>
  <c r="R148" i="1"/>
  <c r="AT75" i="1"/>
  <c r="F120" i="1"/>
  <c r="Q136" i="1"/>
  <c r="DJ202" i="3"/>
  <c r="S156" i="1"/>
  <c r="DJ178" i="3"/>
  <c r="S150" i="1"/>
  <c r="Q138" i="1"/>
  <c r="DJ44" i="3"/>
  <c r="S77" i="1"/>
  <c r="AQ75" i="1"/>
  <c r="F112" i="1"/>
  <c r="DJ56" i="3"/>
  <c r="S81" i="1"/>
  <c r="DJ30" i="3"/>
  <c r="S38" i="1"/>
  <c r="F180" i="1"/>
  <c r="BA134" i="1"/>
  <c r="DJ154" i="3"/>
  <c r="CP149" i="1"/>
  <c r="O149" i="1" s="1"/>
  <c r="DJ141" i="3"/>
  <c r="DJ80" i="3"/>
  <c r="DJ68" i="3"/>
  <c r="Q147" i="1"/>
  <c r="R84" i="1"/>
  <c r="Q31" i="1"/>
  <c r="DJ136" i="3"/>
  <c r="S141" i="1"/>
  <c r="Q137" i="1"/>
  <c r="Q98" i="1"/>
  <c r="CY82" i="1"/>
  <c r="X82" i="1" s="1"/>
  <c r="AZ253" i="7" s="1"/>
  <c r="L251" i="7" s="1"/>
  <c r="P41" i="1"/>
  <c r="CY36" i="1"/>
  <c r="X36" i="1" s="1"/>
  <c r="AZ130" i="7" s="1"/>
  <c r="CZ36" i="1"/>
  <c r="Y36" i="1" s="1"/>
  <c r="BA130" i="7" s="1"/>
  <c r="DJ206" i="3"/>
  <c r="CZ194" i="1"/>
  <c r="Y194" i="1" s="1"/>
  <c r="CY194" i="1"/>
  <c r="X194" i="1" s="1"/>
  <c r="AF198" i="1"/>
  <c r="CP194" i="1"/>
  <c r="O194" i="1" s="1"/>
  <c r="CP82" i="1"/>
  <c r="O82" i="1" s="1"/>
  <c r="CP145" i="1"/>
  <c r="O145" i="1" s="1"/>
  <c r="CI134" i="1"/>
  <c r="AZ160" i="1"/>
  <c r="BA26" i="1"/>
  <c r="F63" i="1"/>
  <c r="DJ167" i="3"/>
  <c r="DJ156" i="3"/>
  <c r="Q28" i="1"/>
  <c r="DJ165" i="3"/>
  <c r="P91" i="1"/>
  <c r="AW192" i="1"/>
  <c r="F204" i="1"/>
  <c r="CP100" i="1"/>
  <c r="O100" i="1" s="1"/>
  <c r="P144" i="1"/>
  <c r="DJ189" i="3"/>
  <c r="S153" i="1"/>
  <c r="T26" i="1"/>
  <c r="F64" i="1"/>
  <c r="T228" i="1"/>
  <c r="Q154" i="1"/>
  <c r="Q148" i="1"/>
  <c r="P136" i="1"/>
  <c r="P156" i="1"/>
  <c r="DJ91" i="3"/>
  <c r="R93" i="1"/>
  <c r="P138" i="1"/>
  <c r="R77" i="1"/>
  <c r="AI26" i="1"/>
  <c r="V43" i="1"/>
  <c r="DJ120" i="3"/>
  <c r="DJ139" i="3"/>
  <c r="AZ26" i="1"/>
  <c r="F54" i="1"/>
  <c r="CP81" i="1"/>
  <c r="O81" i="1" s="1"/>
  <c r="R38" i="1"/>
  <c r="AO18" i="1"/>
  <c r="F262" i="1"/>
  <c r="CY100" i="1"/>
  <c r="X100" i="1" s="1"/>
  <c r="CZ100" i="1"/>
  <c r="Y100" i="1" s="1"/>
  <c r="DJ75" i="3"/>
  <c r="S89" i="1"/>
  <c r="AX192" i="1"/>
  <c r="F205" i="1"/>
  <c r="CG26" i="1"/>
  <c r="AX43" i="1"/>
  <c r="P137" i="1"/>
  <c r="P28" i="1"/>
  <c r="CP89" i="1"/>
  <c r="O89" i="1" s="1"/>
  <c r="R91" i="1"/>
  <c r="R144" i="1"/>
  <c r="AG134" i="1"/>
  <c r="T160" i="1"/>
  <c r="P154" i="1"/>
  <c r="P148" i="1"/>
  <c r="DJ113" i="3"/>
  <c r="S136" i="1"/>
  <c r="R156" i="1"/>
  <c r="DJ88" i="3"/>
  <c r="S93" i="1"/>
  <c r="DJ125" i="3"/>
  <c r="S138" i="1"/>
  <c r="Q86" i="1"/>
  <c r="CP86" i="1" s="1"/>
  <c r="O86" i="1" s="1"/>
  <c r="GM86" i="1" s="1"/>
  <c r="GN86" i="1" s="1"/>
  <c r="P77" i="1"/>
  <c r="AX102" i="1"/>
  <c r="CG75" i="1"/>
  <c r="W26" i="1"/>
  <c r="F67" i="1"/>
  <c r="W228" i="1"/>
  <c r="Q38" i="1"/>
  <c r="DJ179" i="3"/>
  <c r="S151" i="1"/>
  <c r="CP151" i="1" s="1"/>
  <c r="O151" i="1" s="1"/>
  <c r="DJ62" i="3"/>
  <c r="S84" i="1"/>
  <c r="DJ38" i="3"/>
  <c r="S41" i="1"/>
  <c r="AX134" i="1"/>
  <c r="F167" i="1"/>
  <c r="AY192" i="1"/>
  <c r="F206" i="1"/>
  <c r="CP153" i="1"/>
  <c r="O153" i="1" s="1"/>
  <c r="AV192" i="1"/>
  <c r="F203" i="1"/>
  <c r="BB22" i="1"/>
  <c r="F241" i="1"/>
  <c r="BB258" i="1"/>
  <c r="AU75" i="1"/>
  <c r="F121" i="1"/>
  <c r="BC22" i="1"/>
  <c r="F244" i="1"/>
  <c r="BC258" i="1"/>
  <c r="Q84" i="1"/>
  <c r="P31" i="1"/>
  <c r="P141" i="1"/>
  <c r="DJ105" i="3"/>
  <c r="S98" i="1"/>
  <c r="U102" i="1"/>
  <c r="AH75" i="1"/>
  <c r="GM78" i="1"/>
  <c r="GN78" i="1" s="1"/>
  <c r="R41" i="1"/>
  <c r="DJ99" i="3"/>
  <c r="S95" i="1"/>
  <c r="CY145" i="1"/>
  <c r="X145" i="1" s="1"/>
  <c r="CZ145" i="1"/>
  <c r="Y145" i="1" s="1"/>
  <c r="DJ173" i="3"/>
  <c r="AQ26" i="1"/>
  <c r="F53" i="1"/>
  <c r="AQ228" i="1"/>
  <c r="DJ107" i="3"/>
  <c r="DJ126" i="3"/>
  <c r="U26" i="1"/>
  <c r="F65" i="1"/>
  <c r="G196" i="7" s="1"/>
  <c r="DJ163" i="3"/>
  <c r="S147" i="1"/>
  <c r="P84" i="1"/>
  <c r="DJ8" i="3"/>
  <c r="S31" i="1"/>
  <c r="R141" i="1"/>
  <c r="DJ119" i="3"/>
  <c r="S137" i="1"/>
  <c r="R98" i="1"/>
  <c r="Q41" i="1"/>
  <c r="CY33" i="1"/>
  <c r="X33" i="1" s="1"/>
  <c r="AZ112" i="7" s="1"/>
  <c r="L110" i="7" s="1"/>
  <c r="CZ33" i="1"/>
  <c r="Y33" i="1" s="1"/>
  <c r="BA112" i="7" s="1"/>
  <c r="L111" i="7" s="1"/>
  <c r="DJ138" i="3"/>
  <c r="CY96" i="1"/>
  <c r="X96" i="1" s="1"/>
  <c r="CZ96" i="1"/>
  <c r="Y96" i="1" s="1"/>
  <c r="BA372" i="7" s="1"/>
  <c r="L371" i="7" s="1"/>
  <c r="CM192" i="1"/>
  <c r="BD198" i="1"/>
  <c r="DJ207" i="3"/>
  <c r="CP146" i="1"/>
  <c r="O146" i="1" s="1"/>
  <c r="GM146" i="1" s="1"/>
  <c r="GN146" i="1" s="1"/>
  <c r="CI102" i="1"/>
  <c r="AP102" i="1"/>
  <c r="BY75" i="1"/>
  <c r="DJ131" i="3"/>
  <c r="S139" i="1"/>
  <c r="DJ1" i="3"/>
  <c r="S28" i="1"/>
  <c r="DJ77" i="3"/>
  <c r="S91" i="1"/>
  <c r="DJ151" i="3"/>
  <c r="S144" i="1"/>
  <c r="DJ190" i="3"/>
  <c r="S154" i="1"/>
  <c r="DJ171" i="3"/>
  <c r="S148" i="1"/>
  <c r="R136" i="1"/>
  <c r="Q156" i="1"/>
  <c r="R192" i="1"/>
  <c r="F212" i="1"/>
  <c r="R138" i="1"/>
  <c r="Q77" i="1"/>
  <c r="AD102" i="1" s="1"/>
  <c r="DJ31" i="3"/>
  <c r="CP33" i="1"/>
  <c r="O33" i="1" s="1"/>
  <c r="DJ193" i="3"/>
  <c r="AU26" i="1"/>
  <c r="F62" i="1"/>
  <c r="AU228" i="1"/>
  <c r="DJ153" i="3"/>
  <c r="P38" i="1"/>
  <c r="V160" i="1" l="1"/>
  <c r="L800" i="7"/>
  <c r="L798" i="7" s="1"/>
  <c r="L789" i="7" s="1"/>
  <c r="AK198" i="1"/>
  <c r="AZ727" i="7"/>
  <c r="L128" i="7"/>
  <c r="AN289" i="7"/>
  <c r="AE43" i="1"/>
  <c r="AE26" i="1" s="1"/>
  <c r="GM82" i="1"/>
  <c r="GN82" i="1" s="1"/>
  <c r="AL198" i="1"/>
  <c r="BA727" i="7"/>
  <c r="L179" i="7"/>
  <c r="L177" i="7" s="1"/>
  <c r="L168" i="7" s="1"/>
  <c r="L851" i="7"/>
  <c r="L849" i="7" s="1"/>
  <c r="L840" i="7" s="1"/>
  <c r="AN253" i="7"/>
  <c r="K253" i="7"/>
  <c r="I253" i="7" s="1"/>
  <c r="K112" i="7"/>
  <c r="I112" i="7" s="1"/>
  <c r="AN112" i="7"/>
  <c r="GM96" i="1"/>
  <c r="GN96" i="1" s="1"/>
  <c r="AZ372" i="7"/>
  <c r="L370" i="7" s="1"/>
  <c r="L129" i="7"/>
  <c r="K130" i="7" s="1"/>
  <c r="I130" i="7" s="1"/>
  <c r="K230" i="7"/>
  <c r="I230" i="7" s="1"/>
  <c r="CP137" i="1"/>
  <c r="O137" i="1" s="1"/>
  <c r="CP31" i="1"/>
  <c r="O31" i="1" s="1"/>
  <c r="CP154" i="1"/>
  <c r="O154" i="1" s="1"/>
  <c r="GM36" i="1"/>
  <c r="GO36" i="1" s="1"/>
  <c r="R43" i="1"/>
  <c r="CY144" i="1"/>
  <c r="X144" i="1" s="1"/>
  <c r="AZ550" i="7" s="1"/>
  <c r="L548" i="7" s="1"/>
  <c r="CZ144" i="1"/>
  <c r="Y144" i="1" s="1"/>
  <c r="BA550" i="7" s="1"/>
  <c r="L549" i="7" s="1"/>
  <c r="CZ147" i="1"/>
  <c r="Y147" i="1" s="1"/>
  <c r="BA571" i="7" s="1"/>
  <c r="L570" i="7" s="1"/>
  <c r="CY147" i="1"/>
  <c r="X147" i="1" s="1"/>
  <c r="AZ571" i="7" s="1"/>
  <c r="L569" i="7" s="1"/>
  <c r="CP147" i="1"/>
  <c r="O147" i="1" s="1"/>
  <c r="CY84" i="1"/>
  <c r="X84" i="1" s="1"/>
  <c r="AZ267" i="7" s="1"/>
  <c r="L265" i="7" s="1"/>
  <c r="CZ84" i="1"/>
  <c r="Y84" i="1" s="1"/>
  <c r="BA267" i="7" s="1"/>
  <c r="L266" i="7" s="1"/>
  <c r="AE102" i="1"/>
  <c r="CZ81" i="1"/>
  <c r="Y81" i="1" s="1"/>
  <c r="BA239" i="7" s="1"/>
  <c r="L238" i="7" s="1"/>
  <c r="CY81" i="1"/>
  <c r="X81" i="1" s="1"/>
  <c r="AZ239" i="7" s="1"/>
  <c r="L237" i="7" s="1"/>
  <c r="CY77" i="1"/>
  <c r="X77" i="1" s="1"/>
  <c r="AZ214" i="7" s="1"/>
  <c r="CZ77" i="1"/>
  <c r="Y77" i="1" s="1"/>
  <c r="BA214" i="7" s="1"/>
  <c r="AF102" i="1"/>
  <c r="AD160" i="1"/>
  <c r="U134" i="1"/>
  <c r="F182" i="1"/>
  <c r="G713" i="7" s="1"/>
  <c r="F122" i="1"/>
  <c r="BA75" i="1"/>
  <c r="CP38" i="1"/>
  <c r="O38" i="1" s="1"/>
  <c r="AD75" i="1"/>
  <c r="Q102" i="1"/>
  <c r="F111" i="1"/>
  <c r="AP75" i="1"/>
  <c r="AP228" i="1"/>
  <c r="BD192" i="1"/>
  <c r="F223" i="1"/>
  <c r="BD228" i="1"/>
  <c r="CZ31" i="1"/>
  <c r="Y31" i="1" s="1"/>
  <c r="BA86" i="7" s="1"/>
  <c r="L85" i="7" s="1"/>
  <c r="CY31" i="1"/>
  <c r="X31" i="1" s="1"/>
  <c r="AZ86" i="7" s="1"/>
  <c r="L84" i="7" s="1"/>
  <c r="CY95" i="1"/>
  <c r="X95" i="1" s="1"/>
  <c r="AZ358" i="7" s="1"/>
  <c r="L356" i="7" s="1"/>
  <c r="CZ95" i="1"/>
  <c r="Y95" i="1" s="1"/>
  <c r="BA358" i="7" s="1"/>
  <c r="L357" i="7" s="1"/>
  <c r="CP141" i="1"/>
  <c r="O141" i="1" s="1"/>
  <c r="BC18" i="1"/>
  <c r="F274" i="1"/>
  <c r="W22" i="1"/>
  <c r="W258" i="1"/>
  <c r="F252" i="1"/>
  <c r="AX75" i="1"/>
  <c r="F109" i="1"/>
  <c r="CY136" i="1"/>
  <c r="X136" i="1" s="1"/>
  <c r="AZ443" i="7" s="1"/>
  <c r="CZ136" i="1"/>
  <c r="Y136" i="1" s="1"/>
  <c r="BA443" i="7" s="1"/>
  <c r="AF160" i="1"/>
  <c r="T134" i="1"/>
  <c r="F181" i="1"/>
  <c r="AX26" i="1"/>
  <c r="F50" i="1"/>
  <c r="AX228" i="1"/>
  <c r="CY89" i="1"/>
  <c r="X89" i="1" s="1"/>
  <c r="AZ299" i="7" s="1"/>
  <c r="L297" i="7" s="1"/>
  <c r="CZ89" i="1"/>
  <c r="Y89" i="1" s="1"/>
  <c r="BA299" i="7" s="1"/>
  <c r="L298" i="7" s="1"/>
  <c r="CP138" i="1"/>
  <c r="O138" i="1" s="1"/>
  <c r="CP136" i="1"/>
  <c r="O136" i="1" s="1"/>
  <c r="AC160" i="1"/>
  <c r="CP144" i="1"/>
  <c r="O144" i="1" s="1"/>
  <c r="CP91" i="1"/>
  <c r="O91" i="1" s="1"/>
  <c r="AZ134" i="1"/>
  <c r="F171" i="1"/>
  <c r="CP95" i="1"/>
  <c r="O95" i="1" s="1"/>
  <c r="Y198" i="1"/>
  <c r="AL192" i="1"/>
  <c r="CP41" i="1"/>
  <c r="O41" i="1" s="1"/>
  <c r="CZ141" i="1"/>
  <c r="Y141" i="1" s="1"/>
  <c r="BA523" i="7" s="1"/>
  <c r="L522" i="7" s="1"/>
  <c r="CY141" i="1"/>
  <c r="X141" i="1" s="1"/>
  <c r="AZ523" i="7" s="1"/>
  <c r="L521" i="7" s="1"/>
  <c r="CP98" i="1"/>
  <c r="O98" i="1" s="1"/>
  <c r="W75" i="1"/>
  <c r="F126" i="1"/>
  <c r="CY148" i="1"/>
  <c r="X148" i="1" s="1"/>
  <c r="AZ592" i="7" s="1"/>
  <c r="L590" i="7" s="1"/>
  <c r="CZ148" i="1"/>
  <c r="Y148" i="1" s="1"/>
  <c r="BA592" i="7" s="1"/>
  <c r="L591" i="7" s="1"/>
  <c r="CZ138" i="1"/>
  <c r="Y138" i="1" s="1"/>
  <c r="BA479" i="7" s="1"/>
  <c r="L478" i="7" s="1"/>
  <c r="CY138" i="1"/>
  <c r="X138" i="1" s="1"/>
  <c r="AZ479" i="7" s="1"/>
  <c r="L477" i="7" s="1"/>
  <c r="X198" i="1"/>
  <c r="AK192" i="1"/>
  <c r="CZ154" i="1"/>
  <c r="Y154" i="1" s="1"/>
  <c r="BA657" i="7" s="1"/>
  <c r="L656" i="7" s="1"/>
  <c r="CY154" i="1"/>
  <c r="X154" i="1" s="1"/>
  <c r="F124" i="1"/>
  <c r="G422" i="7" s="1"/>
  <c r="U75" i="1"/>
  <c r="CY41" i="1"/>
  <c r="X41" i="1" s="1"/>
  <c r="AZ166" i="7" s="1"/>
  <c r="L164" i="7" s="1"/>
  <c r="CZ41" i="1"/>
  <c r="Y41" i="1" s="1"/>
  <c r="BA166" i="7" s="1"/>
  <c r="L165" i="7" s="1"/>
  <c r="CY151" i="1"/>
  <c r="X151" i="1" s="1"/>
  <c r="AZ623" i="7" s="1"/>
  <c r="L621" i="7" s="1"/>
  <c r="CZ151" i="1"/>
  <c r="Y151" i="1" s="1"/>
  <c r="BA623" i="7" s="1"/>
  <c r="L622" i="7" s="1"/>
  <c r="CP77" i="1"/>
  <c r="O77" i="1" s="1"/>
  <c r="AC102" i="1"/>
  <c r="CZ93" i="1"/>
  <c r="Y93" i="1" s="1"/>
  <c r="BA349" i="7" s="1"/>
  <c r="L348" i="7" s="1"/>
  <c r="CY93" i="1"/>
  <c r="X93" i="1" s="1"/>
  <c r="AZ349" i="7" s="1"/>
  <c r="L347" i="7" s="1"/>
  <c r="AC43" i="1"/>
  <c r="CP28" i="1"/>
  <c r="O28" i="1" s="1"/>
  <c r="V26" i="1"/>
  <c r="F66" i="1"/>
  <c r="G197" i="7" s="1"/>
  <c r="V228" i="1"/>
  <c r="GM100" i="1"/>
  <c r="GN100" i="1" s="1"/>
  <c r="BA228" i="1"/>
  <c r="AB198" i="1"/>
  <c r="GM194" i="1"/>
  <c r="GM149" i="1"/>
  <c r="GN149" i="1" s="1"/>
  <c r="CY38" i="1"/>
  <c r="X38" i="1" s="1"/>
  <c r="AZ148" i="7" s="1"/>
  <c r="L146" i="7" s="1"/>
  <c r="CZ38" i="1"/>
  <c r="Y38" i="1" s="1"/>
  <c r="BA148" i="7" s="1"/>
  <c r="L147" i="7" s="1"/>
  <c r="CY156" i="1"/>
  <c r="X156" i="1" s="1"/>
  <c r="AZ681" i="7" s="1"/>
  <c r="L679" i="7" s="1"/>
  <c r="CZ156" i="1"/>
  <c r="Y156" i="1" s="1"/>
  <c r="BA681" i="7" s="1"/>
  <c r="L680" i="7" s="1"/>
  <c r="V75" i="1"/>
  <c r="F125" i="1"/>
  <c r="G423" i="7" s="1"/>
  <c r="T75" i="1"/>
  <c r="F123" i="1"/>
  <c r="CY28" i="1"/>
  <c r="X28" i="1" s="1"/>
  <c r="CZ28" i="1"/>
  <c r="Y28" i="1" s="1"/>
  <c r="BA72" i="7" s="1"/>
  <c r="AF43" i="1"/>
  <c r="CP156" i="1"/>
  <c r="O156" i="1" s="1"/>
  <c r="T22" i="1"/>
  <c r="F249" i="1"/>
  <c r="T258" i="1"/>
  <c r="CZ150" i="1"/>
  <c r="Y150" i="1" s="1"/>
  <c r="BA601" i="7" s="1"/>
  <c r="L600" i="7" s="1"/>
  <c r="CY150" i="1"/>
  <c r="X150" i="1" s="1"/>
  <c r="AZ601" i="7" s="1"/>
  <c r="L599" i="7" s="1"/>
  <c r="CY91" i="1"/>
  <c r="X91" i="1" s="1"/>
  <c r="AZ324" i="7" s="1"/>
  <c r="L322" i="7" s="1"/>
  <c r="CZ91" i="1"/>
  <c r="Y91" i="1" s="1"/>
  <c r="BA324" i="7" s="1"/>
  <c r="L323" i="7" s="1"/>
  <c r="CZ139" i="1"/>
  <c r="Y139" i="1" s="1"/>
  <c r="BA493" i="7" s="1"/>
  <c r="L492" i="7" s="1"/>
  <c r="CY139" i="1"/>
  <c r="X139" i="1" s="1"/>
  <c r="AZ493" i="7" s="1"/>
  <c r="L491" i="7" s="1"/>
  <c r="CI75" i="1"/>
  <c r="AZ102" i="1"/>
  <c r="CY137" i="1"/>
  <c r="X137" i="1" s="1"/>
  <c r="AZ461" i="7" s="1"/>
  <c r="L459" i="7" s="1"/>
  <c r="CZ137" i="1"/>
  <c r="Y137" i="1" s="1"/>
  <c r="BA461" i="7" s="1"/>
  <c r="L460" i="7" s="1"/>
  <c r="U228" i="1"/>
  <c r="AU22" i="1"/>
  <c r="F247" i="1"/>
  <c r="C44" i="7" s="1"/>
  <c r="AU258" i="1"/>
  <c r="GM33" i="1"/>
  <c r="GN33" i="1" s="1"/>
  <c r="CP150" i="1"/>
  <c r="O150" i="1" s="1"/>
  <c r="AE160" i="1"/>
  <c r="CP84" i="1"/>
  <c r="O84" i="1" s="1"/>
  <c r="AQ22" i="1"/>
  <c r="F238" i="1"/>
  <c r="AQ258" i="1"/>
  <c r="CY98" i="1"/>
  <c r="X98" i="1" s="1"/>
  <c r="AZ392" i="7" s="1"/>
  <c r="L390" i="7" s="1"/>
  <c r="CZ98" i="1"/>
  <c r="Y98" i="1" s="1"/>
  <c r="BA392" i="7" s="1"/>
  <c r="L391" i="7" s="1"/>
  <c r="BB18" i="1"/>
  <c r="F271" i="1"/>
  <c r="CP148" i="1"/>
  <c r="O148" i="1" s="1"/>
  <c r="CP139" i="1"/>
  <c r="O139" i="1" s="1"/>
  <c r="CY153" i="1"/>
  <c r="X153" i="1" s="1"/>
  <c r="CZ153" i="1"/>
  <c r="Y153" i="1" s="1"/>
  <c r="BA632" i="7" s="1"/>
  <c r="L631" i="7" s="1"/>
  <c r="AD43" i="1"/>
  <c r="GM145" i="1"/>
  <c r="GN145" i="1" s="1"/>
  <c r="S198" i="1"/>
  <c r="AF192" i="1"/>
  <c r="CP93" i="1"/>
  <c r="O93" i="1" s="1"/>
  <c r="V134" i="1"/>
  <c r="F183" i="1"/>
  <c r="G714" i="7" s="1"/>
  <c r="W134" i="1"/>
  <c r="F184" i="1"/>
  <c r="GM81" i="1" l="1"/>
  <c r="GN81" i="1" s="1"/>
  <c r="GM93" i="1"/>
  <c r="GN93" i="1" s="1"/>
  <c r="GM148" i="1"/>
  <c r="GN148" i="1" s="1"/>
  <c r="GM84" i="1"/>
  <c r="GN84" i="1" s="1"/>
  <c r="AN493" i="7"/>
  <c r="K493" i="7"/>
  <c r="I493" i="7" s="1"/>
  <c r="K601" i="7"/>
  <c r="I601" i="7" s="1"/>
  <c r="AN601" i="7"/>
  <c r="AN681" i="7"/>
  <c r="K681" i="7"/>
  <c r="I681" i="7" s="1"/>
  <c r="AN166" i="7"/>
  <c r="K166" i="7"/>
  <c r="I166" i="7" s="1"/>
  <c r="AN299" i="7"/>
  <c r="K299" i="7"/>
  <c r="I299" i="7" s="1"/>
  <c r="L441" i="7"/>
  <c r="L213" i="7"/>
  <c r="L410" i="7"/>
  <c r="AN571" i="7"/>
  <c r="K571" i="7"/>
  <c r="I571" i="7" s="1"/>
  <c r="AN130" i="7"/>
  <c r="AN392" i="7"/>
  <c r="K392" i="7"/>
  <c r="I392" i="7" s="1"/>
  <c r="L184" i="7"/>
  <c r="L71" i="7"/>
  <c r="L785" i="7"/>
  <c r="L856" i="7"/>
  <c r="K349" i="7"/>
  <c r="I349" i="7" s="1"/>
  <c r="AN349" i="7"/>
  <c r="L409" i="7"/>
  <c r="L418" i="7" s="1"/>
  <c r="L212" i="7"/>
  <c r="L805" i="7"/>
  <c r="K461" i="7"/>
  <c r="I461" i="7" s="1"/>
  <c r="AN461" i="7"/>
  <c r="AN148" i="7"/>
  <c r="K148" i="7"/>
  <c r="I148" i="7" s="1"/>
  <c r="K623" i="7"/>
  <c r="I623" i="7" s="1"/>
  <c r="AN623" i="7"/>
  <c r="AN592" i="7"/>
  <c r="K592" i="7"/>
  <c r="I592" i="7" s="1"/>
  <c r="AN523" i="7"/>
  <c r="K523" i="7"/>
  <c r="I523" i="7" s="1"/>
  <c r="AN358" i="7"/>
  <c r="K358" i="7"/>
  <c r="I358" i="7" s="1"/>
  <c r="K239" i="7"/>
  <c r="I239" i="7" s="1"/>
  <c r="AN239" i="7"/>
  <c r="AN267" i="7"/>
  <c r="K267" i="7"/>
  <c r="I267" i="7" s="1"/>
  <c r="K372" i="7"/>
  <c r="I372" i="7" s="1"/>
  <c r="AN372" i="7"/>
  <c r="L725" i="7"/>
  <c r="L748" i="7"/>
  <c r="GM153" i="1"/>
  <c r="GN153" i="1" s="1"/>
  <c r="AZ632" i="7"/>
  <c r="L630" i="7" s="1"/>
  <c r="AK43" i="1"/>
  <c r="AZ72" i="7"/>
  <c r="AN324" i="7"/>
  <c r="K324" i="7"/>
  <c r="I324" i="7" s="1"/>
  <c r="GM151" i="1"/>
  <c r="GN151" i="1" s="1"/>
  <c r="GM154" i="1"/>
  <c r="GO154" i="1" s="1"/>
  <c r="AZ657" i="7"/>
  <c r="L655" i="7" s="1"/>
  <c r="AN479" i="7"/>
  <c r="K479" i="7"/>
  <c r="I479" i="7" s="1"/>
  <c r="GM95" i="1"/>
  <c r="GN95" i="1" s="1"/>
  <c r="L701" i="7"/>
  <c r="L442" i="7"/>
  <c r="K443" i="7" s="1"/>
  <c r="I443" i="7" s="1"/>
  <c r="K86" i="7"/>
  <c r="I86" i="7" s="1"/>
  <c r="AN86" i="7"/>
  <c r="GM147" i="1"/>
  <c r="GN147" i="1" s="1"/>
  <c r="AN550" i="7"/>
  <c r="K550" i="7"/>
  <c r="I550" i="7" s="1"/>
  <c r="L726" i="7"/>
  <c r="L749" i="7"/>
  <c r="GM89" i="1"/>
  <c r="GN89" i="1" s="1"/>
  <c r="GM141" i="1"/>
  <c r="GN141" i="1" s="1"/>
  <c r="GM31" i="1"/>
  <c r="GN31" i="1" s="1"/>
  <c r="AL102" i="1"/>
  <c r="Y102" i="1" s="1"/>
  <c r="GM137" i="1"/>
  <c r="GN137" i="1" s="1"/>
  <c r="GM136" i="1"/>
  <c r="AB160" i="1"/>
  <c r="AP22" i="1"/>
  <c r="F237" i="1"/>
  <c r="G16" i="2" s="1"/>
  <c r="AP258" i="1"/>
  <c r="AE75" i="1"/>
  <c r="R102" i="1"/>
  <c r="AQ18" i="1"/>
  <c r="F268" i="1"/>
  <c r="AE134" i="1"/>
  <c r="R160" i="1"/>
  <c r="GM156" i="1"/>
  <c r="GO156" i="1" s="1"/>
  <c r="CC160" i="1" s="1"/>
  <c r="AF26" i="1"/>
  <c r="S43" i="1"/>
  <c r="CA198" i="1"/>
  <c r="GN194" i="1"/>
  <c r="CB198" i="1" s="1"/>
  <c r="V22" i="1"/>
  <c r="V258" i="1"/>
  <c r="F251" i="1"/>
  <c r="CH43" i="1"/>
  <c r="P43" i="1"/>
  <c r="CE43" i="1"/>
  <c r="AC26" i="1"/>
  <c r="CF43" i="1"/>
  <c r="GM77" i="1"/>
  <c r="AB102" i="1"/>
  <c r="Y192" i="1"/>
  <c r="F225" i="1"/>
  <c r="GM91" i="1"/>
  <c r="GN91" i="1" s="1"/>
  <c r="GM138" i="1"/>
  <c r="GN138" i="1" s="1"/>
  <c r="BD22" i="1"/>
  <c r="F253" i="1"/>
  <c r="BD258" i="1"/>
  <c r="GM38" i="1"/>
  <c r="GO38" i="1" s="1"/>
  <c r="CC43" i="1" s="1"/>
  <c r="AK102" i="1"/>
  <c r="R26" i="1"/>
  <c r="F57" i="1"/>
  <c r="AD26" i="1"/>
  <c r="Q43" i="1"/>
  <c r="GM28" i="1"/>
  <c r="AB43" i="1"/>
  <c r="X192" i="1"/>
  <c r="F224" i="1"/>
  <c r="AK160" i="1"/>
  <c r="S192" i="1"/>
  <c r="F213" i="1"/>
  <c r="AZ75" i="1"/>
  <c r="F113" i="1"/>
  <c r="AZ228" i="1"/>
  <c r="O198" i="1"/>
  <c r="AB192" i="1"/>
  <c r="GM144" i="1"/>
  <c r="GN144" i="1" s="1"/>
  <c r="AF134" i="1"/>
  <c r="S160" i="1"/>
  <c r="AD134" i="1"/>
  <c r="Q160" i="1"/>
  <c r="AU18" i="1"/>
  <c r="F277" i="1"/>
  <c r="CH102" i="1"/>
  <c r="AC75" i="1"/>
  <c r="CF102" i="1"/>
  <c r="P102" i="1"/>
  <c r="CE102" i="1"/>
  <c r="GM98" i="1"/>
  <c r="GN98" i="1" s="1"/>
  <c r="AX22" i="1"/>
  <c r="AX258" i="1"/>
  <c r="F235" i="1"/>
  <c r="W18" i="1"/>
  <c r="F282" i="1"/>
  <c r="GM150" i="1"/>
  <c r="GN150" i="1" s="1"/>
  <c r="T18" i="1"/>
  <c r="F279" i="1"/>
  <c r="AL43" i="1"/>
  <c r="GM139" i="1"/>
  <c r="GN139" i="1" s="1"/>
  <c r="U22" i="1"/>
  <c r="U258" i="1"/>
  <c r="F250" i="1"/>
  <c r="X43" i="1"/>
  <c r="AK26" i="1"/>
  <c r="BA22" i="1"/>
  <c r="BA258" i="1"/>
  <c r="F248" i="1"/>
  <c r="H16" i="2" s="1"/>
  <c r="GM41" i="1"/>
  <c r="GN41" i="1" s="1"/>
  <c r="AC134" i="1"/>
  <c r="CH160" i="1"/>
  <c r="P160" i="1"/>
  <c r="CE160" i="1"/>
  <c r="CF160" i="1"/>
  <c r="AL160" i="1"/>
  <c r="F114" i="1"/>
  <c r="Q75" i="1"/>
  <c r="AF75" i="1"/>
  <c r="S102" i="1"/>
  <c r="AL75" i="1" l="1"/>
  <c r="L757" i="7"/>
  <c r="K632" i="7"/>
  <c r="I632" i="7" s="1"/>
  <c r="AN632" i="7"/>
  <c r="L700" i="7"/>
  <c r="L709" i="7" s="1"/>
  <c r="K41" i="7"/>
  <c r="G865" i="7"/>
  <c r="K657" i="7"/>
  <c r="I657" i="7" s="1"/>
  <c r="AN657" i="7"/>
  <c r="K214" i="7"/>
  <c r="I214" i="7" s="1"/>
  <c r="AN214" i="7"/>
  <c r="AN443" i="7"/>
  <c r="L784" i="7"/>
  <c r="L767" i="7" s="1"/>
  <c r="L183" i="7"/>
  <c r="L192" i="7" s="1"/>
  <c r="L70" i="7"/>
  <c r="L855" i="7"/>
  <c r="G866" i="7"/>
  <c r="K42" i="7"/>
  <c r="K727" i="7"/>
  <c r="I727" i="7" s="1"/>
  <c r="AN727" i="7"/>
  <c r="L804" i="7"/>
  <c r="L787" i="7" s="1"/>
  <c r="CC134" i="1"/>
  <c r="AT160" i="1"/>
  <c r="CE134" i="1"/>
  <c r="AV160" i="1"/>
  <c r="CE75" i="1"/>
  <c r="AV102" i="1"/>
  <c r="F55" i="1"/>
  <c r="Q26" i="1"/>
  <c r="Q228" i="1"/>
  <c r="CF26" i="1"/>
  <c r="AW43" i="1"/>
  <c r="CH26" i="1"/>
  <c r="AY43" i="1"/>
  <c r="CB192" i="1"/>
  <c r="AS198" i="1"/>
  <c r="Y75" i="1"/>
  <c r="F129" i="1"/>
  <c r="P134" i="1"/>
  <c r="F163" i="1"/>
  <c r="X26" i="1"/>
  <c r="F69" i="1"/>
  <c r="AX18" i="1"/>
  <c r="F265" i="1"/>
  <c r="P75" i="1"/>
  <c r="F105" i="1"/>
  <c r="S134" i="1"/>
  <c r="F175" i="1"/>
  <c r="O192" i="1"/>
  <c r="F200" i="1"/>
  <c r="AK75" i="1"/>
  <c r="X102" i="1"/>
  <c r="CA192" i="1"/>
  <c r="AR198" i="1"/>
  <c r="O160" i="1"/>
  <c r="AB134" i="1"/>
  <c r="CC26" i="1"/>
  <c r="AT43" i="1"/>
  <c r="AB75" i="1"/>
  <c r="O102" i="1"/>
  <c r="CE26" i="1"/>
  <c r="AV43" i="1"/>
  <c r="V18" i="1"/>
  <c r="F281" i="1"/>
  <c r="S26" i="1"/>
  <c r="F58" i="1"/>
  <c r="S228" i="1"/>
  <c r="R134" i="1"/>
  <c r="F174" i="1"/>
  <c r="F116" i="1"/>
  <c r="R75" i="1"/>
  <c r="AP18" i="1"/>
  <c r="F267" i="1"/>
  <c r="GN136" i="1"/>
  <c r="CB160" i="1" s="1"/>
  <c r="CA160" i="1"/>
  <c r="AY102" i="1"/>
  <c r="CH75" i="1"/>
  <c r="S75" i="1"/>
  <c r="F117" i="1"/>
  <c r="Y160" i="1"/>
  <c r="AL134" i="1"/>
  <c r="AY160" i="1"/>
  <c r="CH134" i="1"/>
  <c r="BA18" i="1"/>
  <c r="F278" i="1"/>
  <c r="AL26" i="1"/>
  <c r="Y43" i="1"/>
  <c r="CF75" i="1"/>
  <c r="AW102" i="1"/>
  <c r="AZ22" i="1"/>
  <c r="AZ258" i="1"/>
  <c r="F239" i="1"/>
  <c r="O43" i="1"/>
  <c r="AB26" i="1"/>
  <c r="CF134" i="1"/>
  <c r="AW160" i="1"/>
  <c r="U18" i="1"/>
  <c r="F280" i="1"/>
  <c r="Q134" i="1"/>
  <c r="F172" i="1"/>
  <c r="AK134" i="1"/>
  <c r="X160" i="1"/>
  <c r="GN28" i="1"/>
  <c r="CB43" i="1" s="1"/>
  <c r="CA43" i="1"/>
  <c r="R228" i="1"/>
  <c r="BD18" i="1"/>
  <c r="F283" i="1"/>
  <c r="GN77" i="1"/>
  <c r="CB102" i="1" s="1"/>
  <c r="CA102" i="1"/>
  <c r="P26" i="1"/>
  <c r="F46" i="1"/>
  <c r="P228" i="1"/>
  <c r="L838" i="7" l="1"/>
  <c r="L868" i="7" s="1"/>
  <c r="AN72" i="7"/>
  <c r="K72" i="7"/>
  <c r="I72" i="7" s="1"/>
  <c r="P22" i="1"/>
  <c r="F231" i="1"/>
  <c r="P258" i="1"/>
  <c r="Y134" i="1"/>
  <c r="F187" i="1"/>
  <c r="CA26" i="1"/>
  <c r="AR43" i="1"/>
  <c r="AW134" i="1"/>
  <c r="F166" i="1"/>
  <c r="X75" i="1"/>
  <c r="F128" i="1"/>
  <c r="CB26" i="1"/>
  <c r="AS43" i="1"/>
  <c r="AZ18" i="1"/>
  <c r="F269" i="1"/>
  <c r="Y26" i="1"/>
  <c r="F70" i="1"/>
  <c r="Y228" i="1"/>
  <c r="S22" i="1"/>
  <c r="S258" i="1"/>
  <c r="F243" i="1"/>
  <c r="F215" i="1"/>
  <c r="AS192" i="1"/>
  <c r="X134" i="1"/>
  <c r="F186" i="1"/>
  <c r="AY134" i="1"/>
  <c r="F168" i="1"/>
  <c r="CB134" i="1"/>
  <c r="AS160" i="1"/>
  <c r="AV26" i="1"/>
  <c r="F48" i="1"/>
  <c r="AV228" i="1"/>
  <c r="AT26" i="1"/>
  <c r="F61" i="1"/>
  <c r="AT228" i="1"/>
  <c r="F226" i="1"/>
  <c r="AR192" i="1"/>
  <c r="X228" i="1"/>
  <c r="AV75" i="1"/>
  <c r="F107" i="1"/>
  <c r="AT134" i="1"/>
  <c r="F178" i="1"/>
  <c r="CB75" i="1"/>
  <c r="AS102" i="1"/>
  <c r="AY75" i="1"/>
  <c r="F110" i="1"/>
  <c r="O75" i="1"/>
  <c r="F104" i="1"/>
  <c r="AV134" i="1"/>
  <c r="F165" i="1"/>
  <c r="CA134" i="1"/>
  <c r="AR160" i="1"/>
  <c r="O134" i="1"/>
  <c r="F162" i="1"/>
  <c r="AW26" i="1"/>
  <c r="AW228" i="1"/>
  <c r="F49" i="1"/>
  <c r="CA75" i="1"/>
  <c r="AR102" i="1"/>
  <c r="R22" i="1"/>
  <c r="R258" i="1"/>
  <c r="F242" i="1"/>
  <c r="O26" i="1"/>
  <c r="F45" i="1"/>
  <c r="O228" i="1"/>
  <c r="AW75" i="1"/>
  <c r="F108" i="1"/>
  <c r="AY26" i="1"/>
  <c r="F51" i="1"/>
  <c r="AY228" i="1"/>
  <c r="Q22" i="1"/>
  <c r="F240" i="1"/>
  <c r="Q258" i="1"/>
  <c r="L869" i="7" l="1"/>
  <c r="L870" i="7" s="1"/>
  <c r="AW22" i="1"/>
  <c r="AW258" i="1"/>
  <c r="F234" i="1"/>
  <c r="AS75" i="1"/>
  <c r="F119" i="1"/>
  <c r="AV22" i="1"/>
  <c r="F233" i="1"/>
  <c r="AV258" i="1"/>
  <c r="S18" i="1"/>
  <c r="F273" i="1"/>
  <c r="AR75" i="1"/>
  <c r="F130" i="1"/>
  <c r="AT22" i="1"/>
  <c r="F246" i="1"/>
  <c r="AT258" i="1"/>
  <c r="F71" i="1"/>
  <c r="AR26" i="1"/>
  <c r="AR228" i="1"/>
  <c r="P18" i="1"/>
  <c r="F261" i="1"/>
  <c r="X22" i="1"/>
  <c r="F254" i="1"/>
  <c r="X258" i="1"/>
  <c r="Y22" i="1"/>
  <c r="Y258" i="1"/>
  <c r="F255" i="1"/>
  <c r="AR134" i="1"/>
  <c r="F188" i="1"/>
  <c r="AY22" i="1"/>
  <c r="AY258" i="1"/>
  <c r="F236" i="1"/>
  <c r="Q18" i="1"/>
  <c r="F270" i="1"/>
  <c r="O22" i="1"/>
  <c r="F230" i="1"/>
  <c r="O258" i="1"/>
  <c r="R18" i="1"/>
  <c r="F272" i="1"/>
  <c r="F177" i="1"/>
  <c r="AS134" i="1"/>
  <c r="J16" i="2"/>
  <c r="AS26" i="1"/>
  <c r="F60" i="1"/>
  <c r="AS228" i="1"/>
  <c r="F16" i="2" l="1"/>
  <c r="C42" i="7"/>
  <c r="AT18" i="1"/>
  <c r="F276" i="1"/>
  <c r="AS22" i="1"/>
  <c r="F245" i="1"/>
  <c r="AS258" i="1"/>
  <c r="AW18" i="1"/>
  <c r="F264" i="1"/>
  <c r="O18" i="1"/>
  <c r="F260" i="1"/>
  <c r="AV18" i="1"/>
  <c r="F263" i="1"/>
  <c r="X18" i="1"/>
  <c r="F284" i="1"/>
  <c r="AY18" i="1"/>
  <c r="F266" i="1"/>
  <c r="AR22" i="1"/>
  <c r="F256" i="1"/>
  <c r="AR258" i="1"/>
  <c r="Y18" i="1"/>
  <c r="F285" i="1"/>
  <c r="E16" i="2" l="1"/>
  <c r="I16" i="2" s="1"/>
  <c r="N16" i="2" s="1"/>
  <c r="C41" i="7"/>
  <c r="C38" i="7" s="1"/>
  <c r="AR18" i="1"/>
  <c r="F286" i="1"/>
  <c r="F287" i="1" s="1"/>
  <c r="AS18" i="1"/>
  <c r="F275" i="1"/>
  <c r="F288" i="1" l="1"/>
  <c r="F289" i="1"/>
</calcChain>
</file>

<file path=xl/sharedStrings.xml><?xml version="1.0" encoding="utf-8"?>
<sst xmlns="http://schemas.openxmlformats.org/spreadsheetml/2006/main" count="9426" uniqueCount="855">
  <si>
    <t>Smeta.RU  (495) 974-1589</t>
  </si>
  <si>
    <t>_PS_</t>
  </si>
  <si>
    <t>Smeta.RU</t>
  </si>
  <si>
    <t/>
  </si>
  <si>
    <t>Замена элементов систем водоснабжения, отопления и канализации с последующими ремонтно-восстановительными работами_(Копия)</t>
  </si>
  <si>
    <t>Сметные нормы списания</t>
  </si>
  <si>
    <t>Коды ценников</t>
  </si>
  <si>
    <t>ФСНБ-2022_И17 Москва</t>
  </si>
  <si>
    <t>Версия 1.17.0 для ФСНБ-2022 И17</t>
  </si>
  <si>
    <t>ФСНБ-2022 - Изменения И17</t>
  </si>
  <si>
    <t>Поправки для ФСНБ-2022 от 25.02.2026 г И17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</si>
  <si>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</si>
  <si>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</si>
  <si>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Замена элементов систем водоснабжения, отопления и канализации с последующими ремонтно-восстановительными работами</t>
  </si>
  <si>
    <t>Новый раздел</t>
  </si>
  <si>
    <t>Работа 1</t>
  </si>
  <si>
    <t>1</t>
  </si>
  <si>
    <t>65-01-005-09</t>
  </si>
  <si>
    <t>Смена задвижек диаметром: 100 мм</t>
  </si>
  <si>
    <t>100 ШТ</t>
  </si>
  <si>
    <t>ГЭСНр-2022 доп.17, 65-01-005-09, приказ Минстроя России от 17.02.2026 г. № 91/пр</t>
  </si>
  <si>
    <t>Ремонтно-строительные работы</t>
  </si>
  <si>
    <t>Внутренние санитарно-технические работы</t>
  </si>
  <si>
    <t>Внутренние санитарнотехнические работы: смена труб, санприборов, запорной арматуры и другое</t>
  </si>
  <si>
    <t>рФЕР-65</t>
  </si>
  <si>
    <t>Пр/812-099.2-1</t>
  </si>
  <si>
    <t>Пр/774-099.2</t>
  </si>
  <si>
    <t>1,1</t>
  </si>
  <si>
    <t>18.1.09.11-0249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</si>
  <si>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1,6 МПа, номинальный диаметр 100 мм</t>
  </si>
  <si>
    <t>ШТ</t>
  </si>
  <si>
    <t>ФСБЦ-2022 доп.16, 18.1.09.11-0249, приказ Минстроя России от 12.11.2025 г. № 696/пр</t>
  </si>
  <si>
    <t>1,2</t>
  </si>
  <si>
    <t>999-9899</t>
  </si>
  <si>
    <t>Строительный мусор и масса возвратных материалов</t>
  </si>
  <si>
    <t>т</t>
  </si>
  <si>
    <t>2</t>
  </si>
  <si>
    <t>65-01-003-13</t>
  </si>
  <si>
    <t>Снятие задвижек диаметром: до 100 мм</t>
  </si>
  <si>
    <t>ГЭСНр-2022, 65-01-003-13, приказ Минстроя России от 18.05.2022 г. № 378/пр</t>
  </si>
  <si>
    <t>Внутренние санитарнотехнические работы: демонтаж и разборка</t>
  </si>
  <si>
    <t>Пр/812-099.1-1</t>
  </si>
  <si>
    <t>Пр/774-099.1</t>
  </si>
  <si>
    <t>2,1</t>
  </si>
  <si>
    <t>3</t>
  </si>
  <si>
    <t>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</si>
  <si>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</si>
  <si>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ГЭСН-2022, 16-05-001-03, приказ Минстроя России от 18.05.2022 г. № 378/пр</t>
  </si>
  <si>
    <t>*1,25</t>
  </si>
  <si>
    <t>*1,15</t>
  </si>
  <si>
    <t>*0,9</t>
  </si>
  <si>
    <t>*0,85</t>
  </si>
  <si>
    <t>Общестроительные работы</t>
  </si>
  <si>
    <t>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</si>
  <si>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Трубопроводы внутренние</t>
  </si>
  <si>
    <t>ФЕР-16</t>
  </si>
  <si>
    <t>Поправка: 421/пр_2020_п.58_пп.б</t>
  </si>
  <si>
    <t>Пр/812-016.0-1</t>
  </si>
  <si>
    <t>Пр/774-016.0</t>
  </si>
  <si>
    <t>3,1</t>
  </si>
  <si>
    <t>18.1.09.11-0128</t>
  </si>
  <si>
    <t>Кран шаровой фланцевый для воды, нефтепродуктов, горюче-смазочных материалов, стандартнопроходной, из стали 20, номинальное давление 2,5 МПа, условный диаметр 65 мм</t>
  </si>
  <si>
    <t>ФСБЦ-2022 доп.14, 18.1.09.11-0128, приказ Минстроя России от 19.05.2025 г. № 299/пр</t>
  </si>
  <si>
    <t>3,2</t>
  </si>
  <si>
    <t>23.8.03.11-0173</t>
  </si>
  <si>
    <t>Фланец стальной плоский приварной с соединительным выступом, марка стали 20, номинальное давление 2,5 МПа, номинальный диаметр 65 мм</t>
  </si>
  <si>
    <t>ФСБЦ-2022, 23.8.03.11-0173, приказ Минстроя России от 18.05.2022 г. № 378/пр</t>
  </si>
  <si>
    <t>4</t>
  </si>
  <si>
    <t>м12-12-009-03</t>
  </si>
  <si>
    <t>Арматура муфтовая с ручным приводом или без привода водопроводная на номинальное давление до 10 МПа, номинальный диаметр: 20 мм/ДЕМОНТАЖ</t>
  </si>
  <si>
    <t>ГЭСНм-2022, м12-12-009-03, приказ Минстроя России от 18.05.2022 г. № 378/пр</t>
  </si>
  <si>
    <t>Поправка: 571/пр_2022_п.84_т.3_стр.4_стб.3
Наименование: Демонтаж оборудования, не пригодного для дальнейшего использования (предназначено в лом), без разборки и резки</t>
  </si>
  <si>
    <t>*0</t>
  </si>
  <si>
    <t>*0,3</t>
  </si>
  <si>
    <t>Монтажные работы</t>
  </si>
  <si>
    <t>Технологические трубопроводы</t>
  </si>
  <si>
    <t>мФЕР-12</t>
  </si>
  <si>
    <t>Поправка: 571/пр_2022_п.84_т.3_стр.4_стб.3</t>
  </si>
  <si>
    <t>Пр/812-054.0-1</t>
  </si>
  <si>
    <t>Пр/774-054.0</t>
  </si>
  <si>
    <t>4,1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</si>
  <si>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</si>
  <si>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</si>
  <si>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</si>
  <si>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5</t>
  </si>
  <si>
    <t>Арматура муфтовая с ручным приводом или без привода водопроводная на номинальное давление до 10 МПа, номинальный диаметр: 20 мм</t>
  </si>
  <si>
    <t>5,1</t>
  </si>
  <si>
    <t>5,2</t>
  </si>
  <si>
    <t>18.1.06.08-1002</t>
  </si>
  <si>
    <t>Комплект ручного балансировочного и запорного клапанов, с внутренним резьбовым присоединением, номинальное давление 2,0 МПа, номинальный диаметр 20 мм</t>
  </si>
  <si>
    <t>КОМПЛ</t>
  </si>
  <si>
    <t>ФСБЦ-2022, 18.1.06.08-1002, приказ Минстроя России от 18.05.2022 г. № 378/пр</t>
  </si>
  <si>
    <t>6</t>
  </si>
  <si>
    <t>16-07-005-02</t>
  </si>
  <si>
    <t>Гидравлическое испытание трубопроводов систем отопления, водопровода и горячего водоснабжения диаметром: до 100 мм /диам.65 мм</t>
  </si>
  <si>
    <t>100 м</t>
  </si>
  <si>
    <t>ГЭСН-2022, 16-07-005-02, приказ Минстроя России от 18.05.2022 г. № 378/пр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</si>
  <si>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</si>
  <si>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</si>
  <si>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</si>
  <si>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</si>
  <si>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</si>
  <si>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</si>
  <si>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</si>
  <si>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</si>
  <si>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</si>
  <si>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</si>
  <si>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</si>
  <si>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</si>
  <si>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</si>
  <si>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</si>
  <si>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</si>
  <si>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</si>
  <si>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</si>
  <si>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</si>
  <si>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</si>
  <si>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</si>
  <si>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</si>
  <si>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</si>
  <si>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</si>
  <si>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</si>
  <si>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</si>
  <si>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</si>
  <si>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</si>
  <si>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</si>
  <si>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</si>
  <si>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</si>
  <si>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</si>
  <si>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</si>
  <si>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</si>
  <si>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</si>
  <si>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</si>
  <si>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</si>
  <si>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</si>
  <si>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</si>
  <si>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</si>
  <si>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</si>
  <si>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</si>
  <si>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</si>
  <si>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</si>
  <si>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</si>
  <si>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</si>
  <si>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</si>
  <si>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</si>
  <si>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</si>
  <si>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</si>
  <si>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</si>
  <si>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</si>
  <si>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</si>
  <si>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</si>
  <si>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</si>
  <si>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Работа 2</t>
  </si>
  <si>
    <t>7</t>
  </si>
  <si>
    <t>65-02-011-01</t>
  </si>
  <si>
    <t>Прочистка и промывка: радиаторов отопления весом до 80 кг внутри здания</t>
  </si>
  <si>
    <t>ГЭСНр-2022, 65-02-011-01, приказ Минстроя России от 18.05.2022 г. № 378/пр</t>
  </si>
  <si>
    <t>8</t>
  </si>
  <si>
    <t>18-07-001-04</t>
  </si>
  <si>
    <t>Установка термометров в оправе прямых и угловых</t>
  </si>
  <si>
    <t>ГЭСН-2022, 18-07-001-04, приказ Минстроя России от 18.05.2022 г. № 378/пр</t>
  </si>
  <si>
    <t>Отопление - внутренние устройства</t>
  </si>
  <si>
    <t>ФЕР-18</t>
  </si>
  <si>
    <t>8,1</t>
  </si>
  <si>
    <t>63.4.05.01-0001</t>
  </si>
  <si>
    <t>Термометр биметаллический А 5000-63 (от 0 до +200 °C)</t>
  </si>
  <si>
    <t>ФСБЦ-2022, 63.4.05.01-0001, приказ Минстроя России от 18.05.2022 г. № 378/пр</t>
  </si>
  <si>
    <t>оборудование</t>
  </si>
  <si>
    <t>Оборудование по ценникам</t>
  </si>
  <si>
    <t>ОБОРУД.</t>
  </si>
  <si>
    <t>8,2</t>
  </si>
  <si>
    <t>63.4.05.04-0002</t>
  </si>
  <si>
    <t>Термометр ртутный, диапазон измерений до 160 °C, в оправе, длина нижней части 104 мм, исполнение угловое</t>
  </si>
  <si>
    <t>ФСБЦ-2022, 63.4.05.04-0002, приказ Минстроя России от 18.05.2022 г. № 378/пр</t>
  </si>
  <si>
    <t>9</t>
  </si>
  <si>
    <t>65-05-003-02</t>
  </si>
  <si>
    <t>Демонтаж: манометров</t>
  </si>
  <si>
    <t>ГЭСНр-2022, 65-05-003-02, приказ Минстроя России от 18.05.2022 г. № 378/пр</t>
  </si>
  <si>
    <t>10</t>
  </si>
  <si>
    <t>18-07-001-02</t>
  </si>
  <si>
    <t>Установка манометров: с трехходовым краном</t>
  </si>
  <si>
    <t>ГЭСН-2022, 18-07-001-02, приказ Минстроя России от 18.05.2022 г. № 378/пр</t>
  </si>
  <si>
    <t>10,1</t>
  </si>
  <si>
    <t>63.4.01.02-0020</t>
  </si>
  <si>
    <t>Манометр для измерения избыточного давления от 0 до 400 кгс/см2, диаметр корпуса 100 мм, класс точности 1,5</t>
  </si>
  <si>
    <t>ФСБЦ-2022 доп.6, 63.4.01.02-0020, приказ Минстроя России от 11.05.2023 г. № 335/пр</t>
  </si>
  <si>
    <t>11</t>
  </si>
  <si>
    <t>Снятие задвижек диаметром: до 100 мм/затвор диам.40 мм</t>
  </si>
  <si>
    <t>11,1</t>
  </si>
  <si>
    <t>12</t>
  </si>
  <si>
    <t>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</si>
  <si>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</si>
  <si>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ГЭСН-2022, 16-05-001-02, приказ Минстроя России от 18.05.2022 г. № 378/пр</t>
  </si>
  <si>
    <t>12,1</t>
  </si>
  <si>
    <t>18.1.03.02-0006</t>
  </si>
  <si>
    <t>Затвор дисковый поворотный чугунный межфланцевый, с ручным приводом, давление 1,6 МПа, диаметр 40 мм</t>
  </si>
  <si>
    <t>ФСБЦ-2022, 18.1.03.02-0006, приказ Минстроя России от 18.05.2022 г. № 378/пр</t>
  </si>
  <si>
    <t>12,2</t>
  </si>
  <si>
    <t>23.8.03.11-0151</t>
  </si>
  <si>
    <t>Фланец стальной плоский приварной с соединительным выступом, марка стали 20, номинальное давление 1,6 МПа, номинальный диаметр 40 мм</t>
  </si>
  <si>
    <t>ФСБЦ-2022, 23.8.03.11-0151, приказ Минстроя России от 18.05.2022 г. № 378/пр</t>
  </si>
  <si>
    <t>13</t>
  </si>
  <si>
    <t>65-02-002-02</t>
  </si>
  <si>
    <t>Демонтаж: грязевиков/диам.80 мм и 100 мм</t>
  </si>
  <si>
    <t>ГЭСНр-2022, 65-02-002-02, приказ Минстроя России от 18.05.2022 г. № 378/пр</t>
  </si>
  <si>
    <t>13,1</t>
  </si>
  <si>
    <t>14</t>
  </si>
  <si>
    <t>18-06-002-03</t>
  </si>
  <si>
    <t>Установка грязевиков наружным диаметром патрубков: свыше 57 до 89 мм</t>
  </si>
  <si>
    <t>ГЭСН-2022 доп.15, 18-06-002-03, приказ Минстроя России от 14.08.2025 г. № 490/пр</t>
  </si>
  <si>
    <t>14,1</t>
  </si>
  <si>
    <t>23.8.03.11-0154</t>
  </si>
  <si>
    <t>Фланец стальной плоский приварной с соединительным выступом, марка стали 20, номинальное давление 1,6 МПа, номинальный диаметр 80 мм</t>
  </si>
  <si>
    <t>ФСБЦ-2022, 23.8.03.11-0154, приказ Минстроя России от 18.05.2022 г. № 378/пр</t>
  </si>
  <si>
    <t>15</t>
  </si>
  <si>
    <t>18-06-002-04</t>
  </si>
  <si>
    <t>Установка грязевиков наружным диаметром патрубков: свыше 89 до 108 мм</t>
  </si>
  <si>
    <t>ГЭСН-2022 доп.15, 18-06-002-04, приказ Минстроя России от 14.08.2025 г. № 490/пр</t>
  </si>
  <si>
    <t>15,1</t>
  </si>
  <si>
    <t>23.8.03.11-0155</t>
  </si>
  <si>
    <t>Фланец стальной плоский приварной с соединительным выступом, марка стали 20, номинальное давление 1,6 МПа, номинальный диаметр 100 мм</t>
  </si>
  <si>
    <t>ФСБЦ-2022, 23.8.03.11-0155, приказ Минстроя России от 18.05.2022 г. № 378/пр</t>
  </si>
  <si>
    <t>16</t>
  </si>
  <si>
    <t>17</t>
  </si>
  <si>
    <t>17,1</t>
  </si>
  <si>
    <t>18</t>
  </si>
  <si>
    <t>65-01-005-03</t>
  </si>
  <si>
    <t>Смена вентилей и клапанов обратных муфтовых диаметром: свыше 32 до 50 мм</t>
  </si>
  <si>
    <t>ГЭСНр-2022 доп.17, 65-01-005-03, приказ Минстроя России от 17.02.2026 г. № 91/пр</t>
  </si>
  <si>
    <t>18,1</t>
  </si>
  <si>
    <t>18.1.04.01-0010</t>
  </si>
  <si>
    <t>Клапан обратный канализационный ПВХ с запирающим устройством для внутренней и наружной канализации под раструб с резиновым кольцом, диаметр 50 мм</t>
  </si>
  <si>
    <t>ФСБЦ-2022, 18.1.04.01-0010, приказ Минстроя России от 18.05.2022 г. № 378/пр</t>
  </si>
  <si>
    <t>18,2</t>
  </si>
  <si>
    <t>Работа 3</t>
  </si>
  <si>
    <t>19</t>
  </si>
  <si>
    <t>65-02-007-01</t>
  </si>
  <si>
    <t>Ремонт задвижек диаметром: до 100 мм без снятия с места</t>
  </si>
  <si>
    <t>ГЭСНр-2022, 65-02-007-01, приказ Минстроя России от 18.05.2022 г. № 378/пр</t>
  </si>
  <si>
    <t>20</t>
  </si>
  <si>
    <t>16-07-005-01</t>
  </si>
  <si>
    <t>Гидравлическое испытание трубопроводов систем отопления, водопровода и горячего водоснабжения диаметром: до 50 мм</t>
  </si>
  <si>
    <t>ГЭСН-2022, 16-07-005-01, приказ Минстроя России от 18.05.2022 г. № 378/пр</t>
  </si>
  <si>
    <t>21</t>
  </si>
  <si>
    <t>Гидравлическое испытание трубопроводов систем отопления, водопровода и горячего водоснабжения диаметром: до 100 мм</t>
  </si>
  <si>
    <t>22</t>
  </si>
  <si>
    <t>22,1</t>
  </si>
  <si>
    <t>23</t>
  </si>
  <si>
    <t>65-01-009-05</t>
  </si>
  <si>
    <t>Смена внутренних трубопроводов из стальных труб диаметром: до 40 мм</t>
  </si>
  <si>
    <t>ГЭСНр-2022, 65-01-009-05, приказ Минстроя России от 18.05.2022 г. № 378/пр</t>
  </si>
  <si>
    <t>23,1</t>
  </si>
  <si>
    <t>23.3.06.05-0005</t>
  </si>
  <si>
    <t>Трубы стальные сварные неоцинкованные водогазопроводные с резьбой, обыкновенные, номинальный диаметр 40 мм, толщина стенки 3,5 мм</t>
  </si>
  <si>
    <t>м</t>
  </si>
  <si>
    <t>ФСБЦ-2022, 23.3.06.05-0005, приказ Минстроя России от 18.05.2022 г. № 378/пр</t>
  </si>
  <si>
    <t>23,2</t>
  </si>
  <si>
    <t>24.1.02.01-0006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</si>
  <si>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40 до 45 мм</t>
  </si>
  <si>
    <t>ФСБЦ-2022, 24.1.02.01-0006, приказ Минстроя России от 18.05.2022 г. № 378/пр</t>
  </si>
  <si>
    <t>24</t>
  </si>
  <si>
    <t>65-01-009-09</t>
  </si>
  <si>
    <t>Смена внутренних трубопроводов из стальных труб диаметром: до 100 мм</t>
  </si>
  <si>
    <t>ГЭСНр-2022, 65-01-009-09, приказ Минстроя России от 18.05.2022 г. № 378/пр</t>
  </si>
  <si>
    <t>24,1</t>
  </si>
  <si>
    <t>23.3.06.04-0015</t>
  </si>
  <si>
    <t>Трубы стальные сварные неоцинкованные водогазопроводные с резьбой, легкие, номинальный диаметр 100 мм, толщина стенки 4 мм</t>
  </si>
  <si>
    <t>ФСБЦ-2022, 23.3.06.04-0015, приказ Минстроя России от 18.05.2022 г. № 378/пр</t>
  </si>
  <si>
    <t>24,2</t>
  </si>
  <si>
    <t>24.1.02.01-0023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</si>
  <si>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t>
  </si>
  <si>
    <t>ФСБЦ-2022, 24.1.02.01-0023, приказ Минстроя России от 18.05.2022 г. № 378/пр</t>
  </si>
  <si>
    <t>25</t>
  </si>
  <si>
    <t>13-03-002-04</t>
  </si>
  <si>
    <t>Огрунтовка металлических поверхностей за один раз: грунтовкой ГФ-021</t>
  </si>
  <si>
    <t>100 м2</t>
  </si>
  <si>
    <t>ГЭСН-2022, 13-03-002-04, приказ Минстроя России от 18.05.2022 г. № 378/пр</t>
  </si>
  <si>
    <t>*2</t>
  </si>
  <si>
    <t>*1,25*2</t>
  </si>
  <si>
    <t>*1,15*2</t>
  </si>
  <si>
    <t>Защита строительных конструкций и оборудования от коррозии</t>
  </si>
  <si>
    <t>Защита строительных конструкций</t>
  </si>
  <si>
    <t>ФЕР-13</t>
  </si>
  <si>
    <t>Пр/812-013.0-1</t>
  </si>
  <si>
    <t>Пр/774-013.0</t>
  </si>
  <si>
    <t>26</t>
  </si>
  <si>
    <t>15-04-030-03</t>
  </si>
  <si>
    <t>Масляная окраска металлических поверхностей: стальных балок, труб диаметром более 50 мм и т.п., количество окрасок 2</t>
  </si>
  <si>
    <t>ГЭСН-2022 доп.17, 15-04-030-03, приказ Минстроя России от 17.02.2026 г. № 91/пр</t>
  </si>
  <si>
    <t>Отделочные работы</t>
  </si>
  <si>
    <t>ФЕР-15</t>
  </si>
  <si>
    <t>Пр/812-015.0-1</t>
  </si>
  <si>
    <t>Пр/774-015.0</t>
  </si>
  <si>
    <t>26,1</t>
  </si>
  <si>
    <t>14.4.02.04-0252</t>
  </si>
  <si>
    <t>Краска масляная МА-25, цветная</t>
  </si>
  <si>
    <t>кг</t>
  </si>
  <si>
    <t>ФСБЦ-2022 доп.17, 14.4.02.04-0252, приказ Минстроя России от 17.02.2026 г. № 91/пр</t>
  </si>
  <si>
    <t>27</t>
  </si>
  <si>
    <t>66-01-024-02</t>
  </si>
  <si>
    <t>Разборка тепловой изоляции: из ваты минеральной/диам.100 мм</t>
  </si>
  <si>
    <t>ГЭСНр-2022, 66-01-024-02, приказ Минстроя России от 18.05.2022 г. № 378/пр</t>
  </si>
  <si>
    <t>Наружные инженерные сети</t>
  </si>
  <si>
    <t>Наружные инженерные сети: демонтаж, разборка, очистка</t>
  </si>
  <si>
    <t>рФЕР-66</t>
  </si>
  <si>
    <t>Пр/812-100.1-1</t>
  </si>
  <si>
    <t>Пр/774-100.1</t>
  </si>
  <si>
    <t>28</t>
  </si>
  <si>
    <t>26-01-003-01</t>
  </si>
  <si>
    <t>Изоляция трубопроводов цилиндрами и полуцилиндрами из минеральной ваты на синтетическом связующем</t>
  </si>
  <si>
    <t>м3</t>
  </si>
  <si>
    <t>ГЭСН-2022, 26-01-003-01, приказ Минстроя России от 18.05.2022 г. № 378/пр</t>
  </si>
  <si>
    <t>Теплоизоляционные работы</t>
  </si>
  <si>
    <t>ФЕР-26</t>
  </si>
  <si>
    <t>Пр/812-020.0-1</t>
  </si>
  <si>
    <t>Пр/774-020.0</t>
  </si>
  <si>
    <t>28,1</t>
  </si>
  <si>
    <t>12.2.08.01-0040</t>
  </si>
  <si>
    <t>ФСБЦ-2022 доп.13, 12.2.08.01-0040, приказ Минстроя России от 07.02.2025 г. № 69/пр</t>
  </si>
  <si>
    <t>29</t>
  </si>
  <si>
    <t>65-02-012-02</t>
  </si>
  <si>
    <t>Слив и наполнение водой системы отопления: с осмотром системы</t>
  </si>
  <si>
    <t>1000 м3</t>
  </si>
  <si>
    <t>ГЭСНр-2022, 65-02-012-02, приказ Минстроя России от 18.05.2022 г. № 378/пр</t>
  </si>
  <si>
    <t>30</t>
  </si>
  <si>
    <t>м12-09-001-01</t>
  </si>
  <si>
    <t>Компенсатор стальной сальниковый двухсторонний на номинальное давление 1,6 МПа, номинальный диаметр: 100 мм/ ДЕМОНТАЖ</t>
  </si>
  <si>
    <t>10 ШТ</t>
  </si>
  <si>
    <t>ГЭСНм-2022, м12-09-001-01, приказ Минстроя России от 18.05.2022 г. № 378/пр</t>
  </si>
  <si>
    <t>30,1</t>
  </si>
  <si>
    <t>31</t>
  </si>
  <si>
    <t>Компенсатор стальной сальниковый двухсторонний на номинальное давление 1,6 МПа, номинальный диаметр: 100 мм</t>
  </si>
  <si>
    <t>31,1</t>
  </si>
  <si>
    <t>32</t>
  </si>
  <si>
    <t>23.1.01.03-1000</t>
  </si>
  <si>
    <t>Компенсатор антивибрационный муфтовый, номинальное давление 1,6 МПа, номинальный диаметр 100 мм</t>
  </si>
  <si>
    <t>ФСБЦ-2022, 23.1.01.03-1000, приказ Минстроя России от 18.05.2022 г. № 378/пр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</si>
  <si>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</si>
  <si>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</si>
  <si>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</si>
  <si>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Работа 4</t>
  </si>
  <si>
    <t>33</t>
  </si>
  <si>
    <t>69-01-015-01</t>
  </si>
  <si>
    <t>Затаривание строительного мусора в мешки</t>
  </si>
  <si>
    <t>ГЭСНр-2022, 69-01-015-01, приказ Минстроя России от 18.05.2022 г. № 378/пр</t>
  </si>
  <si>
    <t>Прочие ремонтно-строительные работы</t>
  </si>
  <si>
    <t>рФЕР-69</t>
  </si>
  <si>
    <t>Пр/812-103.0-1</t>
  </si>
  <si>
    <t>Пр/774-103.0</t>
  </si>
  <si>
    <t>34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</si>
  <si>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</si>
  <si>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</si>
  <si>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</si>
  <si>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</si>
  <si>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</si>
  <si>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</si>
  <si>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</si>
  <si>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35</t>
  </si>
  <si>
    <t>02-15-1-01-0050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</si>
  <si>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</si>
  <si>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</si>
  <si>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</si>
  <si>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</si>
  <si>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</si>
  <si>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</si>
  <si>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</si>
  <si>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Итого</t>
  </si>
  <si>
    <t>Итого:</t>
  </si>
  <si>
    <t>ндс</t>
  </si>
  <si>
    <t>НДС 22%</t>
  </si>
  <si>
    <t>всего</t>
  </si>
  <si>
    <t>Всего по смете: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</si>
  <si>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</si>
  <si>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</si>
  <si>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</si>
  <si>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</si>
  <si>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</si>
  <si>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</si>
  <si>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</si>
  <si>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</si>
  <si>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</si>
  <si>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</si>
  <si>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</si>
  <si>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</si>
  <si>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</si>
  <si>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</si>
  <si>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</si>
  <si>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</si>
  <si>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</si>
  <si>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</si>
  <si>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</si>
  <si>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</si>
  <si>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</si>
  <si>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</si>
  <si>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</si>
  <si>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</si>
  <si>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</si>
  <si>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</si>
  <si>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</si>
  <si>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</si>
  <si>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</si>
  <si>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</si>
  <si>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</si>
  <si>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</si>
  <si>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</si>
  <si>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</si>
  <si>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</si>
  <si>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</si>
  <si>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</si>
  <si>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</si>
  <si>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</si>
  <si>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</si>
  <si>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</si>
  <si>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</si>
  <si>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</si>
  <si>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</si>
  <si>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</si>
  <si>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</si>
  <si>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</si>
  <si>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</si>
  <si>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</si>
  <si>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</si>
  <si>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</si>
  <si>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</si>
  <si>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</si>
  <si>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</si>
  <si>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</si>
  <si>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</si>
  <si>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</si>
  <si>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</si>
  <si>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</si>
  <si>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</si>
  <si>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</si>
  <si>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</si>
  <si>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</si>
  <si>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</si>
  <si>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</si>
  <si>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</si>
  <si>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</si>
  <si>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</si>
  <si>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1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</si>
  <si>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</si>
  <si>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</si>
  <si>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 квартал 2026 года»</t>
  </si>
  <si>
    <t>Справочная информация</t>
  </si>
  <si>
    <t>Письмо Минстроя России от 25.02.2026 № 9859-ИФ/09</t>
  </si>
  <si>
    <t>Письмо Департамента экономической политики и развития города Москвы от 27.10.2025 № ДПР-3-23615/25(1)</t>
  </si>
  <si>
    <t>_OBSM_</t>
  </si>
  <si>
    <t>1-100-35</t>
  </si>
  <si>
    <t>Средний разряд работы 3,5</t>
  </si>
  <si>
    <t>чел.-ч.</t>
  </si>
  <si>
    <t>4-100-00</t>
  </si>
  <si>
    <t>Затраты труда машинистов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</si>
  <si>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</si>
  <si>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</si>
  <si>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</si>
  <si>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маш.-ч</t>
  </si>
  <si>
    <t>4-100-040</t>
  </si>
  <si>
    <t>01.1.02.08-0002</t>
  </si>
  <si>
    <t>ФСБЦ-2022, 01.1.02.08-0002, приказ Минстроя России от 18.05.2022 г. № 378/пр</t>
  </si>
  <si>
    <t>Прокладки из паронита ПМБ, толщина 1 мм, диаметр 100 мм</t>
  </si>
  <si>
    <t>1000 ШТ</t>
  </si>
  <si>
    <t>01.7.15.03-0015</t>
  </si>
  <si>
    <t>ФСБЦ-2022 доп.11, 01.7.15.03-0015, приказ Минстроя России от 09.08.2024 г. № 524/пр</t>
  </si>
  <si>
    <t>Болты стальные с шестигранной головкой, в комплекте с шестигранной гайкой и плоской круглой шайбой, диаметр резьбы М20 (М22), длина болта 40-220 мм</t>
  </si>
  <si>
    <t>1-100-30</t>
  </si>
  <si>
    <t>Средний разряд работы 3,0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</si>
  <si>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</si>
  <si>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</si>
  <si>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</si>
  <si>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4-100-030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</si>
  <si>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</si>
  <si>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</si>
  <si>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</si>
  <si>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4-100-060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</si>
  <si>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</si>
  <si>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</si>
  <si>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</si>
  <si>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</si>
  <si>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</si>
  <si>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</si>
  <si>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</si>
  <si>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</si>
  <si>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</si>
  <si>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01.7.15.03-0014</t>
  </si>
  <si>
    <t>ФСБЦ-2022 доп.11, 01.7.15.03-0014, приказ Минстроя России от 09.08.2024 г. № 524/пр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</si>
  <si>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</si>
  <si>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1-100-40</t>
  </si>
  <si>
    <t>Средний разряд работы 4,0</t>
  </si>
  <si>
    <t>01.3.02.03-0001</t>
  </si>
  <si>
    <t>ФСБЦ-2022, 01.3.02.03-0001, приказ Минстроя России от 18.05.2022 г. № 378/пр</t>
  </si>
  <si>
    <t>Ацетилен газообразный технический</t>
  </si>
  <si>
    <t>01.3.02.08-0001</t>
  </si>
  <si>
    <t>ФСБЦ-2022 доп.3, 01.3.02.08-0001, приказ Минстроя России от 26.10.2022 г. № 905/пр</t>
  </si>
  <si>
    <t>Кислород газообразный технический</t>
  </si>
  <si>
    <t>01.3.02.09-0022</t>
  </si>
  <si>
    <t>ФСБЦ-2022 доп.3, 01.3.02.09-0022, приказ Минстроя России от 26.10.2022 г. № 905/пр</t>
  </si>
  <si>
    <t>Пропан-бутан смесь техническая</t>
  </si>
  <si>
    <t>01.7.11.04-0052</t>
  </si>
  <si>
    <t>ФСБЦ-2022, 01.7.11.04-0052, приказ Минстроя России от 18.05.2022 г. № 378/пр</t>
  </si>
  <si>
    <t>Проволока сварочная без покрытия СВ-08Г2С, диаметр 2 мм</t>
  </si>
  <si>
    <t>1-100-53</t>
  </si>
  <si>
    <t>Средний разряд работы 5,3</t>
  </si>
  <si>
    <t>91.10.09-011</t>
  </si>
  <si>
    <t>ФСЭМ-2022, 91.10.09-011, приказ Минстроя России от 18.05.2022 г. № 378/пр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</si>
  <si>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</si>
  <si>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</si>
  <si>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ФСБЦ-2022, 01.7.03.01-0001, приказ Минстроя России от 18.05.2022 г. № 378/пр</t>
  </si>
  <si>
    <t>Вода</t>
  </si>
  <si>
    <t>01.7.07.29-0101</t>
  </si>
  <si>
    <t>ФСБЦ-2022, 01.7.07.29-0101, приказ Минстроя России от 18.05.2022 г. № 378/пр</t>
  </si>
  <si>
    <t>Очес льняной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</si>
  <si>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</si>
  <si>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</si>
  <si>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</si>
  <si>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</si>
  <si>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</si>
  <si>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</si>
  <si>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1-100-31</t>
  </si>
  <si>
    <t>Средний разряд работы 3,1</t>
  </si>
  <si>
    <t>1-100-38</t>
  </si>
  <si>
    <t>Средний разряд работы 3,8</t>
  </si>
  <si>
    <t>01.3.04.03-0003</t>
  </si>
  <si>
    <t>ФСБЦ-2022 доп.7, 01.3.04.03-0003, приказ Минстроя России от 02.08.2023 г. № 551/пр</t>
  </si>
  <si>
    <t>Масло индустриальное И-20А</t>
  </si>
  <si>
    <t>л</t>
  </si>
  <si>
    <t>1-100-42</t>
  </si>
  <si>
    <t>Средний разряд работы 4,2</t>
  </si>
  <si>
    <t>01.1.02.08-0001</t>
  </si>
  <si>
    <t>ФСБЦ-2022, 01.1.02.08-0001, приказ Минстроя России от 18.05.2022 г. № 378/пр</t>
  </si>
  <si>
    <t>Прокладки из паронита ПМБ, толщина 1 мм, диаметр 50 мм</t>
  </si>
  <si>
    <t>1-100-37</t>
  </si>
  <si>
    <t>Средний разряд работы 3,7</t>
  </si>
  <si>
    <t>01.1.02.04-0011</t>
  </si>
  <si>
    <t>ФСБЦ-2022, 01.1.02.04-0011, приказ Минстроя России от 18.05.2022 г. № 378/пр</t>
  </si>
  <si>
    <t>Картон асбестовый общего назначения, марка КАОН-1, толщина 3 мм</t>
  </si>
  <si>
    <t>01.7.15.03-0013</t>
  </si>
  <si>
    <t>ФСБЦ-2022 доп.11, 01.7.15.03-0013, приказ Минстроя России от 09.08.2024 г. № 524/пр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</si>
  <si>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</si>
  <si>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18.5.05.02-0004</t>
  </si>
  <si>
    <t>ФСБЦ-2022, 18.5.05.02-0004, приказ Минстроя России от 18.05.2022 г. № 378/пр</t>
  </si>
  <si>
    <t>Грязевик из стальных электросварных и водогазопроводных труб, наружный диаметр входного патрубка 89 мм, наружный диаметр корпуса 325 мм</t>
  </si>
  <si>
    <t>18.5.05.02-0005</t>
  </si>
  <si>
    <t>ФСБЦ-2022, 18.5.05.02-0005, приказ Минстроя России от 18.05.2022 г. № 378/пр</t>
  </si>
  <si>
    <t>Грязевик из стальных электросварных и водогазопроводных труб, наружный диаметр входного патрубка 108 мм, наружный диаметр корпуса 377 мм</t>
  </si>
  <si>
    <t>01.1.02.08-1040</t>
  </si>
  <si>
    <t>ФСБЦ-2022, 01.1.02.08-1040, приказ Минстроя России от 18.05.2022 г. № 378/пр</t>
  </si>
  <si>
    <t>Лист паронитовый марки ПМБ (ПОН-А, ПОН-Б), толщина от 0,4 до 5 мм</t>
  </si>
  <si>
    <t>01.3.01.06-0051</t>
  </si>
  <si>
    <t>ФСБЦ-2022 доп.12, 01.3.01.06-0051, приказ Минстроя России от 07.11.2024 г. № 747/пр</t>
  </si>
  <si>
    <t>Смазка солидол жировой Ж</t>
  </si>
  <si>
    <t>01.7.07.09-0041</t>
  </si>
  <si>
    <t>ФСБЦ-2022, 01.7.07.09-0041, приказ Минстроя России от 18.05.2022 г. № 378/пр</t>
  </si>
  <si>
    <t>Набивки сальниковые, марка АП</t>
  </si>
  <si>
    <t>91.17.04-042</t>
  </si>
  <si>
    <t>ФСЭМ-2022, 91.17.04-042, приказ Минстроя России от 18.05.2022 г. № 378/пр</t>
  </si>
  <si>
    <t>Аппараты для газовой сварки и резки</t>
  </si>
  <si>
    <t>01.7.11.04-0072</t>
  </si>
  <si>
    <t>ФСБЦ-2022, 01.7.11.04-0072, приказ Минстроя России от 18.05.2022 г. № 378/пр</t>
  </si>
  <si>
    <t>Проволока сварочная без покрытия СВ-08Г2С, диаметр 4 мм</t>
  </si>
  <si>
    <t>1-100-47</t>
  </si>
  <si>
    <t>Средний разряд работы 4,7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</si>
  <si>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</si>
  <si>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</si>
  <si>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</si>
  <si>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91.06.05-011</t>
  </si>
  <si>
    <t>ФСЭМ-2022, 91.06.05-011,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</si>
  <si>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</si>
  <si>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</si>
  <si>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91.21.01-012</t>
  </si>
  <si>
    <t>ФСЭМ-2022 доп.11, 91.21.01-012, приказ Минстроя России от 09.08.2024 г. № 524/пр</t>
  </si>
  <si>
    <t>Агрегаты окрасочные высокого давления для окраски поверхностей конструкций, мощность 1 кВт</t>
  </si>
  <si>
    <t>14.4.01.01-0003</t>
  </si>
  <si>
    <t>ФСБЦ-2022, 14.4.01.01-0003, приказ Минстроя России от 18.05.2022 г. № 378/пр</t>
  </si>
  <si>
    <t>Грунтовка ГФ-021</t>
  </si>
  <si>
    <t>14.5.09.02-0002</t>
  </si>
  <si>
    <t>ФСБЦ-2022, 14.5.09.02-0002, приказ Минстроя России от 18.05.2022 г. № 378/пр</t>
  </si>
  <si>
    <t>Ксилол нефтяной, марка А</t>
  </si>
  <si>
    <t>1-100-33</t>
  </si>
  <si>
    <t>Средний разряд работы 3,3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</si>
  <si>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</si>
  <si>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</si>
  <si>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</si>
  <si>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14.5.05.02-0001</t>
  </si>
  <si>
    <t>ФСБЦ-2022, 14.5.05.02-0001, приказ Минстроя России от 18.05.2022 г. № 378/пр</t>
  </si>
  <si>
    <t>Олифа натуральная</t>
  </si>
  <si>
    <t>1-100-27</t>
  </si>
  <si>
    <t>Средний разряд работы 2,7</t>
  </si>
  <si>
    <t>1-100-36</t>
  </si>
  <si>
    <t>Средний разряд работы 3,6</t>
  </si>
  <si>
    <t>91.21.22-443</t>
  </si>
  <si>
    <t>ФСЭМ-2022 доп.4, 91.21.22-443, приказ Минстроя России от 27.12.2022 г. № 1133/пр</t>
  </si>
  <si>
    <t>Станки универсальные электромеханические для изготовления бандажей, диафрагм, пряжек, мощность 0,75 кВт</t>
  </si>
  <si>
    <t>01.7.15.14-0304</t>
  </si>
  <si>
    <t>ФСБЦ-2022 доп.12, 01.7.15.14-0304, приказ Минстроя России от 07.11.2024 г. № 747/пр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</si>
  <si>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</si>
  <si>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08.3.02.01-0041</t>
  </si>
  <si>
    <t>ФСБЦ-2022, 08.3.02.01-0041, приказ Минстроя России от 18.05.2022 г. № 378/пр</t>
  </si>
  <si>
    <t>Ленты стальные упаковочные, мягкие, нормальной точности по толщине и ширине 0,7х20-50 мм</t>
  </si>
  <si>
    <t>08.3.03.05-0011</t>
  </si>
  <si>
    <t>ФСБЦ-2022, 08.3.03.05-0011, приказ Минстроя России от 18.05.2022 г. № 378/пр</t>
  </si>
  <si>
    <t>Проволока стальная низкоуглеродистая оцинкованная разного назначения, диаметр 1,1 мм</t>
  </si>
  <si>
    <t>08.3.03.05-0013</t>
  </si>
  <si>
    <t>ФСБЦ-2022, 08.3.03.05-0013, приказ Минстроя России от 18.05.2022 г. № 378/пр</t>
  </si>
  <si>
    <t>Проволока стальная низкоуглеродистая оцинкованная разного назначения, диаметр 1,6 мм</t>
  </si>
  <si>
    <t>08.3.05.05-0054</t>
  </si>
  <si>
    <t>ФСБЦ-2022, 08.3.05.05-0054, приказ Минстроя России от 18.05.2022 г. № 378/пр</t>
  </si>
  <si>
    <t>Сталь листовая оцинкованная, толщина 0,8 мм</t>
  </si>
  <si>
    <t>91.06.03-055</t>
  </si>
  <si>
    <t>ФСЭМ-2022, 91.06.03-055, приказ Минстроя России от 18.05.2022 г. № 378/пр</t>
  </si>
  <si>
    <t>Лебедки электрические тяговым усилием 19,62 кН (2 т)</t>
  </si>
  <si>
    <t>91.06.07-003</t>
  </si>
  <si>
    <t>ФСЭМ-2022, 91.06.07-003, приказ Минстроя России от 18.05.2022 г. № 378/пр</t>
  </si>
  <si>
    <t>Тали электрические общего назначения, грузоподъемность 1 т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</si>
  <si>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</si>
  <si>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</si>
  <si>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</si>
  <si>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</si>
  <si>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01.7.11.07-0041</t>
  </si>
  <si>
    <t>ФСБЦ-2022, 01.7.11.07-0041, приказ Минстроя России от 18.05.2022 г. № 378/пр</t>
  </si>
  <si>
    <t>Электроды сварочные для сварки низколегированных и углеродистых сталей Э55, диаметр 4 мм</t>
  </si>
  <si>
    <t>1-100-10</t>
  </si>
  <si>
    <t>Средний разряд работы 1,0</t>
  </si>
  <si>
    <t>01.7.20.03-0003</t>
  </si>
  <si>
    <t>ФСБЦ-2022 доп.8, 01.7.20.03-0003, приказ Минстроя России от 14.11.2023 г. № 817/пр</t>
  </si>
  <si>
    <t>Мешки полипропиленовые, размеры 550х1050 мм, грузоподъемность до 50 кг</t>
  </si>
  <si>
    <t>18.1.02.01</t>
  </si>
  <si>
    <t>Задвижки</t>
  </si>
  <si>
    <t>Арматура трубопроводная фланцевая</t>
  </si>
  <si>
    <t>23.8.03.11</t>
  </si>
  <si>
    <t>Фланцы стальные</t>
  </si>
  <si>
    <t>18.5.05.01</t>
  </si>
  <si>
    <t>Грязевики стальные для трубопроводов, фланцевые</t>
  </si>
  <si>
    <t>18.1.10.01</t>
  </si>
  <si>
    <t>Арматура муфтовая</t>
  </si>
  <si>
    <t>18.1.09.06</t>
  </si>
  <si>
    <t>Арматура трубопроводная муфтовая</t>
  </si>
  <si>
    <t>18.2.07.01</t>
  </si>
  <si>
    <t>Трубопроводы с гильзами</t>
  </si>
  <si>
    <t>23.1.02.07</t>
  </si>
  <si>
    <t>Крепления</t>
  </si>
  <si>
    <t>14.4.02.04</t>
  </si>
  <si>
    <t>Краски для внутренних работ масляные готовые к применению</t>
  </si>
  <si>
    <t>12.2.08.03</t>
  </si>
  <si>
    <t>Цилиндры и полуцилиндры теплоизоляционные из минваты на синтетическом связующем</t>
  </si>
  <si>
    <t>421/пр_2020_п.58_пп.б</t>
  </si>
  <si>
    <t>Методика 421/пр (О.П.)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</si>
  <si>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</si>
  <si>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</t>
  </si>
  <si>
    <t>Методика применения сметных норм 571/пр (О.П.)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</si>
  <si>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</si>
  <si>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</si>
  <si>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</si>
  <si>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Цилиндры теплоизоляционные из минеральной ваты на основе базальтовых пород, кашированные армированной алюминиевой фольгой, группа горючести Г1, плотность до 100 кг/м3, теплопроводность при +10/+25 °C не более 0,036/0,039 Вт/(м*К), максимальная температура применения +250 °C, толщина стенки 30 мм, внутренний диаметр 108 мм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</si>
  <si>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</si>
  <si>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</si>
  <si>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</si>
  <si>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</si>
  <si>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</si>
  <si>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</si>
  <si>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</si>
  <si>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</si>
  <si>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</si>
  <si>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</si>
  <si>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</si>
  <si>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</si>
  <si>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</si>
  <si>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</si>
  <si>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</si>
  <si>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</si>
  <si>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</si>
  <si>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</si>
  <si>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</si>
  <si>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</si>
  <si>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</si>
  <si>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</si>
  <si>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</si>
  <si>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</si>
  <si>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</si>
  <si>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</si>
  <si>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</si>
  <si>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</si>
  <si>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</si>
  <si>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</si>
  <si>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</si>
  <si>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</si>
  <si>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</si>
  <si>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</si>
  <si>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</si>
  <si>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</si>
  <si>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</si>
  <si>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</si>
  <si>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</si>
  <si>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</si>
  <si>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</si>
  <si>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</si>
  <si>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I квартал 2026 года</t>
  </si>
  <si>
    <t>Раздел: Работа 1</t>
  </si>
  <si>
    <t>ГЭСНр 65-01-005-09</t>
  </si>
  <si>
    <t>ОТ (ЗТ)</t>
  </si>
  <si>
    <t>ЭМ</t>
  </si>
  <si>
    <t>ОТм(ЗТм) Средний разряд машинистов 4</t>
  </si>
  <si>
    <t>ОТм(ЗТм)</t>
  </si>
  <si>
    <t>М</t>
  </si>
  <si>
    <t>Итого прямые затраты</t>
  </si>
  <si>
    <t>1.1</t>
  </si>
  <si>
    <t>1.2</t>
  </si>
  <si>
    <t>ФОТ</t>
  </si>
  <si>
    <t>НР Внутренние санитарнотехнические работы: смена труб, санприборов, запорной арматуры и другое</t>
  </si>
  <si>
    <t>СП Внутренние санитарнотехнические работы: смена труб, санприборов, запорной арматуры и другое</t>
  </si>
  <si>
    <t>Всего по позиции</t>
  </si>
  <si>
    <t>=</t>
  </si>
  <si>
    <t>ГЭСНр 65-01-003-13</t>
  </si>
  <si>
    <t>ОТм(ЗТм) Средний разряд машинистов 3</t>
  </si>
  <si>
    <t>2.1</t>
  </si>
  <si>
    <t>НР Внутренние санитарнотехнические работы: демонтаж и разборка</t>
  </si>
  <si>
    <t>СП Внутренние санитарнотехнические работы: демонтаж и разборка</t>
  </si>
  <si>
    <t>ГЭСН 16-05-001-03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</si>
  <si>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</si>
  <si>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ОТм(ЗТм) Средний разряд машинистов 6</t>
  </si>
  <si>
    <t>3.1</t>
  </si>
  <si>
    <t>3.2</t>
  </si>
  <si>
    <t>Пр/812-016.0-1;_x000D_
п.25</t>
  </si>
  <si>
    <t>НР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</si>
  <si>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Пр/774-016.0;_x000D_
п.16</t>
  </si>
  <si>
    <t>СП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</si>
  <si>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ГЭСНм 12-12-009-03</t>
  </si>
  <si>
    <t>Демонтаж оборудования, не пригодного для дальнейшего использования (предназначено в лом), без разборки и резки
ЭМ *0,3; М *0; ЗТ *0,3; ЗТм *0,3</t>
  </si>
  <si>
    <t>4.1</t>
  </si>
  <si>
    <t>НР Технологические трубопроводы</t>
  </si>
  <si>
    <t>СП Технологические трубопроводы</t>
  </si>
  <si>
    <t>5.1</t>
  </si>
  <si>
    <t>5.2</t>
  </si>
  <si>
    <t>ГЭСН 16-07-005-02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</si>
  <si>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</si>
  <si>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</si>
  <si>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</si>
  <si>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</si>
  <si>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</si>
  <si>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</si>
  <si>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</si>
  <si>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</si>
  <si>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</si>
  <si>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</si>
  <si>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</si>
  <si>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</si>
  <si>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</si>
  <si>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</si>
  <si>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</si>
  <si>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</si>
  <si>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</si>
  <si>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</si>
  <si>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</si>
  <si>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</si>
  <si>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</si>
  <si>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</si>
  <si>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</si>
  <si>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</si>
  <si>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</si>
  <si>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</si>
  <si>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Работа 2</t>
  </si>
  <si>
    <t>ГЭСНр 65-02-011-01</t>
  </si>
  <si>
    <t>ГЭСН 18-07-001-04</t>
  </si>
  <si>
    <t>8.1</t>
  </si>
  <si>
    <t>Оборудование :_x000D_
Термометр биметаллический А 5000-63 (от 0 до +200 °C)</t>
  </si>
  <si>
    <t>8.2</t>
  </si>
  <si>
    <t>Оборудование :_x000D_
Термометр ртутный, диапазон измерений до 160 °C, в оправе, длина нижней части 104 мм, исполнение угловое</t>
  </si>
  <si>
    <t>ГЭСНр 65-05-003-02</t>
  </si>
  <si>
    <t>ГЭСН 18-07-001-02</t>
  </si>
  <si>
    <t>10.1</t>
  </si>
  <si>
    <t>Оборудование :_x000D_
Манометр для измерения избыточного давления от 0 до 400 кгс/см2, диаметр корпуса 100 мм, класс точности 1,5</t>
  </si>
  <si>
    <t>11.1</t>
  </si>
  <si>
    <t>ГЭСН 16-05-001-02</t>
  </si>
  <si>
    <t>12.1</t>
  </si>
  <si>
    <t>12.2</t>
  </si>
  <si>
    <t>ГЭСНр 65-02-002-02</t>
  </si>
  <si>
    <t>13.1</t>
  </si>
  <si>
    <t>ГЭСН 18-06-002-03</t>
  </si>
  <si>
    <t>14.1</t>
  </si>
  <si>
    <t>ГЭСН 18-06-002-04</t>
  </si>
  <si>
    <t>15.1</t>
  </si>
  <si>
    <t>17.1</t>
  </si>
  <si>
    <t>ГЭСНр 65-01-005-03</t>
  </si>
  <si>
    <t>18.1</t>
  </si>
  <si>
    <t>18.2</t>
  </si>
  <si>
    <t>Раздел: Работа 3</t>
  </si>
  <si>
    <t>ГЭСНр 65-02-007-01</t>
  </si>
  <si>
    <t>ГЭСН 16-07-005-01</t>
  </si>
  <si>
    <t>22.1</t>
  </si>
  <si>
    <t>ГЭСНр 65-01-009-05</t>
  </si>
  <si>
    <t>23.1</t>
  </si>
  <si>
    <t>23.2</t>
  </si>
  <si>
    <t>ГЭСНр 65-01-009-09</t>
  </si>
  <si>
    <t>24.1</t>
  </si>
  <si>
    <t>24.2</t>
  </si>
  <si>
    <t>ГЭСН 13-03-002-04</t>
  </si>
  <si>
    <r>
      <t>Огрунтовка металлических поверхностей за один раз: грунтовкой ГФ-021</t>
    </r>
    <r>
      <rPr>
        <i/>
        <sz val="10"/>
        <rFont val="Arial"/>
        <family val="2"/>
        <charset val="204"/>
      </rPr>
      <t xml:space="preserve">
Поправки к: 
М *2;   
ЭМ *1,25*2;   
ЗТ *1,15*2;   
ЗТм *1,25*2;   
НР *0,9;   
СП *0,85</t>
    </r>
  </si>
  <si>
    <t>ОТм(ЗТм) Средний разряд машинистов 5</t>
  </si>
  <si>
    <t>Пр/812-013.0-1;_x000D_
п.25</t>
  </si>
  <si>
    <t>НР Защита строительных конструкций и оборудования от коррозии</t>
  </si>
  <si>
    <t>Пр/774-013.0;_x000D_
п.16</t>
  </si>
  <si>
    <t>СП Защита строительных конструкций и оборудования от коррозии</t>
  </si>
  <si>
    <t>ГЭСН 15-04-030-03</t>
  </si>
  <si>
    <t>26.1</t>
  </si>
  <si>
    <t>Пр/812-015.0-1;_x000D_
п.25</t>
  </si>
  <si>
    <t>НР Отделочные работы</t>
  </si>
  <si>
    <t>Пр/774-015.0;_x000D_
п.16</t>
  </si>
  <si>
    <t>СП Отделочные работы</t>
  </si>
  <si>
    <t>ГЭСНр 66-01-024-02</t>
  </si>
  <si>
    <t>НР Наружные инженерные сети: демонтаж, разборка, очистка</t>
  </si>
  <si>
    <t>СП Наружные инженерные сети: демонтаж, разборка, очистка</t>
  </si>
  <si>
    <t>ГЭСН 26-01-003-01</t>
  </si>
  <si>
    <t>28.1</t>
  </si>
  <si>
    <t>Пр/812-020.0-1;_x000D_
п.25</t>
  </si>
  <si>
    <t>НР Теплоизоляционные работы</t>
  </si>
  <si>
    <t>Пр/774-020.0;_x000D_
п.16</t>
  </si>
  <si>
    <t>СП Теплоизоляционные работы</t>
  </si>
  <si>
    <t>ГЭСНр 65-02-012-02</t>
  </si>
  <si>
    <t>ГЭСНм 12-09-001-01</t>
  </si>
  <si>
    <t>30.1</t>
  </si>
  <si>
    <t>31.1</t>
  </si>
  <si>
    <t>Раздел: Работа 4</t>
  </si>
  <si>
    <t>ГЭСНр 69-01-015-01</t>
  </si>
  <si>
    <t>НР Прочие ремонтно-строительные работы</t>
  </si>
  <si>
    <t>СП Прочие ремонтно-строительные работы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</si>
  <si>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</si>
  <si>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</si>
  <si>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</si>
  <si>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</si>
  <si>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</si>
  <si>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</si>
  <si>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</si>
  <si>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</si>
  <si>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</si>
  <si>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</si>
  <si>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</si>
  <si>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</si>
  <si>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</si>
  <si>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</si>
  <si>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</si>
  <si>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</si>
  <si>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</si>
  <si>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</si>
  <si>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</si>
  <si>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</si>
  <si>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"УТВЕРЖДАЮ"</t>
  </si>
  <si>
    <t>___________________________</t>
  </si>
  <si>
    <t>" ___ " ___________ 20 ___ г.</t>
  </si>
  <si>
    <t>№ в ЛСР</t>
  </si>
  <si>
    <t>Ссылка на чертежи, спецификации</t>
  </si>
  <si>
    <t>Формула расчета, расчет объемов работ и расхода материалов</t>
  </si>
  <si>
    <t>Примечание</t>
  </si>
  <si>
    <t>Главный инженер проекта _________________</t>
  </si>
  <si>
    <t>Составил _________________</t>
  </si>
  <si>
    <t xml:space="preserve">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</si>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</sst>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;[Red]\-\ #,##0.00"/>
    <numFmt numFmtId="166" formatCode="#,##0.00#####;[Red]\-\ #,##0.00#####"/>
  </numFmts>
  <fonts count="29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11"/>
      <color rgb="FF821E82"/>
      <name val="Arial"/>
      <family val="2"/>
      <charset val="204"/>
    </font>
    <font>
      <i/>
      <sz val="11"/>
      <color rgb="FF821E82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0" xfId="0" applyNumberFormat="1" applyFont="1" applyAlignment="1"/>
    <xf numFmtId="0" fontId="11" fillId="0" borderId="2" xfId="0" applyNumberFormat="1" applyFont="1" applyBorder="1" applyAlignment="1"/>
    <xf numFmtId="0" fontId="17" fillId="0" borderId="0" xfId="0" applyNumberFormat="1" applyFont="1" applyAlignment="1"/>
    <xf numFmtId="0" fontId="17" fillId="0" borderId="0" xfId="0" applyNumberFormat="1" applyFont="1" applyAlignment="1">
      <alignment wrapText="1"/>
    </xf>
    <xf numFmtId="0" fontId="18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7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7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21" fillId="0" borderId="0" xfId="0" applyFont="1"/>
    <xf numFmtId="0" fontId="21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165" fontId="21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6" fontId="21" fillId="0" borderId="0" xfId="0" applyNumberFormat="1" applyFont="1" applyAlignment="1">
      <alignment horizontal="right" vertical="top"/>
    </xf>
    <xf numFmtId="165" fontId="23" fillId="0" borderId="0" xfId="0" applyNumberFormat="1" applyFont="1" applyAlignment="1">
      <alignment horizontal="right" vertical="top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/>
    </xf>
    <xf numFmtId="165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165" fontId="0" fillId="0" borderId="0" xfId="0" applyNumberFormat="1"/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24" fillId="0" borderId="0" xfId="0" quotePrefix="1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/>
    </xf>
    <xf numFmtId="0" fontId="25" fillId="0" borderId="0" xfId="0" quotePrefix="1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top" wrapText="1"/>
    </xf>
    <xf numFmtId="165" fontId="25" fillId="0" borderId="0" xfId="0" applyNumberFormat="1" applyFont="1" applyAlignment="1">
      <alignment horizontal="right" vertical="top"/>
    </xf>
    <xf numFmtId="0" fontId="21" fillId="0" borderId="1" xfId="0" quotePrefix="1" applyFont="1" applyBorder="1" applyAlignment="1">
      <alignment horizontal="left" vertical="top" wrapText="1"/>
    </xf>
    <xf numFmtId="0" fontId="23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3" fillId="0" borderId="2" xfId="0" applyNumberFormat="1" applyFont="1" applyBorder="1" applyAlignment="1">
      <alignment horizontal="right" vertical="top"/>
    </xf>
    <xf numFmtId="0" fontId="23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left"/>
    </xf>
    <xf numFmtId="0" fontId="17" fillId="0" borderId="1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Border="1"/>
    <xf numFmtId="0" fontId="23" fillId="0" borderId="0" xfId="0" applyFont="1" applyBorder="1" applyAlignment="1">
      <alignment horizontal="left"/>
    </xf>
    <xf numFmtId="0" fontId="1" fillId="0" borderId="0" xfId="0" applyFont="1" applyAlignment="1">
      <alignment wrapText="1"/>
    </xf>
    <xf numFmtId="4" fontId="21" fillId="0" borderId="0" xfId="0" applyNumberFormat="1" applyFont="1" applyAlignment="1">
      <alignment vertical="top"/>
    </xf>
    <xf numFmtId="4" fontId="21" fillId="0" borderId="0" xfId="0" applyNumberFormat="1" applyFont="1"/>
    <xf numFmtId="0" fontId="23" fillId="0" borderId="0" xfId="0" applyFont="1"/>
    <xf numFmtId="4" fontId="23" fillId="0" borderId="0" xfId="0" applyNumberFormat="1" applyFont="1"/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top" wrapText="1"/>
    </xf>
    <xf numFmtId="0" fontId="14" fillId="0" borderId="0" xfId="0" applyNumberFormat="1" applyFont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10" fillId="0" borderId="1" xfId="0" applyNumberFormat="1" applyFont="1" applyBorder="1" applyAlignment="1">
      <alignment horizontal="left" wrapText="1"/>
    </xf>
    <xf numFmtId="0" fontId="14" fillId="0" borderId="1" xfId="0" applyNumberFormat="1" applyFont="1" applyBorder="1" applyAlignment="1">
      <alignment horizont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24" fillId="0" borderId="0" xfId="0" applyFont="1" applyAlignment="1">
      <alignment vertical="top" wrapText="1"/>
    </xf>
    <xf numFmtId="165" fontId="23" fillId="0" borderId="0" xfId="0" applyNumberFormat="1" applyFont="1" applyAlignment="1">
      <alignment horizontal="left" vertical="top"/>
    </xf>
    <xf numFmtId="165" fontId="23" fillId="0" borderId="2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3" fillId="0" borderId="2" xfId="0" applyFont="1" applyBorder="1" applyAlignment="1">
      <alignment horizontal="left" vertical="top" wrapText="1"/>
    </xf>
    <xf numFmtId="0" fontId="27" fillId="0" borderId="2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wrapText="1"/>
    </xf>
    <xf numFmtId="0" fontId="23" fillId="0" borderId="0" xfId="0" applyFont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876"/>
  <sheetViews>
    <sheetView tabSelected="1" zoomScaleNormal="100" workbookViewId="0">
      <selection activeCell="J865" sqref="J865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1" width="0" hidden="1" customWidth="1"/>
    <col min="92" max="92" width="198.7109375" hidden="1" customWidth="1"/>
    <col min="93" max="93" width="108.7109375" hidden="1" customWidth="1"/>
    <col min="94" max="100" width="0" hidden="1" customWidth="1"/>
    <col min="101" max="101" width="173.7109375" hidden="1" customWidth="1"/>
  </cols>
  <sheetData>
    <row r="1" spans="1:93" x14ac:dyDescent="0.2">
      <c r="A1" s="14" t="str">
        <f>Source!B1</f>
        <v>Smeta.RU  (495) 974-1589</v>
      </c>
    </row>
    <row r="2" spans="1:93" ht="12.75" customHeight="1" x14ac:dyDescent="0.2">
      <c r="A2" s="108" t="s">
        <v>653</v>
      </c>
      <c r="B2" s="108"/>
      <c r="C2" s="108"/>
      <c r="D2" s="108"/>
      <c r="E2" s="108"/>
      <c r="F2" s="109" t="s">
        <v>692</v>
      </c>
      <c r="G2" s="109"/>
      <c r="H2" s="109"/>
      <c r="I2" s="109"/>
      <c r="J2" s="109"/>
      <c r="K2" s="109"/>
      <c r="L2" s="109"/>
    </row>
    <row r="3" spans="1:93" ht="13.15" customHeight="1" x14ac:dyDescent="0.2">
      <c r="A3" s="16"/>
      <c r="B3" s="16"/>
      <c r="C3" s="16"/>
      <c r="D3" s="16"/>
      <c r="E3" s="16"/>
      <c r="F3" s="17"/>
      <c r="G3" s="17"/>
      <c r="H3" s="17"/>
      <c r="I3" s="17"/>
      <c r="J3" s="17"/>
      <c r="K3" s="17"/>
      <c r="L3" s="17"/>
    </row>
    <row r="4" spans="1:93" ht="25.5" x14ac:dyDescent="0.2">
      <c r="A4" s="108" t="s">
        <v>654</v>
      </c>
      <c r="B4" s="108"/>
      <c r="C4" s="108"/>
      <c r="D4" s="108"/>
      <c r="E4" s="108"/>
      <c r="F4" s="109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109"/>
      <c r="H4" s="109"/>
      <c r="I4" s="109"/>
      <c r="J4" s="109"/>
      <c r="K4" s="109"/>
      <c r="L4" s="109"/>
      <c r="CO4" s="42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3.15" customHeight="1" x14ac:dyDescent="0.2">
      <c r="A5" s="16"/>
      <c r="B5" s="16"/>
      <c r="C5" s="16"/>
      <c r="D5" s="16"/>
      <c r="E5" s="16"/>
      <c r="F5" s="17"/>
      <c r="G5" s="17"/>
      <c r="H5" s="17"/>
      <c r="I5" s="17"/>
      <c r="J5" s="17"/>
      <c r="K5" s="17"/>
      <c r="L5" s="17"/>
    </row>
    <row r="6" spans="1:93" ht="140.25" x14ac:dyDescent="0.2">
      <c r="A6" s="108" t="s">
        <v>655</v>
      </c>
      <c r="B6" s="108"/>
      <c r="C6" s="108"/>
      <c r="D6" s="108"/>
      <c r="E6" s="108"/>
      <c r="F6" s="109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109"/>
      <c r="H6" s="109"/>
      <c r="I6" s="109"/>
      <c r="J6" s="109"/>
      <c r="K6" s="109"/>
      <c r="L6" s="109"/>
      <c r="CO6" s="42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3.15" customHeight="1" x14ac:dyDescent="0.2">
      <c r="A7" s="16"/>
      <c r="B7" s="16"/>
      <c r="C7" s="16"/>
      <c r="D7" s="16"/>
      <c r="E7" s="16"/>
      <c r="F7" s="17"/>
      <c r="G7" s="17"/>
      <c r="H7" s="17"/>
      <c r="I7" s="17"/>
      <c r="J7" s="17"/>
      <c r="K7" s="17"/>
      <c r="L7" s="17"/>
    </row>
    <row r="8" spans="1:93" ht="76.5" customHeight="1" x14ac:dyDescent="0.2">
      <c r="A8" s="108" t="s">
        <v>656</v>
      </c>
      <c r="B8" s="108"/>
      <c r="C8" s="108"/>
      <c r="D8" s="108"/>
      <c r="E8" s="108"/>
      <c r="F8" s="109" t="s">
        <v>444</v>
      </c>
      <c r="G8" s="109"/>
      <c r="H8" s="109"/>
      <c r="I8" s="109"/>
      <c r="J8" s="109"/>
      <c r="K8" s="109"/>
      <c r="L8" s="109"/>
    </row>
    <row r="9" spans="1:93" ht="13.15" customHeight="1" x14ac:dyDescent="0.2">
      <c r="A9" s="16"/>
      <c r="B9" s="16"/>
      <c r="C9" s="16"/>
      <c r="D9" s="16"/>
      <c r="E9" s="16"/>
      <c r="F9" s="17"/>
      <c r="G9" s="17"/>
      <c r="H9" s="17"/>
      <c r="I9" s="17"/>
      <c r="J9" s="17"/>
      <c r="K9" s="17"/>
      <c r="L9" s="17"/>
    </row>
    <row r="10" spans="1:93" ht="38.25" customHeight="1" x14ac:dyDescent="0.2">
      <c r="A10" s="108" t="s">
        <v>657</v>
      </c>
      <c r="B10" s="108"/>
      <c r="C10" s="108"/>
      <c r="D10" s="108"/>
      <c r="E10" s="108"/>
      <c r="F10" s="109" t="s">
        <v>445</v>
      </c>
      <c r="G10" s="109"/>
      <c r="H10" s="109"/>
      <c r="I10" s="109"/>
      <c r="J10" s="109"/>
      <c r="K10" s="109"/>
      <c r="L10" s="109"/>
    </row>
    <row r="11" spans="1:93" ht="13.15" customHeight="1" x14ac:dyDescent="0.2">
      <c r="A11" s="18"/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</row>
    <row r="12" spans="1:93" ht="13.15" customHeight="1" x14ac:dyDescent="0.2">
      <c r="A12" s="108" t="s">
        <v>658</v>
      </c>
      <c r="B12" s="108"/>
      <c r="C12" s="108"/>
      <c r="D12" s="108"/>
      <c r="E12" s="108"/>
      <c r="F12" s="109" t="s">
        <v>693</v>
      </c>
      <c r="G12" s="109"/>
      <c r="H12" s="109"/>
      <c r="I12" s="109"/>
      <c r="J12" s="109"/>
      <c r="K12" s="109"/>
      <c r="L12" s="109"/>
    </row>
    <row r="13" spans="1:93" ht="12.75" customHeight="1" x14ac:dyDescent="0.2">
      <c r="A13" s="18"/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</row>
    <row r="14" spans="1:93" ht="12.75" customHeight="1" x14ac:dyDescent="0.2">
      <c r="A14" s="108" t="s">
        <v>659</v>
      </c>
      <c r="B14" s="108"/>
      <c r="C14" s="108"/>
      <c r="D14" s="108"/>
      <c r="E14" s="108"/>
      <c r="F14" s="109" t="str">
        <f>IF(Source!CZ12 &lt;&gt; "", Source!CZ12, "")</f>
        <v/>
      </c>
      <c r="G14" s="109"/>
      <c r="H14" s="109"/>
      <c r="I14" s="109"/>
      <c r="J14" s="109"/>
      <c r="K14" s="109"/>
      <c r="L14" s="109"/>
    </row>
    <row r="15" spans="1:93" ht="12.75" customHeight="1" x14ac:dyDescent="0.2">
      <c r="A15" s="18"/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7"/>
    </row>
    <row r="16" spans="1:93" ht="12.75" customHeight="1" x14ac:dyDescent="0.2">
      <c r="A16" s="108" t="s">
        <v>660</v>
      </c>
      <c r="B16" s="108"/>
      <c r="C16" s="108"/>
      <c r="D16" s="108"/>
      <c r="E16" s="108"/>
      <c r="F16" s="109" t="str">
        <f>IF(Source!DA12 &lt;&gt; "", Source!DA12, "")</f>
        <v/>
      </c>
      <c r="G16" s="109"/>
      <c r="H16" s="109"/>
      <c r="I16" s="109"/>
      <c r="J16" s="109"/>
      <c r="K16" s="109"/>
      <c r="L16" s="109"/>
    </row>
    <row r="17" spans="1:92" ht="12.75" customHeight="1" x14ac:dyDescent="0.2">
      <c r="A17" s="20"/>
      <c r="B17" s="20"/>
      <c r="C17" s="20"/>
      <c r="D17" s="20"/>
      <c r="E17" s="20"/>
      <c r="F17" s="21"/>
      <c r="G17" s="21"/>
      <c r="H17" s="21"/>
      <c r="I17" s="21"/>
      <c r="J17" s="21"/>
      <c r="K17" s="21"/>
      <c r="L17" s="21"/>
    </row>
    <row r="18" spans="1:92" ht="12.7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92" ht="15.75" customHeight="1" x14ac:dyDescent="0.25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</row>
    <row r="20" spans="1:92" ht="14.25" customHeight="1" x14ac:dyDescent="0.2">
      <c r="A20" s="111" t="s">
        <v>661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</row>
    <row r="21" spans="1:92" ht="13.9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92" ht="46.15" customHeight="1" x14ac:dyDescent="0.25">
      <c r="A22" s="110" t="str">
        <f>IF(Source!G12&lt;&gt;"Новый объект", Source!G12, "")</f>
        <v xml:space="preserve">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CN22" s="43" t="str">
        <f>IF(Source!G12&lt;&gt;"Новый объект", Source!G12, "")</f>
        <v xml:space="preserve">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</row>
    <row r="23" spans="1:92" ht="14.25" customHeight="1" x14ac:dyDescent="0.2">
      <c r="A23" s="111" t="s">
        <v>662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92" ht="14.25" customHeight="1" x14ac:dyDescent="0.2">
      <c r="A24" s="22"/>
      <c r="B24" s="22"/>
      <c r="C24" s="22"/>
      <c r="D24" s="22"/>
      <c r="E24" s="22"/>
      <c r="F24" s="23"/>
      <c r="G24" s="23"/>
      <c r="H24" s="23"/>
      <c r="I24" s="23"/>
      <c r="J24" s="23"/>
      <c r="K24" s="23"/>
      <c r="L24" s="23"/>
    </row>
    <row r="25" spans="1:92" ht="15.75" customHeight="1" x14ac:dyDescent="0.25">
      <c r="A25" s="112" t="str">
        <f>CONCATENATE( "ЛОКАЛЬНАЯ СМЕТА № ", Source!F20, " ",Source!CM20)</f>
        <v xml:space="preserve">ЛОКАЛЬНАЯ СМЕТА №  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</row>
    <row r="26" spans="1:92" ht="13.9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4"/>
    </row>
    <row r="27" spans="1:92" ht="43.9" customHeight="1" x14ac:dyDescent="0.25">
      <c r="A27" s="113" t="str">
        <f>A22</f>
        <v xml:space="preserve">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CN27" s="44" t="str">
        <f>IF(Source!G20&lt;&gt;"Новая локальная смета", Source!G20, "")</f>
        <v>Замена элементов систем водоснабжения, отопления и канализации с последующими ремонтно-восстановительными работами</v>
      </c>
    </row>
    <row r="28" spans="1:92" ht="14.25" customHeight="1" x14ac:dyDescent="0.2">
      <c r="A28" s="111" t="s">
        <v>663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</row>
    <row r="29" spans="1:92" ht="13.9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92" ht="13.9" customHeight="1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92" ht="13.15" customHeight="1" x14ac:dyDescent="0.2">
      <c r="A31" s="15" t="s">
        <v>664</v>
      </c>
      <c r="B31" s="15"/>
      <c r="C31" s="27" t="s">
        <v>694</v>
      </c>
      <c r="D31" s="15" t="s">
        <v>665</v>
      </c>
      <c r="E31" s="15"/>
      <c r="F31" s="15"/>
      <c r="G31" s="15"/>
      <c r="H31" s="15"/>
      <c r="I31" s="15"/>
      <c r="J31" s="15"/>
      <c r="K31" s="15"/>
      <c r="L31" s="15"/>
    </row>
    <row r="32" spans="1:92" ht="13.15" customHeight="1" x14ac:dyDescent="0.2">
      <c r="A32" s="15"/>
      <c r="B32" s="15"/>
      <c r="C32" s="28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3.15" customHeight="1" x14ac:dyDescent="0.2">
      <c r="A33" s="15" t="s">
        <v>666</v>
      </c>
      <c r="B33" s="15"/>
      <c r="C33" s="114"/>
      <c r="D33" s="114"/>
      <c r="E33" s="114"/>
      <c r="F33" s="114"/>
      <c r="G33" s="114"/>
      <c r="H33" s="114"/>
      <c r="I33" s="114"/>
      <c r="J33" s="114"/>
      <c r="K33" s="114"/>
      <c r="L33" s="114"/>
    </row>
    <row r="34" spans="1:12" ht="12.75" customHeight="1" x14ac:dyDescent="0.2">
      <c r="A34" s="29"/>
      <c r="B34" s="30"/>
      <c r="C34" s="111" t="s">
        <v>667</v>
      </c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 ht="13.9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3.9" customHeight="1" x14ac:dyDescent="0.2">
      <c r="A36" s="31" t="s">
        <v>695</v>
      </c>
      <c r="B36" s="22"/>
      <c r="C36" s="22"/>
      <c r="D36" s="32"/>
      <c r="E36" s="22"/>
      <c r="F36" s="22"/>
      <c r="G36" s="22"/>
      <c r="H36" s="22"/>
      <c r="I36" s="22"/>
      <c r="J36" s="22"/>
      <c r="K36" s="22"/>
      <c r="L36" s="22"/>
    </row>
    <row r="37" spans="1:12" ht="13.9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13.9" customHeight="1" x14ac:dyDescent="0.2">
      <c r="A38" s="31" t="s">
        <v>668</v>
      </c>
      <c r="B38" s="22"/>
      <c r="C38" s="128">
        <f>(C41+C42+C43+C44)*1.22</f>
        <v>589.6504000000001</v>
      </c>
      <c r="D38" s="129"/>
      <c r="E38" s="15" t="s">
        <v>669</v>
      </c>
      <c r="F38" s="20"/>
      <c r="G38" s="20"/>
      <c r="H38" s="20"/>
      <c r="I38" s="20"/>
      <c r="J38" s="20"/>
      <c r="K38" s="20"/>
      <c r="L38" s="22"/>
    </row>
    <row r="39" spans="1:12" ht="13.9" customHeight="1" x14ac:dyDescent="0.2">
      <c r="A39" s="31"/>
      <c r="B39" s="22"/>
      <c r="C39" s="81"/>
      <c r="D39" s="33"/>
      <c r="E39" s="15"/>
      <c r="F39" s="20"/>
      <c r="G39" s="15" t="s">
        <v>670</v>
      </c>
      <c r="H39" s="22"/>
      <c r="I39" s="15"/>
      <c r="J39" s="15"/>
      <c r="K39" s="83">
        <f>ROUND(SUM(AR52:AR869)/1000, 2)</f>
        <v>127.96</v>
      </c>
      <c r="L39" s="15" t="s">
        <v>669</v>
      </c>
    </row>
    <row r="40" spans="1:12" ht="13.9" customHeight="1" x14ac:dyDescent="0.2">
      <c r="A40" s="22"/>
      <c r="B40" s="34" t="s">
        <v>671</v>
      </c>
      <c r="C40" s="82"/>
      <c r="D40" s="22"/>
      <c r="E40" s="15"/>
      <c r="F40" s="20"/>
      <c r="G40" s="15" t="s">
        <v>672</v>
      </c>
      <c r="H40" s="22"/>
      <c r="I40" s="15"/>
      <c r="J40" s="15"/>
      <c r="K40" s="83">
        <f>ROUND(SUM(AT52:AT869)/1000, 2)</f>
        <v>0.67</v>
      </c>
      <c r="L40" s="15" t="s">
        <v>669</v>
      </c>
    </row>
    <row r="41" spans="1:12" ht="13.9" customHeight="1" x14ac:dyDescent="0.2">
      <c r="A41" s="22"/>
      <c r="B41" s="31" t="s">
        <v>673</v>
      </c>
      <c r="C41" s="128">
        <f>ROUND((Source!F245)/1000, 2)</f>
        <v>358</v>
      </c>
      <c r="D41" s="129"/>
      <c r="E41" s="15" t="s">
        <v>669</v>
      </c>
      <c r="F41" s="20"/>
      <c r="G41" s="15" t="s">
        <v>674</v>
      </c>
      <c r="H41" s="22"/>
      <c r="I41" s="15"/>
      <c r="J41" s="33"/>
      <c r="K41" s="84">
        <f>Source!F250</f>
        <v>179.30515220000001</v>
      </c>
      <c r="L41" s="15" t="s">
        <v>449</v>
      </c>
    </row>
    <row r="42" spans="1:12" ht="13.9" customHeight="1" x14ac:dyDescent="0.2">
      <c r="A42" s="22"/>
      <c r="B42" s="31" t="s">
        <v>675</v>
      </c>
      <c r="C42" s="128">
        <f>ROUND((Source!F246)/1000, 2)</f>
        <v>87.04</v>
      </c>
      <c r="D42" s="129"/>
      <c r="E42" s="15" t="s">
        <v>669</v>
      </c>
      <c r="F42" s="20"/>
      <c r="G42" s="15" t="s">
        <v>676</v>
      </c>
      <c r="H42" s="22"/>
      <c r="I42" s="15"/>
      <c r="J42" s="35"/>
      <c r="K42" s="84">
        <f>Source!F251</f>
        <v>0.84961500000000001</v>
      </c>
      <c r="L42" s="15" t="s">
        <v>449</v>
      </c>
    </row>
    <row r="43" spans="1:12" ht="13.9" customHeight="1" x14ac:dyDescent="0.2">
      <c r="A43" s="22"/>
      <c r="B43" s="31" t="s">
        <v>677</v>
      </c>
      <c r="C43" s="128">
        <f>ROUND((Source!F237)/1000, 2)</f>
        <v>38.28</v>
      </c>
      <c r="D43" s="129"/>
      <c r="E43" s="15" t="s">
        <v>669</v>
      </c>
      <c r="F43" s="20"/>
      <c r="G43" s="15"/>
      <c r="H43" s="15"/>
      <c r="I43" s="15"/>
      <c r="J43" s="15"/>
      <c r="K43" s="20"/>
      <c r="L43" s="15"/>
    </row>
    <row r="44" spans="1:12" ht="13.9" customHeight="1" x14ac:dyDescent="0.2">
      <c r="A44" s="22"/>
      <c r="B44" s="31" t="s">
        <v>678</v>
      </c>
      <c r="C44" s="128">
        <f>ROUND((Source!F247)/1000, 2)</f>
        <v>0</v>
      </c>
      <c r="D44" s="129"/>
      <c r="E44" s="15" t="s">
        <v>669</v>
      </c>
      <c r="F44" s="20"/>
      <c r="G44" s="15"/>
      <c r="H44" s="15"/>
      <c r="I44" s="15"/>
      <c r="J44" s="15"/>
      <c r="K44" s="20"/>
      <c r="L44" s="15"/>
    </row>
    <row r="45" spans="1:12" ht="13.9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2" ht="13.15" customHeight="1" x14ac:dyDescent="0.2">
      <c r="A46" s="116" t="s">
        <v>679</v>
      </c>
      <c r="B46" s="116" t="s">
        <v>680</v>
      </c>
      <c r="C46" s="116" t="s">
        <v>681</v>
      </c>
      <c r="D46" s="116" t="s">
        <v>682</v>
      </c>
      <c r="E46" s="119" t="s">
        <v>683</v>
      </c>
      <c r="F46" s="120"/>
      <c r="G46" s="121"/>
      <c r="H46" s="119" t="s">
        <v>684</v>
      </c>
      <c r="I46" s="120"/>
      <c r="J46" s="120"/>
      <c r="K46" s="120"/>
      <c r="L46" s="121"/>
    </row>
    <row r="47" spans="1:12" ht="13.15" customHeight="1" x14ac:dyDescent="0.2">
      <c r="A47" s="117"/>
      <c r="B47" s="117"/>
      <c r="C47" s="117"/>
      <c r="D47" s="117"/>
      <c r="E47" s="122"/>
      <c r="F47" s="123"/>
      <c r="G47" s="124"/>
      <c r="H47" s="122"/>
      <c r="I47" s="123"/>
      <c r="J47" s="123"/>
      <c r="K47" s="123"/>
      <c r="L47" s="124"/>
    </row>
    <row r="48" spans="1:12" ht="13.15" customHeight="1" x14ac:dyDescent="0.2">
      <c r="A48" s="117"/>
      <c r="B48" s="117"/>
      <c r="C48" s="117"/>
      <c r="D48" s="117"/>
      <c r="E48" s="122"/>
      <c r="F48" s="123"/>
      <c r="G48" s="124"/>
      <c r="H48" s="122"/>
      <c r="I48" s="123"/>
      <c r="J48" s="123"/>
      <c r="K48" s="123"/>
      <c r="L48" s="124"/>
    </row>
    <row r="49" spans="1:83" ht="13.15" customHeight="1" x14ac:dyDescent="0.2">
      <c r="A49" s="117"/>
      <c r="B49" s="117"/>
      <c r="C49" s="117"/>
      <c r="D49" s="117"/>
      <c r="E49" s="125"/>
      <c r="F49" s="126"/>
      <c r="G49" s="127"/>
      <c r="H49" s="125"/>
      <c r="I49" s="126"/>
      <c r="J49" s="126"/>
      <c r="K49" s="126"/>
      <c r="L49" s="127"/>
    </row>
    <row r="50" spans="1:83" ht="52.9" customHeight="1" x14ac:dyDescent="0.2">
      <c r="A50" s="118"/>
      <c r="B50" s="118"/>
      <c r="C50" s="118"/>
      <c r="D50" s="118"/>
      <c r="E50" s="37" t="s">
        <v>685</v>
      </c>
      <c r="F50" s="37" t="s">
        <v>686</v>
      </c>
      <c r="G50" s="38" t="s">
        <v>687</v>
      </c>
      <c r="H50" s="37" t="s">
        <v>688</v>
      </c>
      <c r="I50" s="37" t="s">
        <v>689</v>
      </c>
      <c r="J50" s="37" t="s">
        <v>690</v>
      </c>
      <c r="K50" s="37" t="s">
        <v>686</v>
      </c>
      <c r="L50" s="37" t="s">
        <v>691</v>
      </c>
    </row>
    <row r="51" spans="1:83" ht="13.9" customHeight="1" x14ac:dyDescent="0.2">
      <c r="A51" s="39">
        <v>1</v>
      </c>
      <c r="B51" s="39">
        <v>2</v>
      </c>
      <c r="C51" s="39">
        <v>3</v>
      </c>
      <c r="D51" s="39">
        <v>4</v>
      </c>
      <c r="E51" s="39">
        <v>5</v>
      </c>
      <c r="F51" s="39">
        <v>6</v>
      </c>
      <c r="G51" s="39">
        <v>7</v>
      </c>
      <c r="H51" s="39">
        <v>8</v>
      </c>
      <c r="I51" s="39">
        <v>9</v>
      </c>
      <c r="J51" s="39">
        <v>10</v>
      </c>
      <c r="K51" s="41">
        <v>11</v>
      </c>
      <c r="L51" s="41">
        <v>12</v>
      </c>
    </row>
    <row r="53" spans="1:83" ht="16.5" x14ac:dyDescent="0.2">
      <c r="A53" s="133" t="s">
        <v>696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</row>
    <row r="54" spans="1:83" ht="28.5" x14ac:dyDescent="0.2">
      <c r="A54" s="46" t="s">
        <v>16</v>
      </c>
      <c r="B54" s="48" t="s">
        <v>697</v>
      </c>
      <c r="C54" s="48" t="str">
        <f>Source!G28</f>
        <v>Смена задвижек диаметром: 100 мм</v>
      </c>
      <c r="D54" s="49" t="str">
        <f>Source!H28</f>
        <v>100 ШТ</v>
      </c>
      <c r="E54" s="50">
        <f>Source!K28</f>
        <v>0.01</v>
      </c>
      <c r="F54" s="50"/>
      <c r="G54" s="50">
        <f>Source!I28</f>
        <v>0.01</v>
      </c>
      <c r="H54" s="52"/>
      <c r="I54" s="51"/>
      <c r="J54" s="52"/>
      <c r="K54" s="51"/>
      <c r="L54" s="52"/>
    </row>
    <row r="55" spans="1:83" x14ac:dyDescent="0.2">
      <c r="C55" s="53" t="str">
        <f>"Объем: "&amp;Source!I28&amp;"=1/"&amp;"100"</f>
        <v>Объем: 0,01=1/100</v>
      </c>
    </row>
    <row r="56" spans="1:83" ht="15" x14ac:dyDescent="0.2">
      <c r="A56" s="47"/>
      <c r="B56" s="50">
        <v>1</v>
      </c>
      <c r="C56" s="47" t="s">
        <v>698</v>
      </c>
      <c r="D56" s="49" t="s">
        <v>449</v>
      </c>
      <c r="E56" s="54"/>
      <c r="F56" s="50"/>
      <c r="G56" s="50">
        <f>Source!U28</f>
        <v>3.08</v>
      </c>
      <c r="H56" s="50"/>
      <c r="I56" s="50"/>
      <c r="J56" s="50"/>
      <c r="K56" s="50"/>
      <c r="L56" s="55">
        <f>SUM(L57:L57)-SUMIF(CE57:CE57, 1, L57:L57)</f>
        <v>2099.42</v>
      </c>
    </row>
    <row r="57" spans="1:83" ht="14.25" x14ac:dyDescent="0.2">
      <c r="A57" s="48"/>
      <c r="B57" s="48" t="s">
        <v>447</v>
      </c>
      <c r="C57" s="48" t="s">
        <v>448</v>
      </c>
      <c r="D57" s="49" t="s">
        <v>449</v>
      </c>
      <c r="E57" s="50">
        <v>308</v>
      </c>
      <c r="F57" s="50"/>
      <c r="G57" s="50">
        <f>SmtRes!CX1</f>
        <v>3.08</v>
      </c>
      <c r="H57" s="52"/>
      <c r="I57" s="51"/>
      <c r="J57" s="52">
        <f>SmtRes!CZ1</f>
        <v>681.63</v>
      </c>
      <c r="K57" s="51"/>
      <c r="L57" s="52">
        <f>SmtRes!DI1</f>
        <v>2099.42</v>
      </c>
    </row>
    <row r="58" spans="1:83" ht="15" x14ac:dyDescent="0.2">
      <c r="A58" s="47"/>
      <c r="B58" s="50">
        <v>2</v>
      </c>
      <c r="C58" s="47" t="s">
        <v>699</v>
      </c>
      <c r="D58" s="49"/>
      <c r="E58" s="54"/>
      <c r="F58" s="50"/>
      <c r="G58" s="50"/>
      <c r="H58" s="50"/>
      <c r="I58" s="50"/>
      <c r="J58" s="50"/>
      <c r="K58" s="50"/>
      <c r="L58" s="55">
        <f>SUM(L59:L61)-SUMIF(CE59:CE61, 1, L59:L61)</f>
        <v>27.019999999999996</v>
      </c>
    </row>
    <row r="59" spans="1:83" ht="15" x14ac:dyDescent="0.2">
      <c r="A59" s="47"/>
      <c r="B59" s="50"/>
      <c r="C59" s="47" t="s">
        <v>701</v>
      </c>
      <c r="D59" s="49" t="s">
        <v>449</v>
      </c>
      <c r="E59" s="54"/>
      <c r="F59" s="50"/>
      <c r="G59" s="50">
        <f>Source!V28</f>
        <v>4.2000000000000003E-2</v>
      </c>
      <c r="H59" s="50"/>
      <c r="I59" s="50"/>
      <c r="J59" s="50"/>
      <c r="K59" s="50"/>
      <c r="L59" s="55">
        <f>SUMIF(CE60:CE61, 1, L60:L61)</f>
        <v>30.33</v>
      </c>
      <c r="CE59">
        <v>1</v>
      </c>
    </row>
    <row r="60" spans="1:83" ht="28.5" x14ac:dyDescent="0.2">
      <c r="A60" s="48"/>
      <c r="B60" s="48" t="s">
        <v>452</v>
      </c>
      <c r="C60" s="48" t="s">
        <v>454</v>
      </c>
      <c r="D60" s="49" t="s">
        <v>455</v>
      </c>
      <c r="E60" s="50">
        <v>4.2</v>
      </c>
      <c r="F60" s="50"/>
      <c r="G60" s="50">
        <f>SmtRes!CX3</f>
        <v>4.2000000000000003E-2</v>
      </c>
      <c r="H60" s="52"/>
      <c r="I60" s="51"/>
      <c r="J60" s="52">
        <f>SmtRes!CZ3</f>
        <v>643.29</v>
      </c>
      <c r="K60" s="51"/>
      <c r="L60" s="52">
        <f>SmtRes!DG3</f>
        <v>27.02</v>
      </c>
    </row>
    <row r="61" spans="1:83" ht="28.5" x14ac:dyDescent="0.2">
      <c r="A61" s="48"/>
      <c r="B61" s="48" t="s">
        <v>456</v>
      </c>
      <c r="C61" s="48" t="s">
        <v>700</v>
      </c>
      <c r="D61" s="49" t="s">
        <v>449</v>
      </c>
      <c r="E61" s="50">
        <f>SmtRes!DO3*SmtRes!AT3</f>
        <v>4.2</v>
      </c>
      <c r="F61" s="50"/>
      <c r="G61" s="50">
        <f>ROUND(E61*G54, 7)</f>
        <v>4.2000000000000003E-2</v>
      </c>
      <c r="H61" s="52"/>
      <c r="I61" s="51"/>
      <c r="J61" s="52">
        <f>ROUND(SmtRes!AG3/SmtRes!DO3, 2)</f>
        <v>722.05</v>
      </c>
      <c r="K61" s="51"/>
      <c r="L61" s="52">
        <f>SmtRes!DH3</f>
        <v>30.33</v>
      </c>
      <c r="CE61">
        <v>1</v>
      </c>
    </row>
    <row r="62" spans="1:83" ht="15" x14ac:dyDescent="0.2">
      <c r="A62" s="47"/>
      <c r="B62" s="50">
        <v>4</v>
      </c>
      <c r="C62" s="47" t="s">
        <v>702</v>
      </c>
      <c r="D62" s="49"/>
      <c r="E62" s="54"/>
      <c r="F62" s="50"/>
      <c r="G62" s="50"/>
      <c r="H62" s="50"/>
      <c r="I62" s="50"/>
      <c r="J62" s="50"/>
      <c r="K62" s="50"/>
      <c r="L62" s="55">
        <f>SUM(L63:L64)-SUMIF(CE63:CE64, 1, L63:L64)</f>
        <v>379.63</v>
      </c>
    </row>
    <row r="63" spans="1:83" ht="28.5" x14ac:dyDescent="0.2">
      <c r="A63" s="48"/>
      <c r="B63" s="48" t="s">
        <v>457</v>
      </c>
      <c r="C63" s="48" t="s">
        <v>459</v>
      </c>
      <c r="D63" s="49" t="s">
        <v>460</v>
      </c>
      <c r="E63" s="50">
        <v>0.2</v>
      </c>
      <c r="F63" s="50"/>
      <c r="G63" s="50">
        <f>SmtRes!CX4</f>
        <v>2E-3</v>
      </c>
      <c r="H63" s="52">
        <f>SmtRes!CZ4</f>
        <v>13680.39</v>
      </c>
      <c r="I63" s="51">
        <f>SmtRes!AI4</f>
        <v>1.18</v>
      </c>
      <c r="J63" s="52">
        <f>ROUND(H63*I63, 2)</f>
        <v>16142.86</v>
      </c>
      <c r="K63" s="51"/>
      <c r="L63" s="52">
        <f>SmtRes!DF4</f>
        <v>32.29</v>
      </c>
    </row>
    <row r="64" spans="1:83" ht="71.25" x14ac:dyDescent="0.2">
      <c r="A64" s="48"/>
      <c r="B64" s="48" t="s">
        <v>461</v>
      </c>
      <c r="C64" s="48" t="s">
        <v>463</v>
      </c>
      <c r="D64" s="49" t="s">
        <v>35</v>
      </c>
      <c r="E64" s="50">
        <v>0.21</v>
      </c>
      <c r="F64" s="50"/>
      <c r="G64" s="50">
        <f>SmtRes!CX5</f>
        <v>2.0999999999999999E-3</v>
      </c>
      <c r="H64" s="52">
        <f>SmtRes!CZ5</f>
        <v>151744.95000000001</v>
      </c>
      <c r="I64" s="51">
        <f>SmtRes!AI5</f>
        <v>1.0900000000000001</v>
      </c>
      <c r="J64" s="52">
        <f>ROUND(H64*I64, 2)</f>
        <v>165402</v>
      </c>
      <c r="K64" s="51"/>
      <c r="L64" s="52">
        <f>SmtRes!DF5</f>
        <v>347.34</v>
      </c>
    </row>
    <row r="65" spans="1:83" ht="14.25" x14ac:dyDescent="0.2">
      <c r="A65" s="48"/>
      <c r="B65" s="48" t="str">
        <f>EtalonRes!I6</f>
        <v>18.1.02.01</v>
      </c>
      <c r="C65" s="56" t="str">
        <f>EtalonRes!K6</f>
        <v>Задвижки</v>
      </c>
      <c r="D65" s="57" t="str">
        <f>EtalonRes!O6</f>
        <v>ШТ</v>
      </c>
      <c r="E65" s="58">
        <f>EtalonRes!X6</f>
        <v>100</v>
      </c>
      <c r="F65" s="58"/>
      <c r="G65" s="58">
        <f>ROUND(EtalonRes!AG6*Source!I28, 7)</f>
        <v>1</v>
      </c>
      <c r="H65" s="59"/>
      <c r="I65" s="60"/>
      <c r="J65" s="59"/>
      <c r="K65" s="60"/>
      <c r="L65" s="59"/>
    </row>
    <row r="66" spans="1:83" ht="15" x14ac:dyDescent="0.2">
      <c r="A66" s="48"/>
      <c r="B66" s="48"/>
      <c r="C66" s="62" t="s">
        <v>703</v>
      </c>
      <c r="D66" s="49"/>
      <c r="E66" s="50"/>
      <c r="F66" s="50"/>
      <c r="G66" s="50"/>
      <c r="H66" s="52"/>
      <c r="I66" s="51"/>
      <c r="J66" s="52"/>
      <c r="K66" s="51"/>
      <c r="L66" s="52">
        <f>L56+L58+L59+L62</f>
        <v>2536.4</v>
      </c>
    </row>
    <row r="67" spans="1:83" ht="85.5" x14ac:dyDescent="0.2">
      <c r="A67" s="46" t="s">
        <v>704</v>
      </c>
      <c r="B67" s="48" t="str">
        <f>Source!F29</f>
        <v>18.1.09.11-0249</v>
      </c>
      <c r="C67" s="48" t="str">
        <f>Source!G29</f>
        <v>Кран шаровой стальной для воды, нефтепродуктов, горюче-смазочных материалов, полнопроходной, фланцевый, с рукояткой, сталь 20, номинальное давление 1,6 МПа, номинальный диаметр 100 мм</v>
      </c>
      <c r="D67" s="49" t="str">
        <f>Source!H29</f>
        <v>ШТ</v>
      </c>
      <c r="E67" s="50">
        <f>SmtRes!AT6</f>
        <v>100</v>
      </c>
      <c r="F67" s="50"/>
      <c r="G67" s="50">
        <f>Source!I29</f>
        <v>1</v>
      </c>
      <c r="H67" s="52">
        <f>Source!AL29+Source!AO29+Source!AM29+Source!AN29</f>
        <v>9790.84</v>
      </c>
      <c r="I67" s="51">
        <f>IF(Source!BC29&lt;&gt; 0, Source!BC29, 1)</f>
        <v>1.32</v>
      </c>
      <c r="J67" s="52">
        <f>ROUND(H67*I67, 2)</f>
        <v>12923.91</v>
      </c>
      <c r="K67" s="51"/>
      <c r="L67" s="52">
        <f>Source!P29</f>
        <v>12923.91</v>
      </c>
      <c r="AD67">
        <f>ROUND((Source!AT29/100)*((ROUND(ROUND(Source!AO29,2)*Source!I29, 2)+ROUND(ROUND(Source!AN29,2)*Source!I29, 2))), 2)</f>
        <v>0</v>
      </c>
      <c r="AE67">
        <f>ROUND((Source!AU29/100)*((ROUND(ROUND(Source!AO29,2)*Source!I29, 2)+ROUND(ROUND(Source!AN29,2)*Source!I29, 2))), 2)</f>
        <v>0</v>
      </c>
      <c r="AN67">
        <f>L67</f>
        <v>12923.91</v>
      </c>
      <c r="AW67">
        <f>L67</f>
        <v>12923.91</v>
      </c>
      <c r="AZ67">
        <f>Source!X29</f>
        <v>0</v>
      </c>
      <c r="BA67">
        <f>Source!Y29</f>
        <v>0</v>
      </c>
      <c r="CD67">
        <v>1</v>
      </c>
    </row>
    <row r="68" spans="1:83" ht="28.5" x14ac:dyDescent="0.2">
      <c r="A68" s="46" t="s">
        <v>705</v>
      </c>
      <c r="B68" s="48" t="str">
        <f>Source!F30</f>
        <v>999-9899</v>
      </c>
      <c r="C68" s="48" t="str">
        <f>Source!G30</f>
        <v>Строительный мусор и масса возвратных материалов</v>
      </c>
      <c r="D68" s="49" t="str">
        <f>Source!H30</f>
        <v>т</v>
      </c>
      <c r="E68" s="50">
        <f>SmtRes!AT7</f>
        <v>3.84</v>
      </c>
      <c r="F68" s="50"/>
      <c r="G68" s="50">
        <f>Source!I30</f>
        <v>3.8399999999999997E-2</v>
      </c>
      <c r="H68" s="52">
        <f>Source!AL30+Source!AO30+Source!AM30+Source!AN30</f>
        <v>0</v>
      </c>
      <c r="I68" s="51"/>
      <c r="J68" s="52"/>
      <c r="K68" s="51"/>
      <c r="L68" s="52">
        <f>Source!P30</f>
        <v>0</v>
      </c>
      <c r="AD68">
        <f>ROUND((Source!AT30/100)*((ROUND(ROUND(Source!AO30,2)*Source!I30, 2)+ROUND(ROUND(Source!AN30,2)*Source!I30, 2))), 2)</f>
        <v>0</v>
      </c>
      <c r="AE68">
        <f>ROUND((Source!AU30/100)*((ROUND(ROUND(Source!AO30,2)*Source!I30, 2)+ROUND(ROUND(Source!AN30,2)*Source!I30, 2))), 2)</f>
        <v>0</v>
      </c>
      <c r="AN68">
        <f>L68</f>
        <v>0</v>
      </c>
      <c r="AW68">
        <f>L68</f>
        <v>0</v>
      </c>
      <c r="AZ68">
        <f>Source!X30</f>
        <v>0</v>
      </c>
      <c r="BA68">
        <f>Source!Y30</f>
        <v>0</v>
      </c>
      <c r="CD68">
        <v>1</v>
      </c>
    </row>
    <row r="69" spans="1:83" ht="14.25" x14ac:dyDescent="0.2">
      <c r="A69" s="48"/>
      <c r="B69" s="48"/>
      <c r="C69" s="48" t="s">
        <v>706</v>
      </c>
      <c r="D69" s="49"/>
      <c r="E69" s="50"/>
      <c r="F69" s="50"/>
      <c r="G69" s="50"/>
      <c r="H69" s="52"/>
      <c r="I69" s="51"/>
      <c r="J69" s="52"/>
      <c r="K69" s="51"/>
      <c r="L69" s="52">
        <f>SUM(AR54:AR72)+SUM(AS54:AS72)+SUM(AT54:AT72)+SUM(AU54:AU72)+SUM(AV54:AV72)</f>
        <v>2129.75</v>
      </c>
    </row>
    <row r="70" spans="1:83" ht="42.75" x14ac:dyDescent="0.2">
      <c r="A70" s="48"/>
      <c r="B70" s="48" t="s">
        <v>25</v>
      </c>
      <c r="C70" s="48" t="s">
        <v>707</v>
      </c>
      <c r="D70" s="49" t="s">
        <v>83</v>
      </c>
      <c r="E70" s="50">
        <f>Source!BZ28</f>
        <v>103</v>
      </c>
      <c r="F70" s="50"/>
      <c r="G70" s="50">
        <f>Source!AT28</f>
        <v>103</v>
      </c>
      <c r="H70" s="52"/>
      <c r="I70" s="51"/>
      <c r="J70" s="52"/>
      <c r="K70" s="51"/>
      <c r="L70" s="52">
        <f>SUM(AZ54:AZ72)</f>
        <v>2193.64</v>
      </c>
    </row>
    <row r="71" spans="1:83" ht="42.75" x14ac:dyDescent="0.2">
      <c r="A71" s="56"/>
      <c r="B71" s="56" t="s">
        <v>26</v>
      </c>
      <c r="C71" s="56" t="s">
        <v>708</v>
      </c>
      <c r="D71" s="57" t="s">
        <v>83</v>
      </c>
      <c r="E71" s="58">
        <f>Source!CA28</f>
        <v>52</v>
      </c>
      <c r="F71" s="58"/>
      <c r="G71" s="58">
        <f>Source!AU28</f>
        <v>52</v>
      </c>
      <c r="H71" s="59"/>
      <c r="I71" s="60"/>
      <c r="J71" s="59"/>
      <c r="K71" s="60"/>
      <c r="L71" s="59">
        <f>SUM(BA54:BA72)</f>
        <v>1107.47</v>
      </c>
    </row>
    <row r="72" spans="1:83" ht="15" x14ac:dyDescent="0.2">
      <c r="C72" s="131" t="s">
        <v>709</v>
      </c>
      <c r="D72" s="131"/>
      <c r="E72" s="131"/>
      <c r="F72" s="131"/>
      <c r="G72" s="131"/>
      <c r="H72" s="131"/>
      <c r="I72" s="132">
        <f>IF(E54&lt;&gt;0,K72/E54, 0)</f>
        <v>1876141.9999999998</v>
      </c>
      <c r="J72" s="132"/>
      <c r="K72" s="132">
        <f>L56+L58+L62+L70+L71+L59+SUM(L67:L68)</f>
        <v>18761.419999999998</v>
      </c>
      <c r="L72" s="132"/>
      <c r="AD72">
        <f>ROUND((Source!AT28/100)*((ROUND(SUMIF(SmtRes!AQ1:'SmtRes'!AQ7,"=1",SmtRes!AD1:'SmtRes'!AD7)*Source!I28, 2)+ROUND(SUMIF(SmtRes!AQ1:'SmtRes'!AQ7,"=1",SmtRes!AC1:'SmtRes'!AC7)*Source!I28, 2))), 2)</f>
        <v>14.46</v>
      </c>
      <c r="AE72">
        <f>ROUND((Source!AU28/100)*((ROUND(SUMIF(SmtRes!AQ1:'SmtRes'!AQ7,"=1",SmtRes!AD1:'SmtRes'!AD7)*Source!I28, 2)+ROUND(SUMIF(SmtRes!AQ1:'SmtRes'!AQ7,"=1",SmtRes!AC1:'SmtRes'!AC7)*Source!I28, 2))), 2)</f>
        <v>7.3</v>
      </c>
      <c r="AN72" s="61">
        <f>L56+L58+L62+L70+L71+L59</f>
        <v>5837.51</v>
      </c>
      <c r="AO72" s="61">
        <f>L58</f>
        <v>27.019999999999996</v>
      </c>
      <c r="AQ72" t="s">
        <v>710</v>
      </c>
      <c r="AR72" s="61">
        <f>L56</f>
        <v>2099.42</v>
      </c>
      <c r="AT72" s="61">
        <f>L59</f>
        <v>30.33</v>
      </c>
      <c r="AV72" t="s">
        <v>710</v>
      </c>
      <c r="AW72" s="61">
        <f>L62</f>
        <v>379.63</v>
      </c>
      <c r="AZ72">
        <f>Source!X28</f>
        <v>2193.64</v>
      </c>
      <c r="BA72">
        <f>Source!Y28</f>
        <v>1107.47</v>
      </c>
      <c r="CD72">
        <v>1</v>
      </c>
    </row>
    <row r="73" spans="1:83" ht="28.5" x14ac:dyDescent="0.2">
      <c r="A73" s="46" t="s">
        <v>36</v>
      </c>
      <c r="B73" s="48" t="s">
        <v>711</v>
      </c>
      <c r="C73" s="48" t="str">
        <f>Source!G31</f>
        <v>Снятие задвижек диаметром: до 100 мм</v>
      </c>
      <c r="D73" s="49" t="str">
        <f>Source!H31</f>
        <v>100 ШТ</v>
      </c>
      <c r="E73" s="50">
        <f>Source!K31</f>
        <v>0.01</v>
      </c>
      <c r="F73" s="50"/>
      <c r="G73" s="50">
        <f>Source!I31</f>
        <v>0.01</v>
      </c>
      <c r="H73" s="52"/>
      <c r="I73" s="51"/>
      <c r="J73" s="52"/>
      <c r="K73" s="51"/>
      <c r="L73" s="52"/>
    </row>
    <row r="74" spans="1:83" x14ac:dyDescent="0.2">
      <c r="C74" s="53" t="str">
        <f>"Объем: "&amp;Source!I31&amp;"=1/"&amp;"100"</f>
        <v>Объем: 0,01=1/100</v>
      </c>
    </row>
    <row r="75" spans="1:83" ht="15" x14ac:dyDescent="0.2">
      <c r="A75" s="47"/>
      <c r="B75" s="50">
        <v>1</v>
      </c>
      <c r="C75" s="47" t="s">
        <v>698</v>
      </c>
      <c r="D75" s="49" t="s">
        <v>449</v>
      </c>
      <c r="E75" s="54"/>
      <c r="F75" s="50"/>
      <c r="G75" s="50">
        <f>Source!U31</f>
        <v>0.95299999999999996</v>
      </c>
      <c r="H75" s="50"/>
      <c r="I75" s="50"/>
      <c r="J75" s="50"/>
      <c r="K75" s="50"/>
      <c r="L75" s="55">
        <f>SUM(L76:L76)-SUMIF(CE76:CE76, 1, L76:L76)</f>
        <v>611.08000000000004</v>
      </c>
    </row>
    <row r="76" spans="1:83" ht="14.25" x14ac:dyDescent="0.2">
      <c r="A76" s="48"/>
      <c r="B76" s="48" t="s">
        <v>464</v>
      </c>
      <c r="C76" s="48" t="s">
        <v>465</v>
      </c>
      <c r="D76" s="49" t="s">
        <v>449</v>
      </c>
      <c r="E76" s="50">
        <v>95.3</v>
      </c>
      <c r="F76" s="50"/>
      <c r="G76" s="50">
        <f>SmtRes!CX8</f>
        <v>0.95299999999999996</v>
      </c>
      <c r="H76" s="52"/>
      <c r="I76" s="51"/>
      <c r="J76" s="52">
        <f>SmtRes!CZ8</f>
        <v>641.22</v>
      </c>
      <c r="K76" s="51"/>
      <c r="L76" s="52">
        <f>SmtRes!DI8</f>
        <v>611.08000000000004</v>
      </c>
    </row>
    <row r="77" spans="1:83" ht="15" x14ac:dyDescent="0.2">
      <c r="A77" s="47"/>
      <c r="B77" s="50">
        <v>2</v>
      </c>
      <c r="C77" s="47" t="s">
        <v>699</v>
      </c>
      <c r="D77" s="49"/>
      <c r="E77" s="54"/>
      <c r="F77" s="50"/>
      <c r="G77" s="50"/>
      <c r="H77" s="50"/>
      <c r="I77" s="50"/>
      <c r="J77" s="50"/>
      <c r="K77" s="50"/>
      <c r="L77" s="55">
        <f>SUM(L78:L80)-SUMIF(CE78:CE80, 1, L78:L80)</f>
        <v>0.14000000000000012</v>
      </c>
    </row>
    <row r="78" spans="1:83" ht="15" x14ac:dyDescent="0.2">
      <c r="A78" s="47"/>
      <c r="B78" s="50"/>
      <c r="C78" s="47" t="s">
        <v>701</v>
      </c>
      <c r="D78" s="49" t="s">
        <v>449</v>
      </c>
      <c r="E78" s="54"/>
      <c r="F78" s="50"/>
      <c r="G78" s="50">
        <f>Source!V31</f>
        <v>2.5000000000000001E-3</v>
      </c>
      <c r="H78" s="50"/>
      <c r="I78" s="50"/>
      <c r="J78" s="50"/>
      <c r="K78" s="50"/>
      <c r="L78" s="55">
        <f>SUMIF(CE79:CE80, 1, L79:L80)</f>
        <v>1.6</v>
      </c>
      <c r="CE78">
        <v>1</v>
      </c>
    </row>
    <row r="79" spans="1:83" ht="42.75" x14ac:dyDescent="0.2">
      <c r="A79" s="48"/>
      <c r="B79" s="48" t="s">
        <v>466</v>
      </c>
      <c r="C79" s="48" t="s">
        <v>468</v>
      </c>
      <c r="D79" s="49" t="s">
        <v>455</v>
      </c>
      <c r="E79" s="50">
        <v>0.25</v>
      </c>
      <c r="F79" s="50"/>
      <c r="G79" s="50">
        <f>SmtRes!CX10</f>
        <v>2.5000000000000001E-3</v>
      </c>
      <c r="H79" s="52">
        <f>SmtRes!CZ10</f>
        <v>37.32</v>
      </c>
      <c r="I79" s="51">
        <f>SmtRes!AJ10</f>
        <v>1.54</v>
      </c>
      <c r="J79" s="52">
        <f>ROUND(H79*I79, 2)</f>
        <v>57.47</v>
      </c>
      <c r="K79" s="51"/>
      <c r="L79" s="52">
        <f>SmtRes!DG10</f>
        <v>0.14000000000000001</v>
      </c>
    </row>
    <row r="80" spans="1:83" ht="28.5" x14ac:dyDescent="0.2">
      <c r="A80" s="48"/>
      <c r="B80" s="48" t="s">
        <v>469</v>
      </c>
      <c r="C80" s="56" t="s">
        <v>712</v>
      </c>
      <c r="D80" s="57" t="s">
        <v>449</v>
      </c>
      <c r="E80" s="58">
        <f>SmtRes!DO10*SmtRes!AT10</f>
        <v>0.25</v>
      </c>
      <c r="F80" s="58"/>
      <c r="G80" s="58">
        <f>ROUND(E80*G73, 7)</f>
        <v>2.5000000000000001E-3</v>
      </c>
      <c r="H80" s="59"/>
      <c r="I80" s="60"/>
      <c r="J80" s="59">
        <f>ROUND(SmtRes!AG10/SmtRes!DO10, 2)</f>
        <v>641.22</v>
      </c>
      <c r="K80" s="60"/>
      <c r="L80" s="59">
        <f>SmtRes!DH10</f>
        <v>1.6</v>
      </c>
      <c r="CE80">
        <v>1</v>
      </c>
    </row>
    <row r="81" spans="1:101" ht="15" x14ac:dyDescent="0.2">
      <c r="A81" s="48"/>
      <c r="B81" s="48"/>
      <c r="C81" s="62" t="s">
        <v>703</v>
      </c>
      <c r="D81" s="49"/>
      <c r="E81" s="50"/>
      <c r="F81" s="50"/>
      <c r="G81" s="50"/>
      <c r="H81" s="52"/>
      <c r="I81" s="51"/>
      <c r="J81" s="52"/>
      <c r="K81" s="51"/>
      <c r="L81" s="52">
        <f>L75+L77+L78</f>
        <v>612.82000000000005</v>
      </c>
    </row>
    <row r="82" spans="1:101" ht="28.5" x14ac:dyDescent="0.2">
      <c r="A82" s="46" t="s">
        <v>713</v>
      </c>
      <c r="B82" s="48" t="str">
        <f>Source!F32</f>
        <v>999-9899</v>
      </c>
      <c r="C82" s="48" t="str">
        <f>Source!G32</f>
        <v>Строительный мусор и масса возвратных материалов</v>
      </c>
      <c r="D82" s="49" t="str">
        <f>Source!H32</f>
        <v>т</v>
      </c>
      <c r="E82" s="50">
        <f>SmtRes!AT11</f>
        <v>3.98</v>
      </c>
      <c r="F82" s="50"/>
      <c r="G82" s="50">
        <f>Source!I32</f>
        <v>3.9800000000000002E-2</v>
      </c>
      <c r="H82" s="52">
        <f>Source!AL32+Source!AO32+Source!AM32+Source!AN32</f>
        <v>0</v>
      </c>
      <c r="I82" s="51"/>
      <c r="J82" s="52"/>
      <c r="K82" s="51"/>
      <c r="L82" s="52">
        <f>Source!P32</f>
        <v>0</v>
      </c>
      <c r="AD82">
        <f>ROUND((Source!AT32/100)*((ROUND(ROUND(Source!AO32,2)*Source!I32, 2)+ROUND(ROUND(Source!AN32,2)*Source!I32, 2))), 2)</f>
        <v>0</v>
      </c>
      <c r="AE82">
        <f>ROUND((Source!AU32/100)*((ROUND(ROUND(Source!AO32,2)*Source!I32, 2)+ROUND(ROUND(Source!AN32,2)*Source!I32, 2))), 2)</f>
        <v>0</v>
      </c>
      <c r="AN82">
        <f>L82</f>
        <v>0</v>
      </c>
      <c r="AW82">
        <f>L82</f>
        <v>0</v>
      </c>
      <c r="AZ82">
        <f>Source!X32</f>
        <v>0</v>
      </c>
      <c r="BA82">
        <f>Source!Y32</f>
        <v>0</v>
      </c>
      <c r="CD82">
        <v>1</v>
      </c>
    </row>
    <row r="83" spans="1:101" ht="14.25" x14ac:dyDescent="0.2">
      <c r="A83" s="48"/>
      <c r="B83" s="48"/>
      <c r="C83" s="48" t="s">
        <v>706</v>
      </c>
      <c r="D83" s="49"/>
      <c r="E83" s="50"/>
      <c r="F83" s="50"/>
      <c r="G83" s="50"/>
      <c r="H83" s="52"/>
      <c r="I83" s="51"/>
      <c r="J83" s="52"/>
      <c r="K83" s="51"/>
      <c r="L83" s="52">
        <f>SUM(AR73:AR86)+SUM(AS73:AS86)+SUM(AT73:AT86)+SUM(AU73:AU86)+SUM(AV73:AV86)</f>
        <v>612.68000000000006</v>
      </c>
    </row>
    <row r="84" spans="1:101" ht="28.5" x14ac:dyDescent="0.2">
      <c r="A84" s="48"/>
      <c r="B84" s="48" t="s">
        <v>41</v>
      </c>
      <c r="C84" s="48" t="s">
        <v>714</v>
      </c>
      <c r="D84" s="49" t="s">
        <v>83</v>
      </c>
      <c r="E84" s="50">
        <f>Source!BZ31</f>
        <v>87</v>
      </c>
      <c r="F84" s="50"/>
      <c r="G84" s="50">
        <f>Source!AT31</f>
        <v>87</v>
      </c>
      <c r="H84" s="52"/>
      <c r="I84" s="51"/>
      <c r="J84" s="52"/>
      <c r="K84" s="51"/>
      <c r="L84" s="52">
        <f>SUM(AZ73:AZ86)</f>
        <v>533.03</v>
      </c>
    </row>
    <row r="85" spans="1:101" ht="28.5" x14ac:dyDescent="0.2">
      <c r="A85" s="56"/>
      <c r="B85" s="56" t="s">
        <v>42</v>
      </c>
      <c r="C85" s="56" t="s">
        <v>715</v>
      </c>
      <c r="D85" s="57" t="s">
        <v>83</v>
      </c>
      <c r="E85" s="58">
        <f>Source!CA31</f>
        <v>44</v>
      </c>
      <c r="F85" s="58"/>
      <c r="G85" s="58">
        <f>Source!AU31</f>
        <v>44</v>
      </c>
      <c r="H85" s="59"/>
      <c r="I85" s="60"/>
      <c r="J85" s="59"/>
      <c r="K85" s="60"/>
      <c r="L85" s="59">
        <f>SUM(BA73:BA86)</f>
        <v>269.58</v>
      </c>
    </row>
    <row r="86" spans="1:101" ht="15" x14ac:dyDescent="0.2">
      <c r="C86" s="131" t="s">
        <v>709</v>
      </c>
      <c r="D86" s="131"/>
      <c r="E86" s="131"/>
      <c r="F86" s="131"/>
      <c r="G86" s="131"/>
      <c r="H86" s="131"/>
      <c r="I86" s="132">
        <f>IF(E73&lt;&gt;0,K86/E73, 0)</f>
        <v>141542.99999999997</v>
      </c>
      <c r="J86" s="132"/>
      <c r="K86" s="132">
        <f>L75+L77+L84+L85+L78+SUM(L82:L82)</f>
        <v>1415.4299999999998</v>
      </c>
      <c r="L86" s="132"/>
      <c r="AD86">
        <f>ROUND((Source!AT31/100)*((ROUND(SUMIF(SmtRes!AQ8:'SmtRes'!AQ11,"=1",SmtRes!AD8:'SmtRes'!AD11)*Source!I31, 2)+ROUND(SUMIF(SmtRes!AQ8:'SmtRes'!AQ11,"=1",SmtRes!AC8:'SmtRes'!AC11)*Source!I31, 2))), 2)</f>
        <v>11.15</v>
      </c>
      <c r="AE86">
        <f>ROUND((Source!AU31/100)*((ROUND(SUMIF(SmtRes!AQ8:'SmtRes'!AQ11,"=1",SmtRes!AD8:'SmtRes'!AD11)*Source!I31, 2)+ROUND(SUMIF(SmtRes!AQ8:'SmtRes'!AQ11,"=1",SmtRes!AC8:'SmtRes'!AC11)*Source!I31, 2))), 2)</f>
        <v>5.64</v>
      </c>
      <c r="AN86" s="61">
        <f>L75+L77+L84+L85+L78</f>
        <v>1415.4299999999998</v>
      </c>
      <c r="AO86" s="61">
        <f>L77</f>
        <v>0.14000000000000012</v>
      </c>
      <c r="AQ86" t="s">
        <v>710</v>
      </c>
      <c r="AR86" s="61">
        <f>L75</f>
        <v>611.08000000000004</v>
      </c>
      <c r="AT86" s="61">
        <f>L78</f>
        <v>1.6</v>
      </c>
      <c r="AV86" t="s">
        <v>710</v>
      </c>
      <c r="AW86">
        <f>0</f>
        <v>0</v>
      </c>
      <c r="AZ86">
        <f>Source!X31</f>
        <v>533.03</v>
      </c>
      <c r="BA86">
        <f>Source!Y31</f>
        <v>269.58</v>
      </c>
      <c r="CD86">
        <v>1</v>
      </c>
    </row>
    <row r="87" spans="1:101" ht="57" x14ac:dyDescent="0.2">
      <c r="A87" s="46" t="s">
        <v>44</v>
      </c>
      <c r="B87" s="48" t="s">
        <v>716</v>
      </c>
      <c r="C87" s="48" t="str">
        <f>Source!G33</f>
        <v>Установка вентилей, задвижек, затворов, клапанов обратных, кранов проходных на трубопроводах из стальных труб диаметром: до 100 мм</v>
      </c>
      <c r="D87" s="49" t="str">
        <f>Source!H33</f>
        <v>ШТ</v>
      </c>
      <c r="E87" s="50">
        <f>Source!K33</f>
        <v>1</v>
      </c>
      <c r="F87" s="50"/>
      <c r="G87" s="50">
        <f>Source!I33</f>
        <v>1</v>
      </c>
      <c r="H87" s="52"/>
      <c r="I87" s="51"/>
      <c r="J87" s="52"/>
      <c r="K87" s="51"/>
      <c r="L87" s="52"/>
    </row>
    <row r="88" spans="1:101" ht="51" x14ac:dyDescent="0.2">
      <c r="B88" s="64" t="s">
        <v>644</v>
      </c>
      <c r="C88" s="130" t="s">
        <v>717</v>
      </c>
      <c r="D88" s="130"/>
      <c r="E88" s="130"/>
      <c r="F88" s="130"/>
      <c r="G88" s="130"/>
      <c r="H88" s="130"/>
      <c r="I88" s="130"/>
      <c r="J88" s="130"/>
      <c r="K88" s="130"/>
      <c r="L88" s="130"/>
      <c r="CW88" s="65" t="s">
        <v>717</v>
      </c>
    </row>
    <row r="89" spans="1:101" ht="15" x14ac:dyDescent="0.2">
      <c r="A89" s="47"/>
      <c r="B89" s="50">
        <v>1</v>
      </c>
      <c r="C89" s="47" t="s">
        <v>698</v>
      </c>
      <c r="D89" s="49" t="s">
        <v>449</v>
      </c>
      <c r="E89" s="54"/>
      <c r="F89" s="50"/>
      <c r="G89" s="50">
        <f>Source!U33</f>
        <v>2.99</v>
      </c>
      <c r="H89" s="50"/>
      <c r="I89" s="50"/>
      <c r="J89" s="50"/>
      <c r="K89" s="50"/>
      <c r="L89" s="55">
        <f>SUM(L90:L90)-SUMIF(CE90:CE90, 1, L90:L90)</f>
        <v>2038.07</v>
      </c>
    </row>
    <row r="90" spans="1:101" ht="14.25" x14ac:dyDescent="0.2">
      <c r="A90" s="48"/>
      <c r="B90" s="48" t="s">
        <v>447</v>
      </c>
      <c r="C90" s="48" t="s">
        <v>448</v>
      </c>
      <c r="D90" s="49" t="s">
        <v>449</v>
      </c>
      <c r="E90" s="50">
        <v>2.6</v>
      </c>
      <c r="F90" s="50">
        <f>ROUND(1.15,7)</f>
        <v>1.1499999999999999</v>
      </c>
      <c r="G90" s="50">
        <f>SmtRes!CX12</f>
        <v>2.99</v>
      </c>
      <c r="H90" s="52"/>
      <c r="I90" s="51"/>
      <c r="J90" s="52">
        <f>SmtRes!CZ12</f>
        <v>681.63</v>
      </c>
      <c r="K90" s="51"/>
      <c r="L90" s="52">
        <f>SmtRes!DI12</f>
        <v>2038.07</v>
      </c>
    </row>
    <row r="91" spans="1:101" ht="15" x14ac:dyDescent="0.2">
      <c r="A91" s="47"/>
      <c r="B91" s="50">
        <v>2</v>
      </c>
      <c r="C91" s="47" t="s">
        <v>699</v>
      </c>
      <c r="D91" s="49"/>
      <c r="E91" s="54"/>
      <c r="F91" s="50"/>
      <c r="G91" s="50"/>
      <c r="H91" s="50"/>
      <c r="I91" s="50"/>
      <c r="J91" s="50"/>
      <c r="K91" s="50"/>
      <c r="L91" s="55">
        <f>SUM(L92:L99)-SUMIF(CE92:CE99, 1, L92:L99)</f>
        <v>74.840000000000018</v>
      </c>
    </row>
    <row r="92" spans="1:101" ht="15" x14ac:dyDescent="0.2">
      <c r="A92" s="47"/>
      <c r="B92" s="50"/>
      <c r="C92" s="47" t="s">
        <v>701</v>
      </c>
      <c r="D92" s="49" t="s">
        <v>449</v>
      </c>
      <c r="E92" s="54"/>
      <c r="F92" s="50"/>
      <c r="G92" s="50">
        <f>Source!V33</f>
        <v>0.05</v>
      </c>
      <c r="H92" s="50"/>
      <c r="I92" s="50"/>
      <c r="J92" s="50"/>
      <c r="K92" s="50"/>
      <c r="L92" s="55">
        <f>SUMIF(CE93:CE99, 1, L93:L99)</f>
        <v>42.29</v>
      </c>
      <c r="CE92">
        <v>1</v>
      </c>
    </row>
    <row r="93" spans="1:101" ht="28.5" x14ac:dyDescent="0.2">
      <c r="A93" s="48"/>
      <c r="B93" s="48" t="s">
        <v>470</v>
      </c>
      <c r="C93" s="48" t="s">
        <v>472</v>
      </c>
      <c r="D93" s="49" t="s">
        <v>455</v>
      </c>
      <c r="E93" s="50">
        <v>0.01</v>
      </c>
      <c r="F93" s="50">
        <f t="shared" ref="F93:F99" si="0">ROUND(1.25,7)</f>
        <v>1.25</v>
      </c>
      <c r="G93" s="50">
        <f>SmtRes!CX14</f>
        <v>1.2500000000000001E-2</v>
      </c>
      <c r="H93" s="52"/>
      <c r="I93" s="51"/>
      <c r="J93" s="52">
        <f>SmtRes!CZ14</f>
        <v>1039.32</v>
      </c>
      <c r="K93" s="51"/>
      <c r="L93" s="52">
        <f>SmtRes!DG14</f>
        <v>12.99</v>
      </c>
    </row>
    <row r="94" spans="1:101" ht="28.5" x14ac:dyDescent="0.2">
      <c r="A94" s="48"/>
      <c r="B94" s="48" t="s">
        <v>473</v>
      </c>
      <c r="C94" s="48" t="s">
        <v>718</v>
      </c>
      <c r="D94" s="49" t="s">
        <v>449</v>
      </c>
      <c r="E94" s="50">
        <f>SmtRes!DO14*SmtRes!AT14</f>
        <v>0.01</v>
      </c>
      <c r="F94" s="50">
        <f t="shared" si="0"/>
        <v>1.25</v>
      </c>
      <c r="G94" s="50">
        <f>ROUND(E94*F94*G87, 7)</f>
        <v>1.2500000000000001E-2</v>
      </c>
      <c r="H94" s="52"/>
      <c r="I94" s="51"/>
      <c r="J94" s="52">
        <f>ROUND(SmtRes!AG14/SmtRes!DO14, 2)</f>
        <v>969.91</v>
      </c>
      <c r="K94" s="51"/>
      <c r="L94" s="52">
        <f>SmtRes!DH14</f>
        <v>12.12</v>
      </c>
      <c r="CE94">
        <v>1</v>
      </c>
    </row>
    <row r="95" spans="1:101" ht="28.5" x14ac:dyDescent="0.2">
      <c r="A95" s="48"/>
      <c r="B95" s="48" t="s">
        <v>474</v>
      </c>
      <c r="C95" s="48" t="s">
        <v>476</v>
      </c>
      <c r="D95" s="49" t="s">
        <v>455</v>
      </c>
      <c r="E95" s="50">
        <v>0.01</v>
      </c>
      <c r="F95" s="50">
        <f t="shared" si="0"/>
        <v>1.25</v>
      </c>
      <c r="G95" s="50">
        <f>SmtRes!CX15</f>
        <v>1.2500000000000001E-2</v>
      </c>
      <c r="H95" s="52"/>
      <c r="I95" s="51"/>
      <c r="J95" s="52">
        <f>SmtRes!CZ15</f>
        <v>1629.55</v>
      </c>
      <c r="K95" s="51"/>
      <c r="L95" s="52">
        <f>SmtRes!DG15</f>
        <v>20.37</v>
      </c>
    </row>
    <row r="96" spans="1:101" ht="28.5" x14ac:dyDescent="0.2">
      <c r="A96" s="48"/>
      <c r="B96" s="48" t="s">
        <v>473</v>
      </c>
      <c r="C96" s="48" t="s">
        <v>718</v>
      </c>
      <c r="D96" s="49" t="s">
        <v>449</v>
      </c>
      <c r="E96" s="50">
        <f>SmtRes!DO15*SmtRes!AT15</f>
        <v>0.01</v>
      </c>
      <c r="F96" s="50">
        <f t="shared" si="0"/>
        <v>1.25</v>
      </c>
      <c r="G96" s="50">
        <f>ROUND(E96*F96*G87, 7)</f>
        <v>1.2500000000000001E-2</v>
      </c>
      <c r="H96" s="52"/>
      <c r="I96" s="51"/>
      <c r="J96" s="52">
        <f>ROUND(SmtRes!AG15/SmtRes!DO15, 2)</f>
        <v>969.91</v>
      </c>
      <c r="K96" s="51"/>
      <c r="L96" s="52">
        <f>SmtRes!DH15</f>
        <v>12.12</v>
      </c>
      <c r="CE96">
        <v>1</v>
      </c>
    </row>
    <row r="97" spans="1:83" ht="28.5" x14ac:dyDescent="0.2">
      <c r="A97" s="48"/>
      <c r="B97" s="48" t="s">
        <v>452</v>
      </c>
      <c r="C97" s="48" t="s">
        <v>454</v>
      </c>
      <c r="D97" s="49" t="s">
        <v>455</v>
      </c>
      <c r="E97" s="50">
        <v>0.02</v>
      </c>
      <c r="F97" s="50">
        <f t="shared" si="0"/>
        <v>1.25</v>
      </c>
      <c r="G97" s="50">
        <f>SmtRes!CX16</f>
        <v>2.5000000000000001E-2</v>
      </c>
      <c r="H97" s="52"/>
      <c r="I97" s="51"/>
      <c r="J97" s="52">
        <f>SmtRes!CZ16</f>
        <v>643.29</v>
      </c>
      <c r="K97" s="51"/>
      <c r="L97" s="52">
        <f>SmtRes!DG16</f>
        <v>16.079999999999998</v>
      </c>
    </row>
    <row r="98" spans="1:83" ht="28.5" x14ac:dyDescent="0.2">
      <c r="A98" s="48"/>
      <c r="B98" s="48" t="s">
        <v>456</v>
      </c>
      <c r="C98" s="48" t="s">
        <v>700</v>
      </c>
      <c r="D98" s="49" t="s">
        <v>449</v>
      </c>
      <c r="E98" s="50">
        <f>SmtRes!DO16*SmtRes!AT16</f>
        <v>0.02</v>
      </c>
      <c r="F98" s="50">
        <f t="shared" si="0"/>
        <v>1.25</v>
      </c>
      <c r="G98" s="50">
        <f>ROUND(E98*F98*G87, 7)</f>
        <v>2.5000000000000001E-2</v>
      </c>
      <c r="H98" s="52"/>
      <c r="I98" s="51"/>
      <c r="J98" s="52">
        <f>ROUND(SmtRes!AG16/SmtRes!DO16, 2)</f>
        <v>722.05</v>
      </c>
      <c r="K98" s="51"/>
      <c r="L98" s="52">
        <f>SmtRes!DH16</f>
        <v>18.05</v>
      </c>
      <c r="CE98">
        <v>1</v>
      </c>
    </row>
    <row r="99" spans="1:83" ht="42.75" x14ac:dyDescent="0.2">
      <c r="A99" s="48"/>
      <c r="B99" s="48" t="s">
        <v>477</v>
      </c>
      <c r="C99" s="48" t="s">
        <v>479</v>
      </c>
      <c r="D99" s="49" t="s">
        <v>455</v>
      </c>
      <c r="E99" s="50">
        <v>0.63</v>
      </c>
      <c r="F99" s="50">
        <f t="shared" si="0"/>
        <v>1.25</v>
      </c>
      <c r="G99" s="50">
        <f>SmtRes!CX17</f>
        <v>0.78749999999999998</v>
      </c>
      <c r="H99" s="52"/>
      <c r="I99" s="51"/>
      <c r="J99" s="52">
        <f>SmtRes!CZ17</f>
        <v>32.26</v>
      </c>
      <c r="K99" s="51"/>
      <c r="L99" s="52">
        <f>SmtRes!DG17</f>
        <v>25.4</v>
      </c>
    </row>
    <row r="100" spans="1:83" ht="15" x14ac:dyDescent="0.2">
      <c r="A100" s="47"/>
      <c r="B100" s="50">
        <v>4</v>
      </c>
      <c r="C100" s="47" t="s">
        <v>702</v>
      </c>
      <c r="D100" s="49"/>
      <c r="E100" s="54"/>
      <c r="F100" s="50"/>
      <c r="G100" s="50"/>
      <c r="H100" s="50"/>
      <c r="I100" s="50"/>
      <c r="J100" s="50"/>
      <c r="K100" s="50"/>
      <c r="L100" s="55">
        <f>SUM(L101:L103)-SUMIF(CE101:CE103, 1, L101:L103)</f>
        <v>401.32000000000005</v>
      </c>
    </row>
    <row r="101" spans="1:83" ht="28.5" x14ac:dyDescent="0.2">
      <c r="A101" s="48"/>
      <c r="B101" s="48" t="s">
        <v>457</v>
      </c>
      <c r="C101" s="48" t="s">
        <v>459</v>
      </c>
      <c r="D101" s="49" t="s">
        <v>460</v>
      </c>
      <c r="E101" s="50">
        <v>2E-3</v>
      </c>
      <c r="F101" s="50"/>
      <c r="G101" s="50">
        <f>SmtRes!CX18</f>
        <v>2E-3</v>
      </c>
      <c r="H101" s="52">
        <f>SmtRes!CZ18</f>
        <v>13680.39</v>
      </c>
      <c r="I101" s="51">
        <f>SmtRes!AI18</f>
        <v>1.18</v>
      </c>
      <c r="J101" s="52">
        <f>ROUND(H101*I101, 2)</f>
        <v>16142.86</v>
      </c>
      <c r="K101" s="51"/>
      <c r="L101" s="52">
        <f>SmtRes!DF18</f>
        <v>32.29</v>
      </c>
    </row>
    <row r="102" spans="1:83" ht="57" x14ac:dyDescent="0.2">
      <c r="A102" s="48"/>
      <c r="B102" s="48" t="s">
        <v>480</v>
      </c>
      <c r="C102" s="48" t="s">
        <v>482</v>
      </c>
      <c r="D102" s="49" t="s">
        <v>295</v>
      </c>
      <c r="E102" s="50">
        <v>0.33</v>
      </c>
      <c r="F102" s="50"/>
      <c r="G102" s="50">
        <f>SmtRes!CX19</f>
        <v>0.33</v>
      </c>
      <c r="H102" s="52">
        <f>SmtRes!CZ19</f>
        <v>155.63</v>
      </c>
      <c r="I102" s="51">
        <f>SmtRes!AI19</f>
        <v>0.78</v>
      </c>
      <c r="J102" s="52">
        <f>ROUND(H102*I102, 2)</f>
        <v>121.39</v>
      </c>
      <c r="K102" s="51"/>
      <c r="L102" s="52">
        <f>SmtRes!DF19</f>
        <v>40.06</v>
      </c>
    </row>
    <row r="103" spans="1:83" ht="71.25" x14ac:dyDescent="0.2">
      <c r="A103" s="48"/>
      <c r="B103" s="48" t="s">
        <v>483</v>
      </c>
      <c r="C103" s="48" t="s">
        <v>485</v>
      </c>
      <c r="D103" s="49" t="s">
        <v>35</v>
      </c>
      <c r="E103" s="50">
        <v>2.0699999999999998E-3</v>
      </c>
      <c r="F103" s="50"/>
      <c r="G103" s="50">
        <f>SmtRes!CX20</f>
        <v>2.0699999999999998E-3</v>
      </c>
      <c r="H103" s="52">
        <f>SmtRes!CZ20</f>
        <v>145801.49</v>
      </c>
      <c r="I103" s="51">
        <f>SmtRes!AI20</f>
        <v>1.0900000000000001</v>
      </c>
      <c r="J103" s="52">
        <f>ROUND(H103*I103, 2)</f>
        <v>158923.62</v>
      </c>
      <c r="K103" s="51"/>
      <c r="L103" s="52">
        <f>SmtRes!DF20</f>
        <v>328.97</v>
      </c>
    </row>
    <row r="104" spans="1:83" ht="14.25" x14ac:dyDescent="0.2">
      <c r="A104" s="48"/>
      <c r="B104" s="48" t="str">
        <f>EtalonRes!I21</f>
        <v>18.1.02.01</v>
      </c>
      <c r="C104" s="48" t="str">
        <f>EtalonRes!K21</f>
        <v>Арматура трубопроводная фланцевая</v>
      </c>
      <c r="D104" s="49" t="str">
        <f>EtalonRes!O21</f>
        <v>ШТ</v>
      </c>
      <c r="E104" s="50">
        <f>EtalonRes!X21</f>
        <v>1</v>
      </c>
      <c r="F104" s="50"/>
      <c r="G104" s="50">
        <f>ROUND(EtalonRes!AG21*Source!I33, 7)</f>
        <v>1</v>
      </c>
      <c r="H104" s="52"/>
      <c r="I104" s="51"/>
      <c r="J104" s="52"/>
      <c r="K104" s="51"/>
      <c r="L104" s="52"/>
    </row>
    <row r="105" spans="1:83" ht="14.25" x14ac:dyDescent="0.2">
      <c r="A105" s="48"/>
      <c r="B105" s="48" t="str">
        <f>EtalonRes!I22</f>
        <v>23.8.03.11</v>
      </c>
      <c r="C105" s="56" t="str">
        <f>EtalonRes!K22</f>
        <v>Фланцы стальные</v>
      </c>
      <c r="D105" s="57" t="str">
        <f>EtalonRes!O22</f>
        <v>ШТ</v>
      </c>
      <c r="E105" s="58">
        <f>EtalonRes!X22</f>
        <v>2</v>
      </c>
      <c r="F105" s="58"/>
      <c r="G105" s="58">
        <f>ROUND(EtalonRes!AG22*Source!I33, 7)</f>
        <v>2</v>
      </c>
      <c r="H105" s="59"/>
      <c r="I105" s="60"/>
      <c r="J105" s="59"/>
      <c r="K105" s="60"/>
      <c r="L105" s="59"/>
    </row>
    <row r="106" spans="1:83" ht="15" x14ac:dyDescent="0.2">
      <c r="A106" s="48"/>
      <c r="B106" s="48"/>
      <c r="C106" s="62" t="s">
        <v>703</v>
      </c>
      <c r="D106" s="49"/>
      <c r="E106" s="50"/>
      <c r="F106" s="50"/>
      <c r="G106" s="50"/>
      <c r="H106" s="52"/>
      <c r="I106" s="51"/>
      <c r="J106" s="52"/>
      <c r="K106" s="51"/>
      <c r="L106" s="52">
        <f>L89+L91+L92+L100</f>
        <v>2556.52</v>
      </c>
    </row>
    <row r="107" spans="1:83" ht="71.25" x14ac:dyDescent="0.2">
      <c r="A107" s="46" t="s">
        <v>719</v>
      </c>
      <c r="B107" s="48" t="str">
        <f>Source!F34</f>
        <v>18.1.09.11-0128</v>
      </c>
      <c r="C107" s="48" t="str">
        <f>Source!G34</f>
        <v>Кран шаровой фланцевый для воды, нефтепродуктов, горюче-смазочных материалов, стандартнопроходной, из стали 20, номинальное давление 2,5 МПа, условный диаметр 65 мм</v>
      </c>
      <c r="D107" s="49" t="str">
        <f>Source!H34</f>
        <v>ШТ</v>
      </c>
      <c r="E107" s="50">
        <f>SmtRes!AT21</f>
        <v>1</v>
      </c>
      <c r="F107" s="50"/>
      <c r="G107" s="50">
        <f>Source!I34</f>
        <v>1</v>
      </c>
      <c r="H107" s="52"/>
      <c r="I107" s="51"/>
      <c r="J107" s="52">
        <f>Source!AK34</f>
        <v>3578.63</v>
      </c>
      <c r="K107" s="51"/>
      <c r="L107" s="52">
        <f>Source!P34</f>
        <v>3578.63</v>
      </c>
      <c r="AD107">
        <f>ROUND((Source!AT34/100)*((ROUND(ROUND(Source!AO34,2)*Source!I34, 2)+ROUND(ROUND(Source!AN34,2)*Source!I34, 2))), 2)</f>
        <v>0</v>
      </c>
      <c r="AE107">
        <f>ROUND((Source!AU34/100)*((ROUND(ROUND(Source!AO34,2)*Source!I34, 2)+ROUND(ROUND(Source!AN34,2)*Source!I34, 2))), 2)</f>
        <v>0</v>
      </c>
      <c r="AN107">
        <f>L107</f>
        <v>3578.63</v>
      </c>
      <c r="AW107">
        <f>L107</f>
        <v>3578.63</v>
      </c>
      <c r="AZ107">
        <f>Source!X34</f>
        <v>0</v>
      </c>
      <c r="BA107">
        <f>Source!Y34</f>
        <v>0</v>
      </c>
      <c r="CD107">
        <v>1</v>
      </c>
    </row>
    <row r="108" spans="1:83" ht="57" x14ac:dyDescent="0.2">
      <c r="A108" s="46" t="s">
        <v>720</v>
      </c>
      <c r="B108" s="48" t="str">
        <f>Source!F35</f>
        <v>23.8.03.11-0173</v>
      </c>
      <c r="C108" s="48" t="str">
        <f>Source!G35</f>
        <v>Фланец стальной плоский приварной с соединительным выступом, марка стали 20, номинальное давление 2,5 МПа, номинальный диаметр 65 мм</v>
      </c>
      <c r="D108" s="49" t="str">
        <f>Source!H35</f>
        <v>ШТ</v>
      </c>
      <c r="E108" s="50">
        <f>SmtRes!AT22</f>
        <v>2</v>
      </c>
      <c r="F108" s="50"/>
      <c r="G108" s="50">
        <f>Source!I35</f>
        <v>2</v>
      </c>
      <c r="H108" s="52">
        <f>Source!AL35+Source!AO35+Source!AM35+Source!AN35</f>
        <v>659.13</v>
      </c>
      <c r="I108" s="51">
        <f>IF(Source!BC35&lt;&gt; 0, Source!BC35, 1)</f>
        <v>1.1100000000000001</v>
      </c>
      <c r="J108" s="52">
        <f>ROUND(H108*I108, 2)</f>
        <v>731.63</v>
      </c>
      <c r="K108" s="51"/>
      <c r="L108" s="52">
        <f>Source!P35</f>
        <v>1463.26</v>
      </c>
      <c r="AD108">
        <f>ROUND((Source!AT35/100)*((ROUND(ROUND(Source!AO35,2)*Source!I35, 2)+ROUND(ROUND(Source!AN35,2)*Source!I35, 2))), 2)</f>
        <v>0</v>
      </c>
      <c r="AE108">
        <f>ROUND((Source!AU35/100)*((ROUND(ROUND(Source!AO35,2)*Source!I35, 2)+ROUND(ROUND(Source!AN35,2)*Source!I35, 2))), 2)</f>
        <v>0</v>
      </c>
      <c r="AN108">
        <f>L108</f>
        <v>1463.26</v>
      </c>
      <c r="AW108">
        <f>L108</f>
        <v>1463.26</v>
      </c>
      <c r="AZ108">
        <f>Source!X35</f>
        <v>0</v>
      </c>
      <c r="BA108">
        <f>Source!Y35</f>
        <v>0</v>
      </c>
      <c r="CD108">
        <v>1</v>
      </c>
    </row>
    <row r="109" spans="1:83" ht="14.25" x14ac:dyDescent="0.2">
      <c r="A109" s="48"/>
      <c r="B109" s="48"/>
      <c r="C109" s="48" t="s">
        <v>706</v>
      </c>
      <c r="D109" s="49"/>
      <c r="E109" s="50"/>
      <c r="F109" s="50"/>
      <c r="G109" s="50"/>
      <c r="H109" s="52"/>
      <c r="I109" s="51"/>
      <c r="J109" s="52"/>
      <c r="K109" s="51"/>
      <c r="L109" s="52">
        <f>SUM(AR87:AR112)+SUM(AS87:AS112)+SUM(AT87:AT112)+SUM(AU87:AU112)+SUM(AV87:AV112)</f>
        <v>2080.36</v>
      </c>
    </row>
    <row r="110" spans="1:83" ht="71.25" x14ac:dyDescent="0.2">
      <c r="A110" s="48"/>
      <c r="B110" s="48" t="s">
        <v>721</v>
      </c>
      <c r="C110" s="48" t="s">
        <v>722</v>
      </c>
      <c r="D110" s="49" t="s">
        <v>83</v>
      </c>
      <c r="E110" s="50">
        <f>Source!BZ33</f>
        <v>121</v>
      </c>
      <c r="F110" s="50">
        <f>ROUND(0.9,7)</f>
        <v>0.9</v>
      </c>
      <c r="G110" s="50">
        <f>Source!AT33</f>
        <v>108.9</v>
      </c>
      <c r="H110" s="52"/>
      <c r="I110" s="51"/>
      <c r="J110" s="52"/>
      <c r="K110" s="51"/>
      <c r="L110" s="52">
        <f>SUM(AZ87:AZ112)</f>
        <v>2265.5100000000002</v>
      </c>
    </row>
    <row r="111" spans="1:83" ht="71.25" x14ac:dyDescent="0.2">
      <c r="A111" s="56"/>
      <c r="B111" s="56" t="s">
        <v>723</v>
      </c>
      <c r="C111" s="56" t="s">
        <v>724</v>
      </c>
      <c r="D111" s="57" t="s">
        <v>83</v>
      </c>
      <c r="E111" s="58">
        <f>Source!CA33</f>
        <v>72</v>
      </c>
      <c r="F111" s="58">
        <f>ROUND(0.85,7)</f>
        <v>0.85</v>
      </c>
      <c r="G111" s="58">
        <f>Source!AU33</f>
        <v>61.2</v>
      </c>
      <c r="H111" s="59"/>
      <c r="I111" s="60"/>
      <c r="J111" s="59"/>
      <c r="K111" s="60"/>
      <c r="L111" s="59">
        <f>SUM(BA87:BA112)</f>
        <v>1273.18</v>
      </c>
    </row>
    <row r="112" spans="1:83" ht="15" x14ac:dyDescent="0.2">
      <c r="C112" s="131" t="s">
        <v>709</v>
      </c>
      <c r="D112" s="131"/>
      <c r="E112" s="131"/>
      <c r="F112" s="131"/>
      <c r="G112" s="131"/>
      <c r="H112" s="131"/>
      <c r="I112" s="132">
        <f>IF(E87&lt;&gt;0,K112/E87, 0)</f>
        <v>11137.1</v>
      </c>
      <c r="J112" s="132"/>
      <c r="K112" s="132">
        <f>L89+L91+L100+L110+L111+L92+SUM(L107:L108)</f>
        <v>11137.1</v>
      </c>
      <c r="L112" s="132"/>
      <c r="AD112">
        <f>ROUND((Source!AT33/100)*((ROUND(SUMIF(SmtRes!AQ12:'SmtRes'!AQ22,"=1",SmtRes!AD12:'SmtRes'!AD22)*Source!I33, 2)+ROUND(SUMIF(SmtRes!AQ12:'SmtRes'!AQ22,"=1",SmtRes!AC12:'SmtRes'!AC22)*Source!I33, 2))), 2)</f>
        <v>3641.07</v>
      </c>
      <c r="AE112">
        <f>ROUND((Source!AU33/100)*((ROUND(SUMIF(SmtRes!AQ12:'SmtRes'!AQ22,"=1",SmtRes!AD12:'SmtRes'!AD22)*Source!I33, 2)+ROUND(SUMIF(SmtRes!AQ12:'SmtRes'!AQ22,"=1",SmtRes!AC12:'SmtRes'!AC22)*Source!I33, 2))), 2)</f>
        <v>2046.22</v>
      </c>
      <c r="AN112" s="61">
        <f>L89+L91+L100+L110+L111+L92</f>
        <v>6095.21</v>
      </c>
      <c r="AO112" s="61">
        <f>L91</f>
        <v>74.840000000000018</v>
      </c>
      <c r="AQ112" t="s">
        <v>710</v>
      </c>
      <c r="AR112" s="61">
        <f>L89</f>
        <v>2038.07</v>
      </c>
      <c r="AT112" s="61">
        <f>L92</f>
        <v>42.29</v>
      </c>
      <c r="AV112" t="s">
        <v>710</v>
      </c>
      <c r="AW112" s="61">
        <f>L100</f>
        <v>401.32000000000005</v>
      </c>
      <c r="AZ112">
        <f>Source!X33</f>
        <v>2265.5100000000002</v>
      </c>
      <c r="BA112">
        <f>Source!Y33</f>
        <v>1273.18</v>
      </c>
      <c r="CD112">
        <v>1</v>
      </c>
    </row>
    <row r="113" spans="1:101" ht="71.25" x14ac:dyDescent="0.2">
      <c r="A113" s="46" t="s">
        <v>67</v>
      </c>
      <c r="B113" s="48" t="s">
        <v>725</v>
      </c>
      <c r="C113" s="48" t="str">
        <f>Source!G36</f>
        <v>Арматура муфтовая с ручным приводом или без привода водопроводная на номинальное давление до 10 МПа, номинальный диаметр: 20 мм/ДЕМОНТАЖ</v>
      </c>
      <c r="D113" s="49" t="str">
        <f>Source!H36</f>
        <v>ШТ</v>
      </c>
      <c r="E113" s="50">
        <f>Source!K36</f>
        <v>3</v>
      </c>
      <c r="F113" s="50"/>
      <c r="G113" s="50">
        <f>Source!I36</f>
        <v>3</v>
      </c>
      <c r="H113" s="52"/>
      <c r="I113" s="51"/>
      <c r="J113" s="52"/>
      <c r="K113" s="51"/>
      <c r="L113" s="52"/>
    </row>
    <row r="114" spans="1:101" ht="25.5" x14ac:dyDescent="0.2">
      <c r="B114" s="64" t="s">
        <v>646</v>
      </c>
      <c r="C114" s="130" t="s">
        <v>726</v>
      </c>
      <c r="D114" s="130"/>
      <c r="E114" s="130"/>
      <c r="F114" s="130"/>
      <c r="G114" s="130"/>
      <c r="H114" s="130"/>
      <c r="I114" s="130"/>
      <c r="J114" s="130"/>
      <c r="K114" s="130"/>
      <c r="L114" s="130"/>
      <c r="CW114" s="65" t="s">
        <v>726</v>
      </c>
    </row>
    <row r="115" spans="1:101" ht="15" x14ac:dyDescent="0.2">
      <c r="A115" s="47"/>
      <c r="B115" s="50">
        <v>1</v>
      </c>
      <c r="C115" s="47" t="s">
        <v>698</v>
      </c>
      <c r="D115" s="49" t="s">
        <v>449</v>
      </c>
      <c r="E115" s="54"/>
      <c r="F115" s="50"/>
      <c r="G115" s="50">
        <f>Source!U36</f>
        <v>4.32</v>
      </c>
      <c r="H115" s="50"/>
      <c r="I115" s="50"/>
      <c r="J115" s="50"/>
      <c r="K115" s="50"/>
      <c r="L115" s="55">
        <f>SUM(L116:L116)-SUMIF(CE116:CE116, 1, L116:L116)</f>
        <v>3119.26</v>
      </c>
    </row>
    <row r="116" spans="1:101" ht="14.25" x14ac:dyDescent="0.2">
      <c r="A116" s="48"/>
      <c r="B116" s="48" t="s">
        <v>486</v>
      </c>
      <c r="C116" s="48" t="s">
        <v>487</v>
      </c>
      <c r="D116" s="49" t="s">
        <v>449</v>
      </c>
      <c r="E116" s="50">
        <v>4.8</v>
      </c>
      <c r="F116" s="50">
        <f>ROUND(0.3,7)</f>
        <v>0.3</v>
      </c>
      <c r="G116" s="50">
        <f>SmtRes!CX23</f>
        <v>4.32</v>
      </c>
      <c r="H116" s="52"/>
      <c r="I116" s="51"/>
      <c r="J116" s="52">
        <f>SmtRes!CZ23</f>
        <v>722.05</v>
      </c>
      <c r="K116" s="51"/>
      <c r="L116" s="52">
        <f>SmtRes!DI23</f>
        <v>3119.26</v>
      </c>
    </row>
    <row r="117" spans="1:101" ht="15" x14ac:dyDescent="0.2">
      <c r="A117" s="47"/>
      <c r="B117" s="50">
        <v>2</v>
      </c>
      <c r="C117" s="47" t="s">
        <v>699</v>
      </c>
      <c r="D117" s="49"/>
      <c r="E117" s="54"/>
      <c r="F117" s="50"/>
      <c r="G117" s="50"/>
      <c r="H117" s="50"/>
      <c r="I117" s="50"/>
      <c r="J117" s="50"/>
      <c r="K117" s="50"/>
      <c r="L117" s="55">
        <f>SUM(L118:L119)-SUMIF(CE118:CE119, 1, L118:L119)</f>
        <v>16.260000000000002</v>
      </c>
    </row>
    <row r="118" spans="1:101" ht="15" hidden="1" x14ac:dyDescent="0.2">
      <c r="A118" s="47"/>
      <c r="B118" s="50"/>
      <c r="C118" s="47" t="s">
        <v>701</v>
      </c>
      <c r="D118" s="49" t="s">
        <v>449</v>
      </c>
      <c r="E118" s="54"/>
      <c r="F118" s="50"/>
      <c r="G118" s="50">
        <f>Source!V36</f>
        <v>0</v>
      </c>
      <c r="H118" s="50"/>
      <c r="I118" s="50"/>
      <c r="J118" s="50"/>
      <c r="K118" s="50"/>
      <c r="L118" s="55">
        <f>SUMIF(CE119:CE119, 1, L119:L119)</f>
        <v>0</v>
      </c>
      <c r="CE118">
        <v>1</v>
      </c>
    </row>
    <row r="119" spans="1:101" ht="42.75" x14ac:dyDescent="0.2">
      <c r="A119" s="48"/>
      <c r="B119" s="48" t="s">
        <v>477</v>
      </c>
      <c r="C119" s="48" t="s">
        <v>479</v>
      </c>
      <c r="D119" s="49" t="s">
        <v>455</v>
      </c>
      <c r="E119" s="50">
        <v>0.56000000000000005</v>
      </c>
      <c r="F119" s="50">
        <f>ROUND(0.3,7)</f>
        <v>0.3</v>
      </c>
      <c r="G119" s="50">
        <f>SmtRes!CX24</f>
        <v>0.504</v>
      </c>
      <c r="H119" s="52"/>
      <c r="I119" s="51"/>
      <c r="J119" s="52">
        <f>SmtRes!CZ24</f>
        <v>32.26</v>
      </c>
      <c r="K119" s="51"/>
      <c r="L119" s="52">
        <f>SmtRes!DG24</f>
        <v>16.260000000000002</v>
      </c>
    </row>
    <row r="120" spans="1:101" ht="15" hidden="1" x14ac:dyDescent="0.2">
      <c r="A120" s="47"/>
      <c r="B120" s="50">
        <v>4</v>
      </c>
      <c r="C120" s="47" t="s">
        <v>702</v>
      </c>
      <c r="D120" s="49"/>
      <c r="E120" s="54"/>
      <c r="F120" s="50"/>
      <c r="G120" s="50"/>
      <c r="H120" s="50"/>
      <c r="I120" s="50"/>
      <c r="J120" s="50"/>
      <c r="K120" s="50"/>
      <c r="L120" s="55">
        <f>SUM(L121:L124)-SUMIF(CE121:CE124, 1, L121:L124)</f>
        <v>0</v>
      </c>
    </row>
    <row r="121" spans="1:101" ht="14.25" x14ac:dyDescent="0.2">
      <c r="A121" s="48"/>
      <c r="B121" s="48" t="s">
        <v>488</v>
      </c>
      <c r="C121" s="48" t="s">
        <v>490</v>
      </c>
      <c r="D121" s="49" t="s">
        <v>309</v>
      </c>
      <c r="E121" s="50">
        <v>1.2999999999999999E-2</v>
      </c>
      <c r="F121" s="50">
        <f>ROUND(0,7)</f>
        <v>0</v>
      </c>
      <c r="G121" s="50">
        <f>SmtRes!CX25</f>
        <v>0</v>
      </c>
      <c r="H121" s="52">
        <f>SmtRes!CZ25</f>
        <v>340.41</v>
      </c>
      <c r="I121" s="51">
        <f>SmtRes!AI25</f>
        <v>1.5</v>
      </c>
      <c r="J121" s="52">
        <f>ROUND(H121*I121, 2)</f>
        <v>510.62</v>
      </c>
      <c r="K121" s="51"/>
      <c r="L121" s="52">
        <f>SmtRes!DF25</f>
        <v>0</v>
      </c>
    </row>
    <row r="122" spans="1:101" ht="14.25" x14ac:dyDescent="0.2">
      <c r="A122" s="48"/>
      <c r="B122" s="48" t="s">
        <v>491</v>
      </c>
      <c r="C122" s="48" t="s">
        <v>493</v>
      </c>
      <c r="D122" s="49" t="s">
        <v>309</v>
      </c>
      <c r="E122" s="50">
        <v>2.5999999999999999E-2</v>
      </c>
      <c r="F122" s="50">
        <f>ROUND(0,7)</f>
        <v>0</v>
      </c>
      <c r="G122" s="50">
        <f>SmtRes!CX26</f>
        <v>0</v>
      </c>
      <c r="H122" s="52">
        <f>SmtRes!CZ26</f>
        <v>114.64</v>
      </c>
      <c r="I122" s="51">
        <f>SmtRes!AI26</f>
        <v>0.85</v>
      </c>
      <c r="J122" s="52">
        <f>ROUND(H122*I122, 2)</f>
        <v>97.44</v>
      </c>
      <c r="K122" s="51"/>
      <c r="L122" s="52">
        <f>SmtRes!DF26</f>
        <v>0</v>
      </c>
    </row>
    <row r="123" spans="1:101" ht="14.25" x14ac:dyDescent="0.2">
      <c r="A123" s="48"/>
      <c r="B123" s="48" t="s">
        <v>494</v>
      </c>
      <c r="C123" s="48" t="s">
        <v>496</v>
      </c>
      <c r="D123" s="49" t="s">
        <v>295</v>
      </c>
      <c r="E123" s="50">
        <v>3.0000000000000001E-3</v>
      </c>
      <c r="F123" s="50">
        <f>ROUND(0,7)</f>
        <v>0</v>
      </c>
      <c r="G123" s="50">
        <f>SmtRes!CX27</f>
        <v>0</v>
      </c>
      <c r="H123" s="52">
        <f>SmtRes!CZ27</f>
        <v>41.38</v>
      </c>
      <c r="I123" s="51">
        <f>SmtRes!AI27</f>
        <v>1.4</v>
      </c>
      <c r="J123" s="52">
        <f>ROUND(H123*I123, 2)</f>
        <v>57.93</v>
      </c>
      <c r="K123" s="51"/>
      <c r="L123" s="52">
        <f>SmtRes!DF27</f>
        <v>0</v>
      </c>
    </row>
    <row r="124" spans="1:101" ht="28.5" x14ac:dyDescent="0.2">
      <c r="A124" s="48"/>
      <c r="B124" s="48" t="s">
        <v>497</v>
      </c>
      <c r="C124" s="56" t="s">
        <v>499</v>
      </c>
      <c r="D124" s="57" t="s">
        <v>295</v>
      </c>
      <c r="E124" s="58">
        <v>0.28000000000000003</v>
      </c>
      <c r="F124" s="58">
        <f>ROUND(0,7)</f>
        <v>0</v>
      </c>
      <c r="G124" s="58">
        <f>SmtRes!CX28</f>
        <v>0</v>
      </c>
      <c r="H124" s="59">
        <f>SmtRes!CZ28</f>
        <v>98.31</v>
      </c>
      <c r="I124" s="60">
        <f>SmtRes!AI28</f>
        <v>1.1200000000000001</v>
      </c>
      <c r="J124" s="59">
        <f>ROUND(H124*I124, 2)</f>
        <v>110.11</v>
      </c>
      <c r="K124" s="60"/>
      <c r="L124" s="59">
        <f>SmtRes!DF28</f>
        <v>0</v>
      </c>
    </row>
    <row r="125" spans="1:101" ht="15" x14ac:dyDescent="0.2">
      <c r="A125" s="48"/>
      <c r="B125" s="48"/>
      <c r="C125" s="62" t="s">
        <v>703</v>
      </c>
      <c r="D125" s="49"/>
      <c r="E125" s="50"/>
      <c r="F125" s="50"/>
      <c r="G125" s="50"/>
      <c r="H125" s="52"/>
      <c r="I125" s="51"/>
      <c r="J125" s="52"/>
      <c r="K125" s="51"/>
      <c r="L125" s="52">
        <f>L115+L117+L118+L120</f>
        <v>3135.5200000000004</v>
      </c>
    </row>
    <row r="126" spans="1:101" ht="57" x14ac:dyDescent="0.2">
      <c r="A126" s="46" t="s">
        <v>727</v>
      </c>
      <c r="B126" s="48" t="str">
        <f>Source!F37</f>
        <v>421/пр_2020_п.75_пп.а</v>
      </c>
      <c r="C126" s="48" t="str">
        <f>Source!G37</f>
        <v>Сметная стоимость вспомогательных ненормируемых материальных ресурсов, не учтенная в сметной норме, 2%</v>
      </c>
      <c r="D126" s="49" t="str">
        <f>Source!H37</f>
        <v>%</v>
      </c>
      <c r="E126" s="50">
        <f>SmtRes!AT29</f>
        <v>2</v>
      </c>
      <c r="F126" s="50"/>
      <c r="G126" s="50">
        <f>Source!I37</f>
        <v>2</v>
      </c>
      <c r="H126" s="52"/>
      <c r="I126" s="51"/>
      <c r="J126" s="52"/>
      <c r="K126" s="51"/>
      <c r="L126" s="52">
        <f>Source!P37</f>
        <v>207.95</v>
      </c>
      <c r="AD126">
        <f>ROUND((Source!AT37/100)*((ROUND(0*Source!I37, 2)+ROUND(0*Source!I37, 2))), 2)</f>
        <v>0</v>
      </c>
      <c r="AE126">
        <f>ROUND((Source!AU37/100)*((ROUND(0*Source!I37, 2)+ROUND(0*Source!I37, 2))), 2)</f>
        <v>0</v>
      </c>
      <c r="AN126">
        <f>L126</f>
        <v>207.95</v>
      </c>
      <c r="AW126">
        <f>L126</f>
        <v>207.95</v>
      </c>
      <c r="AZ126">
        <f>Source!X37</f>
        <v>0</v>
      </c>
      <c r="BA126">
        <f>Source!Y37</f>
        <v>0</v>
      </c>
      <c r="CD126">
        <v>2</v>
      </c>
    </row>
    <row r="127" spans="1:101" ht="14.25" x14ac:dyDescent="0.2">
      <c r="A127" s="48"/>
      <c r="B127" s="48"/>
      <c r="C127" s="48" t="s">
        <v>706</v>
      </c>
      <c r="D127" s="49"/>
      <c r="E127" s="50"/>
      <c r="F127" s="50"/>
      <c r="G127" s="50"/>
      <c r="H127" s="52"/>
      <c r="I127" s="51"/>
      <c r="J127" s="52"/>
      <c r="K127" s="51"/>
      <c r="L127" s="52">
        <f>SUM(AR113:AR130)+SUM(AS113:AS130)+SUM(AT113:AT130)+SUM(AU113:AU130)+SUM(AV113:AV130)</f>
        <v>3119.26</v>
      </c>
    </row>
    <row r="128" spans="1:101" ht="14.25" x14ac:dyDescent="0.2">
      <c r="A128" s="48"/>
      <c r="B128" s="48" t="s">
        <v>78</v>
      </c>
      <c r="C128" s="48" t="s">
        <v>728</v>
      </c>
      <c r="D128" s="49" t="s">
        <v>83</v>
      </c>
      <c r="E128" s="50">
        <f>Source!BZ36</f>
        <v>90</v>
      </c>
      <c r="F128" s="50"/>
      <c r="G128" s="50">
        <f>Source!AT36</f>
        <v>90</v>
      </c>
      <c r="H128" s="52"/>
      <c r="I128" s="51"/>
      <c r="J128" s="52"/>
      <c r="K128" s="51"/>
      <c r="L128" s="52">
        <f>SUM(AZ113:AZ130)</f>
        <v>2807.33</v>
      </c>
    </row>
    <row r="129" spans="1:83" ht="14.25" x14ac:dyDescent="0.2">
      <c r="A129" s="56"/>
      <c r="B129" s="56" t="s">
        <v>79</v>
      </c>
      <c r="C129" s="56" t="s">
        <v>729</v>
      </c>
      <c r="D129" s="57" t="s">
        <v>83</v>
      </c>
      <c r="E129" s="58">
        <f>Source!CA36</f>
        <v>46</v>
      </c>
      <c r="F129" s="58"/>
      <c r="G129" s="58">
        <f>Source!AU36</f>
        <v>46</v>
      </c>
      <c r="H129" s="59"/>
      <c r="I129" s="60"/>
      <c r="J129" s="59"/>
      <c r="K129" s="60"/>
      <c r="L129" s="59">
        <f>SUM(BA113:BA130)</f>
        <v>1434.86</v>
      </c>
    </row>
    <row r="130" spans="1:83" ht="15" x14ac:dyDescent="0.2">
      <c r="C130" s="131" t="s">
        <v>709</v>
      </c>
      <c r="D130" s="131"/>
      <c r="E130" s="131"/>
      <c r="F130" s="131"/>
      <c r="G130" s="131"/>
      <c r="H130" s="131"/>
      <c r="I130" s="132">
        <f>IF(E113&lt;&gt;0,K130/E113, 0)</f>
        <v>2528.5533333333333</v>
      </c>
      <c r="J130" s="132"/>
      <c r="K130" s="132">
        <f>L115+L117+L120+L128+L129+L118+SUM(L126:L126)</f>
        <v>7585.66</v>
      </c>
      <c r="L130" s="132"/>
      <c r="AD130">
        <f>ROUND((Source!AT36/100)*((ROUND(SUMIF(SmtRes!AQ23:'SmtRes'!AQ29,"=1",SmtRes!AD23:'SmtRes'!AD29)*Source!I36, 2)+ROUND(SUMIF(SmtRes!AQ23:'SmtRes'!AQ29,"=1",SmtRes!AC23:'SmtRes'!AC29)*Source!I36, 2))), 2)</f>
        <v>1949.54</v>
      </c>
      <c r="AE130">
        <f>ROUND((Source!AU36/100)*((ROUND(SUMIF(SmtRes!AQ23:'SmtRes'!AQ29,"=1",SmtRes!AD23:'SmtRes'!AD29)*Source!I36, 2)+ROUND(SUMIF(SmtRes!AQ23:'SmtRes'!AQ29,"=1",SmtRes!AC23:'SmtRes'!AC29)*Source!I36, 2))), 2)</f>
        <v>996.43</v>
      </c>
      <c r="AN130" s="61">
        <f>L115+L117+L120+L128+L129+L118</f>
        <v>7377.71</v>
      </c>
      <c r="AO130" s="61">
        <f>L117</f>
        <v>16.260000000000002</v>
      </c>
      <c r="AQ130" t="s">
        <v>710</v>
      </c>
      <c r="AR130" s="61">
        <f>L115</f>
        <v>3119.26</v>
      </c>
      <c r="AT130" s="61">
        <f>L118</f>
        <v>0</v>
      </c>
      <c r="AV130" t="s">
        <v>710</v>
      </c>
      <c r="AW130" s="61">
        <f>L120</f>
        <v>0</v>
      </c>
      <c r="AZ130">
        <f>Source!X36</f>
        <v>2807.33</v>
      </c>
      <c r="BA130">
        <f>Source!Y36</f>
        <v>1434.86</v>
      </c>
      <c r="CD130">
        <v>2</v>
      </c>
    </row>
    <row r="131" spans="1:83" ht="71.25" x14ac:dyDescent="0.2">
      <c r="A131" s="46" t="s">
        <v>84</v>
      </c>
      <c r="B131" s="48" t="s">
        <v>725</v>
      </c>
      <c r="C131" s="48" t="str">
        <f>Source!G38</f>
        <v>Арматура муфтовая с ручным приводом или без привода водопроводная на номинальное давление до 10 МПа, номинальный диаметр: 20 мм</v>
      </c>
      <c r="D131" s="49" t="str">
        <f>Source!H38</f>
        <v>ШТ</v>
      </c>
      <c r="E131" s="50">
        <f>Source!K38</f>
        <v>3</v>
      </c>
      <c r="F131" s="50"/>
      <c r="G131" s="50">
        <f>Source!I38</f>
        <v>3</v>
      </c>
      <c r="H131" s="52"/>
      <c r="I131" s="51"/>
      <c r="J131" s="52"/>
      <c r="K131" s="51"/>
      <c r="L131" s="52"/>
    </row>
    <row r="132" spans="1:83" ht="15" x14ac:dyDescent="0.2">
      <c r="A132" s="47"/>
      <c r="B132" s="50">
        <v>1</v>
      </c>
      <c r="C132" s="47" t="s">
        <v>698</v>
      </c>
      <c r="D132" s="49" t="s">
        <v>449</v>
      </c>
      <c r="E132" s="54"/>
      <c r="F132" s="50"/>
      <c r="G132" s="50">
        <f>Source!U38</f>
        <v>14.4</v>
      </c>
      <c r="H132" s="50"/>
      <c r="I132" s="50"/>
      <c r="J132" s="50"/>
      <c r="K132" s="50"/>
      <c r="L132" s="55">
        <f>SUM(L133:L133)-SUMIF(CE133:CE133, 1, L133:L133)</f>
        <v>10397.52</v>
      </c>
    </row>
    <row r="133" spans="1:83" ht="14.25" x14ac:dyDescent="0.2">
      <c r="A133" s="48"/>
      <c r="B133" s="48" t="s">
        <v>486</v>
      </c>
      <c r="C133" s="48" t="s">
        <v>487</v>
      </c>
      <c r="D133" s="49" t="s">
        <v>449</v>
      </c>
      <c r="E133" s="50">
        <v>4.8</v>
      </c>
      <c r="F133" s="50"/>
      <c r="G133" s="50">
        <f>SmtRes!CX30</f>
        <v>14.4</v>
      </c>
      <c r="H133" s="52"/>
      <c r="I133" s="51"/>
      <c r="J133" s="52">
        <f>SmtRes!CZ30</f>
        <v>722.05</v>
      </c>
      <c r="K133" s="51"/>
      <c r="L133" s="52">
        <f>SmtRes!DI30</f>
        <v>10397.52</v>
      </c>
    </row>
    <row r="134" spans="1:83" ht="15" x14ac:dyDescent="0.2">
      <c r="A134" s="47"/>
      <c r="B134" s="50">
        <v>2</v>
      </c>
      <c r="C134" s="47" t="s">
        <v>699</v>
      </c>
      <c r="D134" s="49"/>
      <c r="E134" s="54"/>
      <c r="F134" s="50"/>
      <c r="G134" s="50"/>
      <c r="H134" s="50"/>
      <c r="I134" s="50"/>
      <c r="J134" s="50"/>
      <c r="K134" s="50"/>
      <c r="L134" s="55">
        <f>SUM(L135:L136)-SUMIF(CE135:CE136, 1, L135:L136)</f>
        <v>54.2</v>
      </c>
    </row>
    <row r="135" spans="1:83" ht="15" hidden="1" x14ac:dyDescent="0.2">
      <c r="A135" s="47"/>
      <c r="B135" s="50"/>
      <c r="C135" s="47" t="s">
        <v>701</v>
      </c>
      <c r="D135" s="49" t="s">
        <v>449</v>
      </c>
      <c r="E135" s="54"/>
      <c r="F135" s="50"/>
      <c r="G135" s="50">
        <f>Source!V38</f>
        <v>0</v>
      </c>
      <c r="H135" s="50"/>
      <c r="I135" s="50"/>
      <c r="J135" s="50"/>
      <c r="K135" s="50"/>
      <c r="L135" s="55">
        <f>SUMIF(CE136:CE136, 1, L136:L136)</f>
        <v>0</v>
      </c>
      <c r="CE135">
        <v>1</v>
      </c>
    </row>
    <row r="136" spans="1:83" ht="42.75" x14ac:dyDescent="0.2">
      <c r="A136" s="48"/>
      <c r="B136" s="48" t="s">
        <v>477</v>
      </c>
      <c r="C136" s="48" t="s">
        <v>479</v>
      </c>
      <c r="D136" s="49" t="s">
        <v>455</v>
      </c>
      <c r="E136" s="50">
        <v>0.56000000000000005</v>
      </c>
      <c r="F136" s="50"/>
      <c r="G136" s="50">
        <f>SmtRes!CX31</f>
        <v>1.68</v>
      </c>
      <c r="H136" s="52"/>
      <c r="I136" s="51"/>
      <c r="J136" s="52">
        <f>SmtRes!CZ31</f>
        <v>32.26</v>
      </c>
      <c r="K136" s="51"/>
      <c r="L136" s="52">
        <f>SmtRes!DG31</f>
        <v>54.2</v>
      </c>
    </row>
    <row r="137" spans="1:83" ht="15" x14ac:dyDescent="0.2">
      <c r="A137" s="47"/>
      <c r="B137" s="50">
        <v>4</v>
      </c>
      <c r="C137" s="47" t="s">
        <v>702</v>
      </c>
      <c r="D137" s="49"/>
      <c r="E137" s="54"/>
      <c r="F137" s="50"/>
      <c r="G137" s="50"/>
      <c r="H137" s="50"/>
      <c r="I137" s="50"/>
      <c r="J137" s="50"/>
      <c r="K137" s="50"/>
      <c r="L137" s="55">
        <f>SUM(L138:L141)-SUMIF(CE138:CE141, 1, L138:L141)</f>
        <v>120.52</v>
      </c>
    </row>
    <row r="138" spans="1:83" ht="14.25" x14ac:dyDescent="0.2">
      <c r="A138" s="48"/>
      <c r="B138" s="48" t="s">
        <v>488</v>
      </c>
      <c r="C138" s="48" t="s">
        <v>490</v>
      </c>
      <c r="D138" s="49" t="s">
        <v>309</v>
      </c>
      <c r="E138" s="50">
        <v>1.2999999999999999E-2</v>
      </c>
      <c r="F138" s="50"/>
      <c r="G138" s="50">
        <f>SmtRes!CX32</f>
        <v>3.9E-2</v>
      </c>
      <c r="H138" s="52">
        <f>SmtRes!CZ32</f>
        <v>340.41</v>
      </c>
      <c r="I138" s="51">
        <f>SmtRes!AI32</f>
        <v>1.5</v>
      </c>
      <c r="J138" s="52">
        <f>ROUND(H138*I138, 2)</f>
        <v>510.62</v>
      </c>
      <c r="K138" s="51"/>
      <c r="L138" s="52">
        <f>SmtRes!DF32</f>
        <v>19.91</v>
      </c>
    </row>
    <row r="139" spans="1:83" ht="14.25" x14ac:dyDescent="0.2">
      <c r="A139" s="48"/>
      <c r="B139" s="48" t="s">
        <v>491</v>
      </c>
      <c r="C139" s="48" t="s">
        <v>493</v>
      </c>
      <c r="D139" s="49" t="s">
        <v>309</v>
      </c>
      <c r="E139" s="50">
        <v>2.5999999999999999E-2</v>
      </c>
      <c r="F139" s="50"/>
      <c r="G139" s="50">
        <f>SmtRes!CX33</f>
        <v>7.8E-2</v>
      </c>
      <c r="H139" s="52">
        <f>SmtRes!CZ33</f>
        <v>114.64</v>
      </c>
      <c r="I139" s="51">
        <f>SmtRes!AI33</f>
        <v>0.85</v>
      </c>
      <c r="J139" s="52">
        <f>ROUND(H139*I139, 2)</f>
        <v>97.44</v>
      </c>
      <c r="K139" s="51"/>
      <c r="L139" s="52">
        <f>SmtRes!DF33</f>
        <v>7.6</v>
      </c>
    </row>
    <row r="140" spans="1:83" ht="14.25" x14ac:dyDescent="0.2">
      <c r="A140" s="48"/>
      <c r="B140" s="48" t="s">
        <v>494</v>
      </c>
      <c r="C140" s="48" t="s">
        <v>496</v>
      </c>
      <c r="D140" s="49" t="s">
        <v>295</v>
      </c>
      <c r="E140" s="50">
        <v>3.0000000000000001E-3</v>
      </c>
      <c r="F140" s="50"/>
      <c r="G140" s="50">
        <f>SmtRes!CX34</f>
        <v>8.9999999999999993E-3</v>
      </c>
      <c r="H140" s="52">
        <f>SmtRes!CZ34</f>
        <v>41.38</v>
      </c>
      <c r="I140" s="51">
        <f>SmtRes!AI34</f>
        <v>1.4</v>
      </c>
      <c r="J140" s="52">
        <f>ROUND(H140*I140, 2)</f>
        <v>57.93</v>
      </c>
      <c r="K140" s="51"/>
      <c r="L140" s="52">
        <f>SmtRes!DF34</f>
        <v>0.52</v>
      </c>
    </row>
    <row r="141" spans="1:83" ht="28.5" x14ac:dyDescent="0.2">
      <c r="A141" s="48"/>
      <c r="B141" s="48" t="s">
        <v>497</v>
      </c>
      <c r="C141" s="56" t="s">
        <v>499</v>
      </c>
      <c r="D141" s="57" t="s">
        <v>295</v>
      </c>
      <c r="E141" s="58">
        <v>0.28000000000000003</v>
      </c>
      <c r="F141" s="58"/>
      <c r="G141" s="58">
        <f>SmtRes!CX35</f>
        <v>0.84</v>
      </c>
      <c r="H141" s="59">
        <f>SmtRes!CZ35</f>
        <v>98.31</v>
      </c>
      <c r="I141" s="60">
        <f>SmtRes!AI35</f>
        <v>1.1200000000000001</v>
      </c>
      <c r="J141" s="59">
        <f>ROUND(H141*I141, 2)</f>
        <v>110.11</v>
      </c>
      <c r="K141" s="60"/>
      <c r="L141" s="59">
        <f>SmtRes!DF35</f>
        <v>92.49</v>
      </c>
    </row>
    <row r="142" spans="1:83" ht="15" x14ac:dyDescent="0.2">
      <c r="A142" s="48"/>
      <c r="B142" s="48"/>
      <c r="C142" s="62" t="s">
        <v>703</v>
      </c>
      <c r="D142" s="49"/>
      <c r="E142" s="50"/>
      <c r="F142" s="50"/>
      <c r="G142" s="50"/>
      <c r="H142" s="52"/>
      <c r="I142" s="51"/>
      <c r="J142" s="52"/>
      <c r="K142" s="51"/>
      <c r="L142" s="52">
        <f>L132+L134+L135+L137</f>
        <v>10572.240000000002</v>
      </c>
    </row>
    <row r="143" spans="1:83" ht="57" x14ac:dyDescent="0.2">
      <c r="A143" s="46" t="s">
        <v>730</v>
      </c>
      <c r="B143" s="48" t="str">
        <f>Source!F39</f>
        <v>421/пр_2020_п.75_пп.а</v>
      </c>
      <c r="C143" s="48" t="str">
        <f>Source!G39</f>
        <v>Сметная стоимость вспомогательных ненормируемых материальных ресурсов, не учтенная в сметной норме, 2%</v>
      </c>
      <c r="D143" s="49" t="str">
        <f>Source!H39</f>
        <v>%</v>
      </c>
      <c r="E143" s="50">
        <f>SmtRes!AT37</f>
        <v>2</v>
      </c>
      <c r="F143" s="50"/>
      <c r="G143" s="50">
        <f>Source!I39</f>
        <v>2</v>
      </c>
      <c r="H143" s="52"/>
      <c r="I143" s="51"/>
      <c r="J143" s="52"/>
      <c r="K143" s="51"/>
      <c r="L143" s="52">
        <f>Source!P39</f>
        <v>207.95</v>
      </c>
      <c r="AD143">
        <f>ROUND((Source!AT39/100)*((ROUND(0*Source!I39, 2)+ROUND(0*Source!I39, 2))), 2)</f>
        <v>0</v>
      </c>
      <c r="AE143">
        <f>ROUND((Source!AU39/100)*((ROUND(0*Source!I39, 2)+ROUND(0*Source!I39, 2))), 2)</f>
        <v>0</v>
      </c>
      <c r="AN143">
        <f>L143</f>
        <v>207.95</v>
      </c>
      <c r="AW143">
        <f>L143</f>
        <v>207.95</v>
      </c>
      <c r="AZ143">
        <f>Source!X39</f>
        <v>0</v>
      </c>
      <c r="BA143">
        <f>Source!Y39</f>
        <v>0</v>
      </c>
      <c r="CD143">
        <v>2</v>
      </c>
    </row>
    <row r="144" spans="1:83" ht="71.25" x14ac:dyDescent="0.2">
      <c r="A144" s="46" t="s">
        <v>731</v>
      </c>
      <c r="B144" s="48" t="str">
        <f>Source!F40</f>
        <v>18.1.06.08-1002</v>
      </c>
      <c r="C144" s="48" t="str">
        <f>Source!G40</f>
        <v>Комплект ручного балансировочного и запорного клапанов, с внутренним резьбовым присоединением, номинальное давление 2,0 МПа, номинальный диаметр 20 мм</v>
      </c>
      <c r="D144" s="49" t="str">
        <f>Source!H40</f>
        <v>КОМПЛ</v>
      </c>
      <c r="E144" s="50">
        <f>SmtRes!AT36</f>
        <v>1</v>
      </c>
      <c r="F144" s="50"/>
      <c r="G144" s="50">
        <f>Source!I40</f>
        <v>3</v>
      </c>
      <c r="H144" s="52">
        <f>Source!AL40+Source!AO40+Source!AM40+Source!AN40</f>
        <v>6194.32</v>
      </c>
      <c r="I144" s="51">
        <f>IF(Source!BC40&lt;&gt; 0, Source!BC40, 1)</f>
        <v>1.37</v>
      </c>
      <c r="J144" s="52">
        <f>ROUND(H144*I144, 2)</f>
        <v>8486.2199999999993</v>
      </c>
      <c r="K144" s="51"/>
      <c r="L144" s="52">
        <f>Source!P40</f>
        <v>25458.66</v>
      </c>
      <c r="AD144">
        <f>ROUND((Source!AT40/100)*((ROUND(ROUND(Source!AO40,2)*Source!I40, 2)+ROUND(ROUND(Source!AN40,2)*Source!I40, 2))), 2)</f>
        <v>0</v>
      </c>
      <c r="AE144">
        <f>ROUND((Source!AU40/100)*((ROUND(ROUND(Source!AO40,2)*Source!I40, 2)+ROUND(ROUND(Source!AN40,2)*Source!I40, 2))), 2)</f>
        <v>0</v>
      </c>
      <c r="AN144">
        <f>L144</f>
        <v>25458.66</v>
      </c>
      <c r="AW144">
        <f>L144</f>
        <v>25458.66</v>
      </c>
      <c r="AZ144">
        <f>Source!X40</f>
        <v>0</v>
      </c>
      <c r="BA144">
        <f>Source!Y40</f>
        <v>0</v>
      </c>
      <c r="CD144">
        <v>2</v>
      </c>
    </row>
    <row r="145" spans="1:101" ht="14.25" x14ac:dyDescent="0.2">
      <c r="A145" s="48"/>
      <c r="B145" s="48"/>
      <c r="C145" s="48" t="s">
        <v>706</v>
      </c>
      <c r="D145" s="49"/>
      <c r="E145" s="50"/>
      <c r="F145" s="50"/>
      <c r="G145" s="50"/>
      <c r="H145" s="52"/>
      <c r="I145" s="51"/>
      <c r="J145" s="52"/>
      <c r="K145" s="51"/>
      <c r="L145" s="52">
        <f>SUM(AR131:AR148)+SUM(AS131:AS148)+SUM(AT131:AT148)+SUM(AU131:AU148)+SUM(AV131:AV148)</f>
        <v>10397.52</v>
      </c>
    </row>
    <row r="146" spans="1:101" ht="14.25" x14ac:dyDescent="0.2">
      <c r="A146" s="48"/>
      <c r="B146" s="48" t="s">
        <v>78</v>
      </c>
      <c r="C146" s="48" t="s">
        <v>728</v>
      </c>
      <c r="D146" s="49" t="s">
        <v>83</v>
      </c>
      <c r="E146" s="50">
        <f>Source!BZ38</f>
        <v>90</v>
      </c>
      <c r="F146" s="50"/>
      <c r="G146" s="50">
        <f>Source!AT38</f>
        <v>90</v>
      </c>
      <c r="H146" s="52"/>
      <c r="I146" s="51"/>
      <c r="J146" s="52"/>
      <c r="K146" s="51"/>
      <c r="L146" s="52">
        <f>SUM(AZ131:AZ148)</f>
        <v>9357.77</v>
      </c>
    </row>
    <row r="147" spans="1:101" ht="14.25" x14ac:dyDescent="0.2">
      <c r="A147" s="56"/>
      <c r="B147" s="56" t="s">
        <v>79</v>
      </c>
      <c r="C147" s="56" t="s">
        <v>729</v>
      </c>
      <c r="D147" s="57" t="s">
        <v>83</v>
      </c>
      <c r="E147" s="58">
        <f>Source!CA38</f>
        <v>46</v>
      </c>
      <c r="F147" s="58"/>
      <c r="G147" s="58">
        <f>Source!AU38</f>
        <v>46</v>
      </c>
      <c r="H147" s="59"/>
      <c r="I147" s="60"/>
      <c r="J147" s="59"/>
      <c r="K147" s="60"/>
      <c r="L147" s="59">
        <f>SUM(BA131:BA148)</f>
        <v>4782.8599999999997</v>
      </c>
    </row>
    <row r="148" spans="1:101" ht="15" x14ac:dyDescent="0.2">
      <c r="C148" s="131" t="s">
        <v>709</v>
      </c>
      <c r="D148" s="131"/>
      <c r="E148" s="131"/>
      <c r="F148" s="131"/>
      <c r="G148" s="131"/>
      <c r="H148" s="131"/>
      <c r="I148" s="132">
        <f>IF(E131&lt;&gt;0,K148/E131, 0)</f>
        <v>16793.16</v>
      </c>
      <c r="J148" s="132"/>
      <c r="K148" s="132">
        <f>L132+L134+L137+L146+L147+L135+SUM(L143:L144)</f>
        <v>50379.48</v>
      </c>
      <c r="L148" s="132"/>
      <c r="AD148">
        <f>ROUND((Source!AT38/100)*((ROUND(SUMIF(SmtRes!AQ30:'SmtRes'!AQ37,"=1",SmtRes!AD30:'SmtRes'!AD37)*Source!I38, 2)+ROUND(SUMIF(SmtRes!AQ30:'SmtRes'!AQ37,"=1",SmtRes!AC30:'SmtRes'!AC37)*Source!I38, 2))), 2)</f>
        <v>1949.54</v>
      </c>
      <c r="AE148">
        <f>ROUND((Source!AU38/100)*((ROUND(SUMIF(SmtRes!AQ30:'SmtRes'!AQ37,"=1",SmtRes!AD30:'SmtRes'!AD37)*Source!I38, 2)+ROUND(SUMIF(SmtRes!AQ30:'SmtRes'!AQ37,"=1",SmtRes!AC30:'SmtRes'!AC37)*Source!I38, 2))), 2)</f>
        <v>996.43</v>
      </c>
      <c r="AN148" s="61">
        <f>L132+L134+L137+L146+L147+L135</f>
        <v>24712.870000000003</v>
      </c>
      <c r="AO148" s="61">
        <f>L134</f>
        <v>54.2</v>
      </c>
      <c r="AQ148" t="s">
        <v>710</v>
      </c>
      <c r="AR148" s="61">
        <f>L132</f>
        <v>10397.52</v>
      </c>
      <c r="AT148" s="61">
        <f>L135</f>
        <v>0</v>
      </c>
      <c r="AV148" t="s">
        <v>710</v>
      </c>
      <c r="AW148" s="61">
        <f>L137</f>
        <v>120.52</v>
      </c>
      <c r="AZ148">
        <f>Source!X38</f>
        <v>9357.77</v>
      </c>
      <c r="BA148">
        <f>Source!Y38</f>
        <v>4782.8599999999997</v>
      </c>
      <c r="CD148">
        <v>2</v>
      </c>
    </row>
    <row r="149" spans="1:101" ht="71.25" x14ac:dyDescent="0.2">
      <c r="A149" s="46" t="s">
        <v>92</v>
      </c>
      <c r="B149" s="48" t="s">
        <v>732</v>
      </c>
      <c r="C149" s="48" t="str">
        <f>Source!G41</f>
        <v>Гидравлическое испытание трубопроводов систем отопления, водопровода и горячего водоснабжения диаметром: до 100 мм /диам.65 мм</v>
      </c>
      <c r="D149" s="49" t="str">
        <f>Source!H41</f>
        <v>100 м</v>
      </c>
      <c r="E149" s="50">
        <f>Source!K41</f>
        <v>2.35</v>
      </c>
      <c r="F149" s="50"/>
      <c r="G149" s="50">
        <f>Source!I41</f>
        <v>2.35</v>
      </c>
      <c r="H149" s="52"/>
      <c r="I149" s="51"/>
      <c r="J149" s="52"/>
      <c r="K149" s="51"/>
      <c r="L149" s="52"/>
    </row>
    <row r="150" spans="1:101" ht="51" x14ac:dyDescent="0.2">
      <c r="B150" s="64" t="s">
        <v>644</v>
      </c>
      <c r="C150" s="130" t="s">
        <v>717</v>
      </c>
      <c r="D150" s="130"/>
      <c r="E150" s="130"/>
      <c r="F150" s="130"/>
      <c r="G150" s="130"/>
      <c r="H150" s="130"/>
      <c r="I150" s="130"/>
      <c r="J150" s="130"/>
      <c r="K150" s="130"/>
      <c r="L150" s="130"/>
      <c r="CW150" s="65" t="s">
        <v>717</v>
      </c>
    </row>
    <row r="151" spans="1:101" x14ac:dyDescent="0.2">
      <c r="C151" s="53" t="str">
        <f>"Объем: "&amp;Source!I41&amp;"=235/"&amp;"100"</f>
        <v>Объем: 2,35=235/100</v>
      </c>
    </row>
    <row r="152" spans="1:101" ht="15" x14ac:dyDescent="0.2">
      <c r="A152" s="47"/>
      <c r="B152" s="50">
        <v>1</v>
      </c>
      <c r="C152" s="47" t="s">
        <v>698</v>
      </c>
      <c r="D152" s="49" t="s">
        <v>449</v>
      </c>
      <c r="E152" s="54"/>
      <c r="F152" s="50"/>
      <c r="G152" s="50">
        <f>Source!U41</f>
        <v>13.539524999999999</v>
      </c>
      <c r="H152" s="50"/>
      <c r="I152" s="50"/>
      <c r="J152" s="50"/>
      <c r="K152" s="50"/>
      <c r="L152" s="55">
        <f>SUM(L153:L153)-SUMIF(CE153:CE153, 1, L153:L153)</f>
        <v>11804.3</v>
      </c>
    </row>
    <row r="153" spans="1:101" ht="14.25" x14ac:dyDescent="0.2">
      <c r="A153" s="48"/>
      <c r="B153" s="48" t="s">
        <v>500</v>
      </c>
      <c r="C153" s="48" t="s">
        <v>501</v>
      </c>
      <c r="D153" s="49" t="s">
        <v>449</v>
      </c>
      <c r="E153" s="50">
        <v>5.01</v>
      </c>
      <c r="F153" s="50">
        <f>ROUND(1.15,7)</f>
        <v>1.1499999999999999</v>
      </c>
      <c r="G153" s="50">
        <f>SmtRes!CX38</f>
        <v>13.539524999999999</v>
      </c>
      <c r="H153" s="52"/>
      <c r="I153" s="51"/>
      <c r="J153" s="52">
        <f>SmtRes!CZ38</f>
        <v>871.84</v>
      </c>
      <c r="K153" s="51"/>
      <c r="L153" s="52">
        <f>SmtRes!DI38</f>
        <v>11804.3</v>
      </c>
    </row>
    <row r="154" spans="1:101" ht="15" x14ac:dyDescent="0.2">
      <c r="A154" s="47"/>
      <c r="B154" s="50">
        <v>2</v>
      </c>
      <c r="C154" s="47" t="s">
        <v>699</v>
      </c>
      <c r="D154" s="49"/>
      <c r="E154" s="54"/>
      <c r="F154" s="50"/>
      <c r="G154" s="50"/>
      <c r="H154" s="50"/>
      <c r="I154" s="50"/>
      <c r="J154" s="50"/>
      <c r="K154" s="50"/>
      <c r="L154" s="55">
        <f>SUM(L155:L156)-SUMIF(CE155:CE156, 1, L155:L156)</f>
        <v>89.05</v>
      </c>
    </row>
    <row r="155" spans="1:101" ht="15" hidden="1" x14ac:dyDescent="0.2">
      <c r="A155" s="47"/>
      <c r="B155" s="50"/>
      <c r="C155" s="47" t="s">
        <v>701</v>
      </c>
      <c r="D155" s="49" t="s">
        <v>449</v>
      </c>
      <c r="E155" s="54"/>
      <c r="F155" s="50"/>
      <c r="G155" s="50">
        <f>Source!V41</f>
        <v>0</v>
      </c>
      <c r="H155" s="50"/>
      <c r="I155" s="50"/>
      <c r="J155" s="50"/>
      <c r="K155" s="50"/>
      <c r="L155" s="55">
        <f>SUMIF(CE156:CE156, 1, L156:L156)</f>
        <v>0</v>
      </c>
      <c r="CE155">
        <v>1</v>
      </c>
    </row>
    <row r="156" spans="1:101" ht="57" x14ac:dyDescent="0.2">
      <c r="A156" s="48"/>
      <c r="B156" s="48" t="s">
        <v>502</v>
      </c>
      <c r="C156" s="48" t="s">
        <v>504</v>
      </c>
      <c r="D156" s="49" t="s">
        <v>455</v>
      </c>
      <c r="E156" s="50">
        <v>1.5</v>
      </c>
      <c r="F156" s="50">
        <f>ROUND(1.25,7)</f>
        <v>1.25</v>
      </c>
      <c r="G156" s="50">
        <f>SmtRes!CX39</f>
        <v>4.40625</v>
      </c>
      <c r="H156" s="52">
        <f>SmtRes!CZ39</f>
        <v>14.13</v>
      </c>
      <c r="I156" s="51">
        <f>SmtRes!AJ39</f>
        <v>1.43</v>
      </c>
      <c r="J156" s="52">
        <f>ROUND(H156*I156, 2)</f>
        <v>20.21</v>
      </c>
      <c r="K156" s="51"/>
      <c r="L156" s="52">
        <f>SmtRes!DG39</f>
        <v>89.05</v>
      </c>
    </row>
    <row r="157" spans="1:101" ht="15" x14ac:dyDescent="0.2">
      <c r="A157" s="47"/>
      <c r="B157" s="50">
        <v>4</v>
      </c>
      <c r="C157" s="47" t="s">
        <v>702</v>
      </c>
      <c r="D157" s="49"/>
      <c r="E157" s="54"/>
      <c r="F157" s="50"/>
      <c r="G157" s="50"/>
      <c r="H157" s="50"/>
      <c r="I157" s="50"/>
      <c r="J157" s="50"/>
      <c r="K157" s="50"/>
      <c r="L157" s="55">
        <f>SUM(L158:L161)-SUMIF(CE158:CE161, 1, L158:L161)</f>
        <v>512.53</v>
      </c>
    </row>
    <row r="158" spans="1:101" ht="14.25" x14ac:dyDescent="0.2">
      <c r="A158" s="48"/>
      <c r="B158" s="48" t="s">
        <v>505</v>
      </c>
      <c r="C158" s="48" t="s">
        <v>507</v>
      </c>
      <c r="D158" s="49" t="s">
        <v>309</v>
      </c>
      <c r="E158" s="50">
        <v>3.8</v>
      </c>
      <c r="F158" s="50"/>
      <c r="G158" s="50">
        <f>SmtRes!CX40</f>
        <v>8.93</v>
      </c>
      <c r="H158" s="52">
        <f>SmtRes!CZ40</f>
        <v>35.71</v>
      </c>
      <c r="I158" s="51">
        <f>SmtRes!AI40</f>
        <v>1.53</v>
      </c>
      <c r="J158" s="52">
        <f>ROUND(H158*I158, 2)</f>
        <v>54.64</v>
      </c>
      <c r="K158" s="51"/>
      <c r="L158" s="52">
        <f>SmtRes!DF40</f>
        <v>487.94</v>
      </c>
    </row>
    <row r="159" spans="1:101" ht="14.25" x14ac:dyDescent="0.2">
      <c r="A159" s="48"/>
      <c r="B159" s="48" t="s">
        <v>508</v>
      </c>
      <c r="C159" s="48" t="s">
        <v>510</v>
      </c>
      <c r="D159" s="49" t="s">
        <v>295</v>
      </c>
      <c r="E159" s="50">
        <v>0.02</v>
      </c>
      <c r="F159" s="50"/>
      <c r="G159" s="50">
        <f>SmtRes!CX41</f>
        <v>4.7E-2</v>
      </c>
      <c r="H159" s="52">
        <f>SmtRes!CZ41</f>
        <v>128.4</v>
      </c>
      <c r="I159" s="51">
        <f>SmtRes!AI41</f>
        <v>1.33</v>
      </c>
      <c r="J159" s="52">
        <f>ROUND(H159*I159, 2)</f>
        <v>170.77</v>
      </c>
      <c r="K159" s="51"/>
      <c r="L159" s="52">
        <f>SmtRes!DF41</f>
        <v>8.0299999999999994</v>
      </c>
    </row>
    <row r="160" spans="1:101" ht="28.5" x14ac:dyDescent="0.2">
      <c r="A160" s="48"/>
      <c r="B160" s="48" t="s">
        <v>511</v>
      </c>
      <c r="C160" s="48" t="s">
        <v>513</v>
      </c>
      <c r="D160" s="49" t="s">
        <v>295</v>
      </c>
      <c r="E160" s="50">
        <v>0.05</v>
      </c>
      <c r="F160" s="50"/>
      <c r="G160" s="50">
        <f>SmtRes!CX42</f>
        <v>0.11749999999999999</v>
      </c>
      <c r="H160" s="52">
        <f>SmtRes!CZ42</f>
        <v>79.88</v>
      </c>
      <c r="I160" s="51">
        <f>SmtRes!AI42</f>
        <v>1.4</v>
      </c>
      <c r="J160" s="52">
        <f>ROUND(H160*I160, 2)</f>
        <v>111.83</v>
      </c>
      <c r="K160" s="51"/>
      <c r="L160" s="52">
        <f>SmtRes!DF42</f>
        <v>13.14</v>
      </c>
    </row>
    <row r="161" spans="1:82" ht="57" x14ac:dyDescent="0.2">
      <c r="A161" s="48"/>
      <c r="B161" s="48" t="s">
        <v>514</v>
      </c>
      <c r="C161" s="56" t="s">
        <v>516</v>
      </c>
      <c r="D161" s="57" t="s">
        <v>35</v>
      </c>
      <c r="E161" s="58">
        <v>2.0000000000000002E-5</v>
      </c>
      <c r="F161" s="58"/>
      <c r="G161" s="58">
        <f>SmtRes!CX43</f>
        <v>4.6999999999999997E-5</v>
      </c>
      <c r="H161" s="59">
        <f>SmtRes!CZ43</f>
        <v>60697.21</v>
      </c>
      <c r="I161" s="60">
        <f>SmtRes!AI43</f>
        <v>1.2</v>
      </c>
      <c r="J161" s="59">
        <f>ROUND(H161*I161, 2)</f>
        <v>72836.649999999994</v>
      </c>
      <c r="K161" s="60"/>
      <c r="L161" s="59">
        <f>SmtRes!DF43</f>
        <v>3.42</v>
      </c>
    </row>
    <row r="162" spans="1:82" ht="15" x14ac:dyDescent="0.2">
      <c r="A162" s="48"/>
      <c r="B162" s="48"/>
      <c r="C162" s="62" t="s">
        <v>703</v>
      </c>
      <c r="D162" s="49"/>
      <c r="E162" s="50"/>
      <c r="F162" s="50"/>
      <c r="G162" s="50"/>
      <c r="H162" s="52"/>
      <c r="I162" s="51"/>
      <c r="J162" s="52"/>
      <c r="K162" s="51"/>
      <c r="L162" s="52">
        <f>L152+L154+L155+L157</f>
        <v>12405.88</v>
      </c>
    </row>
    <row r="163" spans="1:82" ht="14.25" x14ac:dyDescent="0.2">
      <c r="A163" s="48"/>
      <c r="B163" s="48"/>
      <c r="C163" s="48" t="s">
        <v>706</v>
      </c>
      <c r="D163" s="49"/>
      <c r="E163" s="50"/>
      <c r="F163" s="50"/>
      <c r="G163" s="50"/>
      <c r="H163" s="52"/>
      <c r="I163" s="51"/>
      <c r="J163" s="52"/>
      <c r="K163" s="51"/>
      <c r="L163" s="52">
        <f>SUM(AR149:AR166)+SUM(AS149:AS166)+SUM(AT149:AT166)+SUM(AU149:AU166)+SUM(AV149:AV166)</f>
        <v>11804.3</v>
      </c>
    </row>
    <row r="164" spans="1:82" ht="71.25" x14ac:dyDescent="0.2">
      <c r="A164" s="48"/>
      <c r="B164" s="48" t="s">
        <v>721</v>
      </c>
      <c r="C164" s="48" t="s">
        <v>722</v>
      </c>
      <c r="D164" s="49" t="s">
        <v>83</v>
      </c>
      <c r="E164" s="50">
        <f>Source!BZ41</f>
        <v>121</v>
      </c>
      <c r="F164" s="50">
        <f>ROUND(0.9,7)</f>
        <v>0.9</v>
      </c>
      <c r="G164" s="50">
        <f>Source!AT41</f>
        <v>108.9</v>
      </c>
      <c r="H164" s="52"/>
      <c r="I164" s="51"/>
      <c r="J164" s="52"/>
      <c r="K164" s="51"/>
      <c r="L164" s="52">
        <f>SUM(AZ149:AZ166)</f>
        <v>12854.88</v>
      </c>
    </row>
    <row r="165" spans="1:82" ht="71.25" x14ac:dyDescent="0.2">
      <c r="A165" s="56"/>
      <c r="B165" s="56" t="s">
        <v>723</v>
      </c>
      <c r="C165" s="56" t="s">
        <v>724</v>
      </c>
      <c r="D165" s="57" t="s">
        <v>83</v>
      </c>
      <c r="E165" s="58">
        <f>Source!CA41</f>
        <v>72</v>
      </c>
      <c r="F165" s="58">
        <f>ROUND(0.85,7)</f>
        <v>0.85</v>
      </c>
      <c r="G165" s="58">
        <f>Source!AU41</f>
        <v>61.2</v>
      </c>
      <c r="H165" s="59"/>
      <c r="I165" s="60"/>
      <c r="J165" s="59"/>
      <c r="K165" s="60"/>
      <c r="L165" s="59">
        <f>SUM(BA149:BA166)</f>
        <v>7224.23</v>
      </c>
    </row>
    <row r="166" spans="1:82" ht="15" x14ac:dyDescent="0.2">
      <c r="C166" s="131" t="s">
        <v>709</v>
      </c>
      <c r="D166" s="131"/>
      <c r="E166" s="131"/>
      <c r="F166" s="131"/>
      <c r="G166" s="131"/>
      <c r="H166" s="131"/>
      <c r="I166" s="132">
        <f>IF(E149&lt;&gt;0,K166/E149, 0)</f>
        <v>13823.399999999998</v>
      </c>
      <c r="J166" s="132"/>
      <c r="K166" s="132">
        <f>L152+L154+L157+L164+L165+L155</f>
        <v>32484.989999999998</v>
      </c>
      <c r="L166" s="132"/>
      <c r="AD166">
        <f>ROUND((Source!AT41/100)*((ROUND(SUMIF(SmtRes!AQ38:'SmtRes'!AQ43,"=1",SmtRes!AD38:'SmtRes'!AD43)*Source!I41, 2)+ROUND(SUMIF(SmtRes!AQ38:'SmtRes'!AQ43,"=1",SmtRes!AC38:'SmtRes'!AC43)*Source!I41, 2))), 2)</f>
        <v>2231.16</v>
      </c>
      <c r="AE166">
        <f>ROUND((Source!AU41/100)*((ROUND(SUMIF(SmtRes!AQ38:'SmtRes'!AQ43,"=1",SmtRes!AD38:'SmtRes'!AD43)*Source!I41, 2)+ROUND(SUMIF(SmtRes!AQ38:'SmtRes'!AQ43,"=1",SmtRes!AC38:'SmtRes'!AC43)*Source!I41, 2))), 2)</f>
        <v>1253.8800000000001</v>
      </c>
      <c r="AN166" s="61">
        <f>L152+L154+L157+L164+L165+L155</f>
        <v>32484.989999999998</v>
      </c>
      <c r="AO166" s="61">
        <f>L154</f>
        <v>89.05</v>
      </c>
      <c r="AQ166" t="s">
        <v>710</v>
      </c>
      <c r="AR166" s="61">
        <f>L152</f>
        <v>11804.3</v>
      </c>
      <c r="AT166" s="61">
        <f>L155</f>
        <v>0</v>
      </c>
      <c r="AV166" t="s">
        <v>710</v>
      </c>
      <c r="AW166" s="61">
        <f>L157</f>
        <v>512.53</v>
      </c>
      <c r="AZ166">
        <f>Source!X41</f>
        <v>12854.88</v>
      </c>
      <c r="BA166">
        <f>Source!Y41</f>
        <v>7224.23</v>
      </c>
      <c r="CD166">
        <v>1</v>
      </c>
    </row>
    <row r="168" spans="1:82" ht="15" x14ac:dyDescent="0.2">
      <c r="A168" s="67"/>
      <c r="B168" s="68"/>
      <c r="C168" s="134" t="s">
        <v>733</v>
      </c>
      <c r="D168" s="134"/>
      <c r="E168" s="134"/>
      <c r="F168" s="134"/>
      <c r="G168" s="134"/>
      <c r="H168" s="134"/>
      <c r="I168" s="55"/>
      <c r="J168" s="67"/>
      <c r="K168" s="69"/>
      <c r="L168" s="55">
        <f>L170+L171+L177+L181</f>
        <v>75659.739999999991</v>
      </c>
    </row>
    <row r="169" spans="1:82" ht="14.25" x14ac:dyDescent="0.2">
      <c r="A169" s="63"/>
      <c r="B169" s="66"/>
      <c r="C169" s="135" t="s">
        <v>734</v>
      </c>
      <c r="D169" s="136"/>
      <c r="E169" s="136"/>
      <c r="F169" s="136"/>
      <c r="G169" s="136"/>
      <c r="H169" s="136"/>
      <c r="I169" s="52"/>
      <c r="J169" s="63"/>
      <c r="K169" s="50"/>
      <c r="L169" s="52"/>
    </row>
    <row r="170" spans="1:82" ht="14.25" x14ac:dyDescent="0.2">
      <c r="A170" s="63"/>
      <c r="B170" s="66"/>
      <c r="C170" s="136" t="s">
        <v>735</v>
      </c>
      <c r="D170" s="136"/>
      <c r="E170" s="136"/>
      <c r="F170" s="136"/>
      <c r="G170" s="136"/>
      <c r="H170" s="136"/>
      <c r="I170" s="52"/>
      <c r="J170" s="63"/>
      <c r="K170" s="50"/>
      <c r="L170" s="52">
        <f>SUM(AR53:AR166)</f>
        <v>30069.649999999998</v>
      </c>
    </row>
    <row r="171" spans="1:82" ht="14.25" hidden="1" x14ac:dyDescent="0.2">
      <c r="A171" s="63"/>
      <c r="B171" s="66"/>
      <c r="C171" s="136" t="s">
        <v>736</v>
      </c>
      <c r="D171" s="136"/>
      <c r="E171" s="136"/>
      <c r="F171" s="136"/>
      <c r="G171" s="136"/>
      <c r="H171" s="136"/>
      <c r="I171" s="52"/>
      <c r="J171" s="63"/>
      <c r="K171" s="50"/>
      <c r="L171" s="52">
        <f>L173+L176+L175</f>
        <v>335.73</v>
      </c>
    </row>
    <row r="172" spans="1:82" ht="14.25" hidden="1" x14ac:dyDescent="0.2">
      <c r="A172" s="63"/>
      <c r="B172" s="66"/>
      <c r="C172" s="135" t="s">
        <v>737</v>
      </c>
      <c r="D172" s="136"/>
      <c r="E172" s="136"/>
      <c r="F172" s="136"/>
      <c r="G172" s="136"/>
      <c r="H172" s="136"/>
      <c r="I172" s="52"/>
      <c r="J172" s="63"/>
      <c r="K172" s="50"/>
      <c r="L172" s="52"/>
    </row>
    <row r="173" spans="1:82" ht="14.25" x14ac:dyDescent="0.2">
      <c r="A173" s="63"/>
      <c r="B173" s="66"/>
      <c r="C173" s="136" t="s">
        <v>736</v>
      </c>
      <c r="D173" s="136"/>
      <c r="E173" s="136"/>
      <c r="F173" s="136"/>
      <c r="G173" s="136"/>
      <c r="H173" s="136"/>
      <c r="I173" s="52"/>
      <c r="J173" s="63"/>
      <c r="K173" s="50"/>
      <c r="L173" s="52">
        <f>SUM(AO53:AO166)</f>
        <v>261.51000000000005</v>
      </c>
    </row>
    <row r="174" spans="1:82" ht="14.25" hidden="1" x14ac:dyDescent="0.2">
      <c r="A174" s="63"/>
      <c r="B174" s="66"/>
      <c r="C174" s="135" t="s">
        <v>738</v>
      </c>
      <c r="D174" s="136"/>
      <c r="E174" s="136"/>
      <c r="F174" s="136"/>
      <c r="G174" s="136"/>
      <c r="H174" s="136"/>
      <c r="I174" s="52"/>
      <c r="J174" s="63"/>
      <c r="K174" s="50"/>
      <c r="L174" s="52"/>
    </row>
    <row r="175" spans="1:82" ht="14.25" x14ac:dyDescent="0.2">
      <c r="A175" s="63"/>
      <c r="B175" s="66"/>
      <c r="C175" s="136" t="s">
        <v>758</v>
      </c>
      <c r="D175" s="136"/>
      <c r="E175" s="136"/>
      <c r="F175" s="136"/>
      <c r="G175" s="136"/>
      <c r="H175" s="136"/>
      <c r="I175" s="52"/>
      <c r="J175" s="63"/>
      <c r="K175" s="50"/>
      <c r="L175" s="52">
        <f>SUM(AT53:AT166)</f>
        <v>74.22</v>
      </c>
    </row>
    <row r="176" spans="1:82" ht="14.25" hidden="1" x14ac:dyDescent="0.2">
      <c r="A176" s="63"/>
      <c r="B176" s="66"/>
      <c r="C176" s="136" t="s">
        <v>739</v>
      </c>
      <c r="D176" s="136"/>
      <c r="E176" s="136"/>
      <c r="F176" s="136"/>
      <c r="G176" s="136"/>
      <c r="H176" s="136"/>
      <c r="I176" s="52"/>
      <c r="J176" s="63"/>
      <c r="K176" s="50"/>
      <c r="L176" s="52">
        <f>SUM(AV53:AV166)</f>
        <v>0</v>
      </c>
    </row>
    <row r="177" spans="1:12" ht="14.25" x14ac:dyDescent="0.2">
      <c r="A177" s="63"/>
      <c r="B177" s="66"/>
      <c r="C177" s="136" t="s">
        <v>740</v>
      </c>
      <c r="D177" s="136"/>
      <c r="E177" s="136"/>
      <c r="F177" s="136"/>
      <c r="G177" s="136"/>
      <c r="H177" s="136"/>
      <c r="I177" s="52"/>
      <c r="J177" s="63"/>
      <c r="K177" s="50"/>
      <c r="L177" s="52">
        <f>L179+L180</f>
        <v>45254.359999999993</v>
      </c>
    </row>
    <row r="178" spans="1:12" ht="14.25" x14ac:dyDescent="0.2">
      <c r="A178" s="63"/>
      <c r="B178" s="66"/>
      <c r="C178" s="135" t="s">
        <v>737</v>
      </c>
      <c r="D178" s="136"/>
      <c r="E178" s="136"/>
      <c r="F178" s="136"/>
      <c r="G178" s="136"/>
      <c r="H178" s="136"/>
      <c r="I178" s="52"/>
      <c r="J178" s="63"/>
      <c r="K178" s="50"/>
      <c r="L178" s="52"/>
    </row>
    <row r="179" spans="1:12" ht="14.25" x14ac:dyDescent="0.2">
      <c r="A179" s="63"/>
      <c r="B179" s="66"/>
      <c r="C179" s="136" t="s">
        <v>741</v>
      </c>
      <c r="D179" s="136"/>
      <c r="E179" s="136"/>
      <c r="F179" s="136"/>
      <c r="G179" s="136"/>
      <c r="H179" s="136"/>
      <c r="I179" s="52"/>
      <c r="J179" s="63"/>
      <c r="K179" s="50"/>
      <c r="L179" s="52">
        <f>SUM(AW53:AW166)-SUM(BK53:BK166)</f>
        <v>45254.359999999993</v>
      </c>
    </row>
    <row r="180" spans="1:12" ht="14.25" hidden="1" x14ac:dyDescent="0.2">
      <c r="A180" s="63"/>
      <c r="B180" s="66"/>
      <c r="C180" s="136" t="s">
        <v>742</v>
      </c>
      <c r="D180" s="136"/>
      <c r="E180" s="136"/>
      <c r="F180" s="136"/>
      <c r="G180" s="136"/>
      <c r="H180" s="136"/>
      <c r="I180" s="52"/>
      <c r="J180" s="63"/>
      <c r="K180" s="50"/>
      <c r="L180" s="52">
        <f>SUM(BC53:BC166)</f>
        <v>0</v>
      </c>
    </row>
    <row r="181" spans="1:12" ht="14.25" hidden="1" x14ac:dyDescent="0.2">
      <c r="A181" s="63"/>
      <c r="B181" s="66"/>
      <c r="C181" s="136" t="s">
        <v>743</v>
      </c>
      <c r="D181" s="136"/>
      <c r="E181" s="136"/>
      <c r="F181" s="136"/>
      <c r="G181" s="136"/>
      <c r="H181" s="136"/>
      <c r="I181" s="52"/>
      <c r="J181" s="63"/>
      <c r="K181" s="50"/>
      <c r="L181" s="52">
        <f>SUM(BB53:BB166)</f>
        <v>0</v>
      </c>
    </row>
    <row r="182" spans="1:12" ht="14.25" x14ac:dyDescent="0.2">
      <c r="A182" s="63"/>
      <c r="B182" s="66"/>
      <c r="C182" s="136" t="s">
        <v>744</v>
      </c>
      <c r="D182" s="136"/>
      <c r="E182" s="136"/>
      <c r="F182" s="136"/>
      <c r="G182" s="136"/>
      <c r="H182" s="136"/>
      <c r="I182" s="52"/>
      <c r="J182" s="63"/>
      <c r="K182" s="50"/>
      <c r="L182" s="52">
        <f>SUM(AR53:AR166)+SUM(AT53:AT166)+SUM(AV53:AV166)</f>
        <v>30143.87</v>
      </c>
    </row>
    <row r="183" spans="1:12" ht="14.25" x14ac:dyDescent="0.2">
      <c r="A183" s="63"/>
      <c r="B183" s="66"/>
      <c r="C183" s="136" t="s">
        <v>745</v>
      </c>
      <c r="D183" s="136"/>
      <c r="E183" s="136"/>
      <c r="F183" s="136"/>
      <c r="G183" s="136"/>
      <c r="H183" s="136"/>
      <c r="I183" s="52"/>
      <c r="J183" s="63"/>
      <c r="K183" s="50"/>
      <c r="L183" s="52">
        <f>SUM(AZ53:AZ166)</f>
        <v>30012.159999999996</v>
      </c>
    </row>
    <row r="184" spans="1:12" ht="14.25" x14ac:dyDescent="0.2">
      <c r="A184" s="63"/>
      <c r="B184" s="66"/>
      <c r="C184" s="136" t="s">
        <v>746</v>
      </c>
      <c r="D184" s="136"/>
      <c r="E184" s="136"/>
      <c r="F184" s="136"/>
      <c r="G184" s="136"/>
      <c r="H184" s="136"/>
      <c r="I184" s="52"/>
      <c r="J184" s="63"/>
      <c r="K184" s="50"/>
      <c r="L184" s="52">
        <f>SUM(BA53:BA166)</f>
        <v>16092.18</v>
      </c>
    </row>
    <row r="185" spans="1:12" ht="14.25" hidden="1" x14ac:dyDescent="0.2">
      <c r="A185" s="63"/>
      <c r="B185" s="66"/>
      <c r="C185" s="136" t="s">
        <v>747</v>
      </c>
      <c r="D185" s="136"/>
      <c r="E185" s="136"/>
      <c r="F185" s="136"/>
      <c r="G185" s="136"/>
      <c r="H185" s="136"/>
      <c r="I185" s="52"/>
      <c r="J185" s="63"/>
      <c r="K185" s="50"/>
      <c r="L185" s="52">
        <f>L187+L188</f>
        <v>0</v>
      </c>
    </row>
    <row r="186" spans="1:12" ht="14.25" hidden="1" x14ac:dyDescent="0.2">
      <c r="A186" s="63"/>
      <c r="B186" s="66"/>
      <c r="C186" s="135" t="s">
        <v>734</v>
      </c>
      <c r="D186" s="136"/>
      <c r="E186" s="136"/>
      <c r="F186" s="136"/>
      <c r="G186" s="136"/>
      <c r="H186" s="136"/>
      <c r="I186" s="52"/>
      <c r="J186" s="63"/>
      <c r="K186" s="50"/>
      <c r="L186" s="52"/>
    </row>
    <row r="187" spans="1:12" ht="14.25" hidden="1" x14ac:dyDescent="0.2">
      <c r="A187" s="63"/>
      <c r="B187" s="66"/>
      <c r="C187" s="136" t="s">
        <v>748</v>
      </c>
      <c r="D187" s="136"/>
      <c r="E187" s="136"/>
      <c r="F187" s="136"/>
      <c r="G187" s="136"/>
      <c r="H187" s="136"/>
      <c r="I187" s="52"/>
      <c r="J187" s="63"/>
      <c r="K187" s="50"/>
      <c r="L187" s="52">
        <f>SUM(BK53:BK166)</f>
        <v>0</v>
      </c>
    </row>
    <row r="188" spans="1:12" ht="14.25" hidden="1" x14ac:dyDescent="0.2">
      <c r="A188" s="63"/>
      <c r="B188" s="66"/>
      <c r="C188" s="136" t="s">
        <v>749</v>
      </c>
      <c r="D188" s="136"/>
      <c r="E188" s="136"/>
      <c r="F188" s="136"/>
      <c r="G188" s="136"/>
      <c r="H188" s="136"/>
      <c r="I188" s="52"/>
      <c r="J188" s="63"/>
      <c r="K188" s="50"/>
      <c r="L188" s="52">
        <f>SUM(BD53:BD166)</f>
        <v>0</v>
      </c>
    </row>
    <row r="189" spans="1:12" ht="14.25" hidden="1" x14ac:dyDescent="0.2">
      <c r="A189" s="63"/>
      <c r="B189" s="66"/>
      <c r="C189" s="136" t="s">
        <v>750</v>
      </c>
      <c r="D189" s="136"/>
      <c r="E189" s="136"/>
      <c r="F189" s="136"/>
      <c r="G189" s="136"/>
      <c r="H189" s="136"/>
      <c r="I189" s="52"/>
      <c r="J189" s="63"/>
      <c r="K189" s="50"/>
      <c r="L189" s="52"/>
    </row>
    <row r="190" spans="1:12" ht="14.25" hidden="1" x14ac:dyDescent="0.2">
      <c r="A190" s="63"/>
      <c r="B190" s="66"/>
      <c r="C190" s="136" t="s">
        <v>750</v>
      </c>
      <c r="D190" s="136"/>
      <c r="E190" s="136"/>
      <c r="F190" s="136"/>
      <c r="G190" s="136"/>
      <c r="H190" s="136"/>
      <c r="I190" s="52"/>
      <c r="J190" s="63"/>
      <c r="K190" s="50"/>
      <c r="L190" s="52">
        <f>SUM(BQ53:BQ166)</f>
        <v>0</v>
      </c>
    </row>
    <row r="191" spans="1:12" ht="14.25" hidden="1" x14ac:dyDescent="0.2">
      <c r="A191" s="63"/>
      <c r="B191" s="66"/>
      <c r="C191" s="136" t="s">
        <v>751</v>
      </c>
      <c r="D191" s="136"/>
      <c r="E191" s="136"/>
      <c r="F191" s="136"/>
      <c r="G191" s="136"/>
      <c r="H191" s="136"/>
      <c r="I191" s="52"/>
      <c r="J191" s="63"/>
      <c r="K191" s="50"/>
      <c r="L191" s="52">
        <f>SUM(BO53:BO166)</f>
        <v>0</v>
      </c>
    </row>
    <row r="192" spans="1:12" ht="15" x14ac:dyDescent="0.2">
      <c r="A192" s="67"/>
      <c r="B192" s="68"/>
      <c r="C192" s="134" t="s">
        <v>752</v>
      </c>
      <c r="D192" s="134"/>
      <c r="E192" s="134"/>
      <c r="F192" s="134"/>
      <c r="G192" s="134"/>
      <c r="H192" s="134"/>
      <c r="I192" s="55"/>
      <c r="J192" s="67"/>
      <c r="K192" s="69"/>
      <c r="L192" s="55">
        <f>L168+L183+L184+L185+L190+L191</f>
        <v>121764.07999999999</v>
      </c>
    </row>
    <row r="193" spans="1:12" ht="14.25" x14ac:dyDescent="0.2">
      <c r="A193" s="63"/>
      <c r="B193" s="66"/>
      <c r="C193" s="135" t="s">
        <v>753</v>
      </c>
      <c r="D193" s="136"/>
      <c r="E193" s="136"/>
      <c r="F193" s="136"/>
      <c r="G193" s="136"/>
      <c r="H193" s="136"/>
      <c r="I193" s="52"/>
      <c r="J193" s="63"/>
      <c r="K193" s="50"/>
      <c r="L193" s="52"/>
    </row>
    <row r="194" spans="1:12" ht="14.25" hidden="1" x14ac:dyDescent="0.2">
      <c r="A194" s="63"/>
      <c r="B194" s="66"/>
      <c r="C194" s="136" t="s">
        <v>754</v>
      </c>
      <c r="D194" s="136"/>
      <c r="E194" s="136"/>
      <c r="F194" s="136"/>
      <c r="G194" s="136"/>
      <c r="H194" s="136"/>
      <c r="I194" s="52"/>
      <c r="J194" s="63"/>
      <c r="K194" s="50"/>
      <c r="L194" s="52">
        <f>SUM(AX53:AX166)</f>
        <v>0</v>
      </c>
    </row>
    <row r="195" spans="1:12" ht="14.25" hidden="1" x14ac:dyDescent="0.2">
      <c r="A195" s="63"/>
      <c r="B195" s="66"/>
      <c r="C195" s="136" t="s">
        <v>755</v>
      </c>
      <c r="D195" s="136"/>
      <c r="E195" s="136"/>
      <c r="F195" s="136"/>
      <c r="G195" s="136"/>
      <c r="H195" s="136"/>
      <c r="I195" s="52"/>
      <c r="J195" s="63"/>
      <c r="K195" s="50"/>
      <c r="L195" s="52">
        <f>SUM(AY53:AY166)</f>
        <v>0</v>
      </c>
    </row>
    <row r="196" spans="1:12" ht="14.25" x14ac:dyDescent="0.2">
      <c r="A196" s="63"/>
      <c r="B196" s="66"/>
      <c r="C196" s="136" t="s">
        <v>756</v>
      </c>
      <c r="D196" s="136"/>
      <c r="E196" s="136"/>
      <c r="F196" s="137"/>
      <c r="G196" s="54">
        <f>Source!F65</f>
        <v>39.282525</v>
      </c>
      <c r="H196" s="63"/>
      <c r="I196" s="63"/>
      <c r="J196" s="63"/>
      <c r="K196" s="63"/>
      <c r="L196" s="63"/>
    </row>
    <row r="197" spans="1:12" ht="14.25" x14ac:dyDescent="0.2">
      <c r="A197" s="63"/>
      <c r="B197" s="66"/>
      <c r="C197" s="136" t="s">
        <v>757</v>
      </c>
      <c r="D197" s="136"/>
      <c r="E197" s="136"/>
      <c r="F197" s="137"/>
      <c r="G197" s="54">
        <f>Source!F66</f>
        <v>9.4500000000000001E-2</v>
      </c>
      <c r="H197" s="63"/>
      <c r="I197" s="63"/>
      <c r="J197" s="63"/>
      <c r="K197" s="63"/>
      <c r="L197" s="63"/>
    </row>
    <row r="200" spans="1:12" ht="16.5" x14ac:dyDescent="0.2">
      <c r="A200" s="133" t="s">
        <v>759</v>
      </c>
      <c r="B200" s="133"/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</row>
    <row r="201" spans="1:12" ht="42.75" x14ac:dyDescent="0.2">
      <c r="A201" s="46" t="s">
        <v>152</v>
      </c>
      <c r="B201" s="48" t="s">
        <v>760</v>
      </c>
      <c r="C201" s="48" t="str">
        <f>Source!G77</f>
        <v>Прочистка и промывка: радиаторов отопления весом до 80 кг внутри здания</v>
      </c>
      <c r="D201" s="49" t="str">
        <f>Source!H77</f>
        <v>100 ШТ</v>
      </c>
      <c r="E201" s="50">
        <f>Source!K77</f>
        <v>7.0000000000000007E-2</v>
      </c>
      <c r="F201" s="50"/>
      <c r="G201" s="50">
        <f>Source!I77</f>
        <v>7.0000000000000007E-2</v>
      </c>
      <c r="H201" s="52"/>
      <c r="I201" s="51"/>
      <c r="J201" s="52"/>
      <c r="K201" s="51"/>
      <c r="L201" s="52"/>
    </row>
    <row r="202" spans="1:12" x14ac:dyDescent="0.2">
      <c r="C202" s="53" t="str">
        <f>"Объем: "&amp;Source!I77&amp;"=7/"&amp;"100"</f>
        <v>Объем: 0,07=7/100</v>
      </c>
    </row>
    <row r="203" spans="1:12" ht="15" x14ac:dyDescent="0.2">
      <c r="A203" s="47"/>
      <c r="B203" s="50">
        <v>1</v>
      </c>
      <c r="C203" s="47" t="s">
        <v>698</v>
      </c>
      <c r="D203" s="49" t="s">
        <v>449</v>
      </c>
      <c r="E203" s="54"/>
      <c r="F203" s="50"/>
      <c r="G203" s="50">
        <f>Source!U77</f>
        <v>12.495699999999999</v>
      </c>
      <c r="H203" s="50"/>
      <c r="I203" s="50"/>
      <c r="J203" s="50"/>
      <c r="K203" s="50"/>
      <c r="L203" s="55">
        <f>SUM(L204:L204)-SUMIF(CE204:CE204, 1, L204:L204)</f>
        <v>8113.46</v>
      </c>
    </row>
    <row r="204" spans="1:12" ht="14.25" x14ac:dyDescent="0.2">
      <c r="A204" s="48"/>
      <c r="B204" s="48" t="s">
        <v>517</v>
      </c>
      <c r="C204" s="48" t="s">
        <v>518</v>
      </c>
      <c r="D204" s="49" t="s">
        <v>449</v>
      </c>
      <c r="E204" s="50">
        <v>178.51</v>
      </c>
      <c r="F204" s="50"/>
      <c r="G204" s="50">
        <f>SmtRes!CX44</f>
        <v>12.495699999999999</v>
      </c>
      <c r="H204" s="52"/>
      <c r="I204" s="51"/>
      <c r="J204" s="52">
        <f>SmtRes!CZ44</f>
        <v>649.29999999999995</v>
      </c>
      <c r="K204" s="51"/>
      <c r="L204" s="52">
        <f>SmtRes!DI44</f>
        <v>8113.46</v>
      </c>
    </row>
    <row r="205" spans="1:12" ht="15" x14ac:dyDescent="0.2">
      <c r="A205" s="47"/>
      <c r="B205" s="50">
        <v>4</v>
      </c>
      <c r="C205" s="47" t="s">
        <v>702</v>
      </c>
      <c r="D205" s="49"/>
      <c r="E205" s="54"/>
      <c r="F205" s="50"/>
      <c r="G205" s="50"/>
      <c r="H205" s="50"/>
      <c r="I205" s="50"/>
      <c r="J205" s="50"/>
      <c r="K205" s="50"/>
      <c r="L205" s="55">
        <f>SUM(L206:L209)-SUMIF(CE206:CE209, 1, L206:L209)</f>
        <v>195.26</v>
      </c>
    </row>
    <row r="206" spans="1:12" ht="14.25" x14ac:dyDescent="0.2">
      <c r="A206" s="48"/>
      <c r="B206" s="48" t="s">
        <v>505</v>
      </c>
      <c r="C206" s="48" t="s">
        <v>507</v>
      </c>
      <c r="D206" s="49" t="s">
        <v>309</v>
      </c>
      <c r="E206" s="50">
        <v>4.2</v>
      </c>
      <c r="F206" s="50"/>
      <c r="G206" s="50">
        <f>SmtRes!CX45</f>
        <v>0.29399999999999998</v>
      </c>
      <c r="H206" s="52">
        <f>SmtRes!CZ45</f>
        <v>35.71</v>
      </c>
      <c r="I206" s="51">
        <f>SmtRes!AI45</f>
        <v>1.53</v>
      </c>
      <c r="J206" s="52">
        <f>ROUND(H206*I206, 2)</f>
        <v>54.64</v>
      </c>
      <c r="K206" s="51"/>
      <c r="L206" s="52">
        <f>SmtRes!DF45</f>
        <v>16.059999999999999</v>
      </c>
    </row>
    <row r="207" spans="1:12" ht="14.25" x14ac:dyDescent="0.2">
      <c r="A207" s="48"/>
      <c r="B207" s="48" t="s">
        <v>508</v>
      </c>
      <c r="C207" s="48" t="s">
        <v>510</v>
      </c>
      <c r="D207" s="49" t="s">
        <v>295</v>
      </c>
      <c r="E207" s="50">
        <v>5</v>
      </c>
      <c r="F207" s="50"/>
      <c r="G207" s="50">
        <f>SmtRes!CX46</f>
        <v>0.35</v>
      </c>
      <c r="H207" s="52">
        <f>SmtRes!CZ46</f>
        <v>128.4</v>
      </c>
      <c r="I207" s="51">
        <f>SmtRes!AI46</f>
        <v>1.33</v>
      </c>
      <c r="J207" s="52">
        <f>ROUND(H207*I207, 2)</f>
        <v>170.77</v>
      </c>
      <c r="K207" s="51"/>
      <c r="L207" s="52">
        <f>SmtRes!DF46</f>
        <v>59.77</v>
      </c>
    </row>
    <row r="208" spans="1:12" ht="28.5" x14ac:dyDescent="0.2">
      <c r="A208" s="48"/>
      <c r="B208" s="48" t="s">
        <v>511</v>
      </c>
      <c r="C208" s="48" t="s">
        <v>513</v>
      </c>
      <c r="D208" s="49" t="s">
        <v>295</v>
      </c>
      <c r="E208" s="50">
        <v>12</v>
      </c>
      <c r="F208" s="50"/>
      <c r="G208" s="50">
        <f>SmtRes!CX47</f>
        <v>0.84</v>
      </c>
      <c r="H208" s="52">
        <f>SmtRes!CZ47</f>
        <v>79.88</v>
      </c>
      <c r="I208" s="51">
        <f>SmtRes!AI47</f>
        <v>1.4</v>
      </c>
      <c r="J208" s="52">
        <f>ROUND(H208*I208, 2)</f>
        <v>111.83</v>
      </c>
      <c r="K208" s="51"/>
      <c r="L208" s="52">
        <f>SmtRes!DF47</f>
        <v>93.94</v>
      </c>
    </row>
    <row r="209" spans="1:101" ht="57" x14ac:dyDescent="0.2">
      <c r="A209" s="48"/>
      <c r="B209" s="48" t="s">
        <v>514</v>
      </c>
      <c r="C209" s="56" t="s">
        <v>516</v>
      </c>
      <c r="D209" s="57" t="s">
        <v>35</v>
      </c>
      <c r="E209" s="58">
        <v>5.0000000000000001E-3</v>
      </c>
      <c r="F209" s="58"/>
      <c r="G209" s="58">
        <f>SmtRes!CX48</f>
        <v>3.5E-4</v>
      </c>
      <c r="H209" s="59">
        <f>SmtRes!CZ48</f>
        <v>60697.21</v>
      </c>
      <c r="I209" s="60">
        <f>SmtRes!AI48</f>
        <v>1.2</v>
      </c>
      <c r="J209" s="59">
        <f>ROUND(H209*I209, 2)</f>
        <v>72836.649999999994</v>
      </c>
      <c r="K209" s="60"/>
      <c r="L209" s="59">
        <f>SmtRes!DF48</f>
        <v>25.49</v>
      </c>
    </row>
    <row r="210" spans="1:101" ht="15" x14ac:dyDescent="0.2">
      <c r="A210" s="48"/>
      <c r="B210" s="48"/>
      <c r="C210" s="62" t="s">
        <v>703</v>
      </c>
      <c r="D210" s="49"/>
      <c r="E210" s="50"/>
      <c r="F210" s="50"/>
      <c r="G210" s="50"/>
      <c r="H210" s="52"/>
      <c r="I210" s="51"/>
      <c r="J210" s="52"/>
      <c r="K210" s="51"/>
      <c r="L210" s="52">
        <f>L203+L205</f>
        <v>8308.7199999999993</v>
      </c>
    </row>
    <row r="211" spans="1:101" ht="14.25" x14ac:dyDescent="0.2">
      <c r="A211" s="48"/>
      <c r="B211" s="48"/>
      <c r="C211" s="48" t="s">
        <v>706</v>
      </c>
      <c r="D211" s="49"/>
      <c r="E211" s="50"/>
      <c r="F211" s="50"/>
      <c r="G211" s="50"/>
      <c r="H211" s="52"/>
      <c r="I211" s="51"/>
      <c r="J211" s="52"/>
      <c r="K211" s="51"/>
      <c r="L211" s="52">
        <f>SUM(AR201:AR214)+SUM(AS201:AS214)+SUM(AT201:AT214)+SUM(AU201:AU214)+SUM(AV201:AV214)</f>
        <v>8113.46</v>
      </c>
    </row>
    <row r="212" spans="1:101" ht="42.75" x14ac:dyDescent="0.2">
      <c r="A212" s="48"/>
      <c r="B212" s="48" t="s">
        <v>25</v>
      </c>
      <c r="C212" s="48" t="s">
        <v>707</v>
      </c>
      <c r="D212" s="49" t="s">
        <v>83</v>
      </c>
      <c r="E212" s="50">
        <f>Source!BZ77</f>
        <v>103</v>
      </c>
      <c r="F212" s="50"/>
      <c r="G212" s="50">
        <f>Source!AT77</f>
        <v>103</v>
      </c>
      <c r="H212" s="52"/>
      <c r="I212" s="51"/>
      <c r="J212" s="52"/>
      <c r="K212" s="51"/>
      <c r="L212" s="52">
        <f>SUM(AZ201:AZ214)</f>
        <v>8356.86</v>
      </c>
    </row>
    <row r="213" spans="1:101" ht="42.75" x14ac:dyDescent="0.2">
      <c r="A213" s="56"/>
      <c r="B213" s="56" t="s">
        <v>26</v>
      </c>
      <c r="C213" s="56" t="s">
        <v>708</v>
      </c>
      <c r="D213" s="57" t="s">
        <v>83</v>
      </c>
      <c r="E213" s="58">
        <f>Source!CA77</f>
        <v>52</v>
      </c>
      <c r="F213" s="58"/>
      <c r="G213" s="58">
        <f>Source!AU77</f>
        <v>52</v>
      </c>
      <c r="H213" s="59"/>
      <c r="I213" s="60"/>
      <c r="J213" s="59"/>
      <c r="K213" s="60"/>
      <c r="L213" s="59">
        <f>SUM(BA201:BA214)</f>
        <v>4219</v>
      </c>
    </row>
    <row r="214" spans="1:101" ht="15" x14ac:dyDescent="0.2">
      <c r="C214" s="131" t="s">
        <v>709</v>
      </c>
      <c r="D214" s="131"/>
      <c r="E214" s="131"/>
      <c r="F214" s="131"/>
      <c r="G214" s="131"/>
      <c r="H214" s="131"/>
      <c r="I214" s="132">
        <f>IF(E201&lt;&gt;0,K214/E201, 0)</f>
        <v>298351.14285714284</v>
      </c>
      <c r="J214" s="132"/>
      <c r="K214" s="132">
        <f>L203+L205+L212+L213</f>
        <v>20884.580000000002</v>
      </c>
      <c r="L214" s="132"/>
      <c r="AD214">
        <f>ROUND((Source!AT77/100)*((ROUND(SUMIF(SmtRes!AQ44:'SmtRes'!AQ48,"=1",SmtRes!AD44:'SmtRes'!AD48)*Source!I77, 2)+ROUND(SUMIF(SmtRes!AQ44:'SmtRes'!AQ48,"=1",SmtRes!AC44:'SmtRes'!AC48)*Source!I77, 2))), 2)</f>
        <v>46.81</v>
      </c>
      <c r="AE214">
        <f>ROUND((Source!AU77/100)*((ROUND(SUMIF(SmtRes!AQ44:'SmtRes'!AQ48,"=1",SmtRes!AD44:'SmtRes'!AD48)*Source!I77, 2)+ROUND(SUMIF(SmtRes!AQ44:'SmtRes'!AQ48,"=1",SmtRes!AC44:'SmtRes'!AC48)*Source!I77, 2))), 2)</f>
        <v>23.63</v>
      </c>
      <c r="AN214" s="61">
        <f>L203+L205+L212+L213</f>
        <v>20884.580000000002</v>
      </c>
      <c r="AO214">
        <f>0</f>
        <v>0</v>
      </c>
      <c r="AQ214" t="s">
        <v>710</v>
      </c>
      <c r="AR214" s="61">
        <f>L203</f>
        <v>8113.46</v>
      </c>
      <c r="AT214">
        <f>0</f>
        <v>0</v>
      </c>
      <c r="AV214" t="s">
        <v>710</v>
      </c>
      <c r="AW214" s="61">
        <f>L205</f>
        <v>195.26</v>
      </c>
      <c r="AZ214">
        <f>Source!X77</f>
        <v>8356.86</v>
      </c>
      <c r="BA214">
        <f>Source!Y77</f>
        <v>4219</v>
      </c>
      <c r="CD214">
        <v>1</v>
      </c>
    </row>
    <row r="215" spans="1:101" ht="28.5" x14ac:dyDescent="0.2">
      <c r="A215" s="46" t="s">
        <v>156</v>
      </c>
      <c r="B215" s="48" t="s">
        <v>761</v>
      </c>
      <c r="C215" s="48" t="str">
        <f>Source!G78</f>
        <v>Установка термометров в оправе прямых и угловых</v>
      </c>
      <c r="D215" s="49" t="str">
        <f>Source!H78</f>
        <v>КОМПЛ</v>
      </c>
      <c r="E215" s="50">
        <f>Source!K78</f>
        <v>8</v>
      </c>
      <c r="F215" s="50"/>
      <c r="G215" s="50">
        <f>Source!I78</f>
        <v>8</v>
      </c>
      <c r="H215" s="52"/>
      <c r="I215" s="51"/>
      <c r="J215" s="52"/>
      <c r="K215" s="51"/>
      <c r="L215" s="52"/>
    </row>
    <row r="216" spans="1:101" ht="51" x14ac:dyDescent="0.2">
      <c r="B216" s="64" t="s">
        <v>644</v>
      </c>
      <c r="C216" s="130" t="s">
        <v>717</v>
      </c>
      <c r="D216" s="130"/>
      <c r="E216" s="130"/>
      <c r="F216" s="130"/>
      <c r="G216" s="130"/>
      <c r="H216" s="130"/>
      <c r="I216" s="130"/>
      <c r="J216" s="130"/>
      <c r="K216" s="130"/>
      <c r="L216" s="130"/>
      <c r="CW216" s="65" t="s">
        <v>717</v>
      </c>
    </row>
    <row r="217" spans="1:101" ht="15" x14ac:dyDescent="0.2">
      <c r="A217" s="47"/>
      <c r="B217" s="50">
        <v>1</v>
      </c>
      <c r="C217" s="47" t="s">
        <v>698</v>
      </c>
      <c r="D217" s="49" t="s">
        <v>449</v>
      </c>
      <c r="E217" s="54"/>
      <c r="F217" s="50"/>
      <c r="G217" s="50">
        <f>Source!U78</f>
        <v>2.8519999999999999</v>
      </c>
      <c r="H217" s="50"/>
      <c r="I217" s="50"/>
      <c r="J217" s="50"/>
      <c r="K217" s="50"/>
      <c r="L217" s="55">
        <f>SUM(L218:L218)-SUMIF(CE218:CE218, 1, L218:L218)</f>
        <v>2013.17</v>
      </c>
    </row>
    <row r="218" spans="1:101" ht="14.25" x14ac:dyDescent="0.2">
      <c r="A218" s="48"/>
      <c r="B218" s="48" t="s">
        <v>519</v>
      </c>
      <c r="C218" s="48" t="s">
        <v>520</v>
      </c>
      <c r="D218" s="49" t="s">
        <v>449</v>
      </c>
      <c r="E218" s="50">
        <v>0.31</v>
      </c>
      <c r="F218" s="50">
        <f>ROUND(1.15,7)</f>
        <v>1.1499999999999999</v>
      </c>
      <c r="G218" s="50">
        <f>SmtRes!CX49</f>
        <v>2.8519999999999999</v>
      </c>
      <c r="H218" s="52"/>
      <c r="I218" s="51"/>
      <c r="J218" s="52">
        <f>SmtRes!CZ49</f>
        <v>705.88</v>
      </c>
      <c r="K218" s="51"/>
      <c r="L218" s="52">
        <f>SmtRes!DI49</f>
        <v>2013.17</v>
      </c>
    </row>
    <row r="219" spans="1:101" ht="15" x14ac:dyDescent="0.2">
      <c r="A219" s="47"/>
      <c r="B219" s="50">
        <v>4</v>
      </c>
      <c r="C219" s="47" t="s">
        <v>702</v>
      </c>
      <c r="D219" s="49"/>
      <c r="E219" s="54"/>
      <c r="F219" s="50"/>
      <c r="G219" s="50"/>
      <c r="H219" s="50"/>
      <c r="I219" s="50"/>
      <c r="J219" s="50"/>
      <c r="K219" s="50"/>
      <c r="L219" s="55">
        <f>SUM(L220:L223)-SUMIF(CE220:CE223, 1, L220:L223)</f>
        <v>128.15</v>
      </c>
    </row>
    <row r="220" spans="1:101" ht="14.25" x14ac:dyDescent="0.2">
      <c r="A220" s="48"/>
      <c r="B220" s="48" t="s">
        <v>521</v>
      </c>
      <c r="C220" s="48" t="s">
        <v>523</v>
      </c>
      <c r="D220" s="49" t="s">
        <v>524</v>
      </c>
      <c r="E220" s="50">
        <v>0.1232</v>
      </c>
      <c r="F220" s="50"/>
      <c r="G220" s="50">
        <f>SmtRes!CX50</f>
        <v>0.98560000000000003</v>
      </c>
      <c r="H220" s="52">
        <f>SmtRes!CZ50</f>
        <v>101.21</v>
      </c>
      <c r="I220" s="51">
        <f>SmtRes!AI50</f>
        <v>0.91</v>
      </c>
      <c r="J220" s="52">
        <f>ROUND(H220*I220, 2)</f>
        <v>92.1</v>
      </c>
      <c r="K220" s="51"/>
      <c r="L220" s="52">
        <f>SmtRes!DF50</f>
        <v>90.77</v>
      </c>
    </row>
    <row r="221" spans="1:101" ht="14.25" x14ac:dyDescent="0.2">
      <c r="A221" s="48"/>
      <c r="B221" s="48" t="s">
        <v>508</v>
      </c>
      <c r="C221" s="48" t="s">
        <v>510</v>
      </c>
      <c r="D221" s="49" t="s">
        <v>295</v>
      </c>
      <c r="E221" s="50">
        <v>0.01</v>
      </c>
      <c r="F221" s="50"/>
      <c r="G221" s="50">
        <f>SmtRes!CX51</f>
        <v>0.08</v>
      </c>
      <c r="H221" s="52">
        <f>SmtRes!CZ51</f>
        <v>128.4</v>
      </c>
      <c r="I221" s="51">
        <f>SmtRes!AI51</f>
        <v>1.33</v>
      </c>
      <c r="J221" s="52">
        <f>ROUND(H221*I221, 2)</f>
        <v>170.77</v>
      </c>
      <c r="K221" s="51"/>
      <c r="L221" s="52">
        <f>SmtRes!DF51</f>
        <v>13.66</v>
      </c>
    </row>
    <row r="222" spans="1:101" ht="28.5" x14ac:dyDescent="0.2">
      <c r="A222" s="48"/>
      <c r="B222" s="48" t="s">
        <v>511</v>
      </c>
      <c r="C222" s="48" t="s">
        <v>513</v>
      </c>
      <c r="D222" s="49" t="s">
        <v>295</v>
      </c>
      <c r="E222" s="50">
        <v>0.02</v>
      </c>
      <c r="F222" s="50"/>
      <c r="G222" s="50">
        <f>SmtRes!CX52</f>
        <v>0.16</v>
      </c>
      <c r="H222" s="52">
        <f>SmtRes!CZ52</f>
        <v>79.88</v>
      </c>
      <c r="I222" s="51">
        <f>SmtRes!AI52</f>
        <v>1.4</v>
      </c>
      <c r="J222" s="52">
        <f>ROUND(H222*I222, 2)</f>
        <v>111.83</v>
      </c>
      <c r="K222" s="51"/>
      <c r="L222" s="52">
        <f>SmtRes!DF52</f>
        <v>17.89</v>
      </c>
    </row>
    <row r="223" spans="1:101" ht="57" x14ac:dyDescent="0.2">
      <c r="A223" s="48"/>
      <c r="B223" s="48" t="s">
        <v>514</v>
      </c>
      <c r="C223" s="56" t="s">
        <v>516</v>
      </c>
      <c r="D223" s="57" t="s">
        <v>35</v>
      </c>
      <c r="E223" s="58">
        <v>1.0000000000000001E-5</v>
      </c>
      <c r="F223" s="58"/>
      <c r="G223" s="58">
        <f>SmtRes!CX53</f>
        <v>8.0000000000000007E-5</v>
      </c>
      <c r="H223" s="59">
        <f>SmtRes!CZ53</f>
        <v>60697.21</v>
      </c>
      <c r="I223" s="60">
        <f>SmtRes!AI53</f>
        <v>1.2</v>
      </c>
      <c r="J223" s="59">
        <f>ROUND(H223*I223, 2)</f>
        <v>72836.649999999994</v>
      </c>
      <c r="K223" s="60"/>
      <c r="L223" s="59">
        <f>SmtRes!DF53</f>
        <v>5.83</v>
      </c>
    </row>
    <row r="224" spans="1:101" ht="15" x14ac:dyDescent="0.2">
      <c r="A224" s="48"/>
      <c r="B224" s="48"/>
      <c r="C224" s="62" t="s">
        <v>703</v>
      </c>
      <c r="D224" s="49"/>
      <c r="E224" s="50"/>
      <c r="F224" s="50"/>
      <c r="G224" s="50"/>
      <c r="H224" s="52"/>
      <c r="I224" s="51"/>
      <c r="J224" s="52"/>
      <c r="K224" s="51"/>
      <c r="L224" s="52">
        <f>L217+L219</f>
        <v>2141.3200000000002</v>
      </c>
    </row>
    <row r="225" spans="1:82" ht="42.75" x14ac:dyDescent="0.2">
      <c r="A225" s="70" t="s">
        <v>762</v>
      </c>
      <c r="B225" s="71" t="str">
        <f>Source!F79</f>
        <v>63.4.05.01-0001</v>
      </c>
      <c r="C225" s="71" t="s">
        <v>763</v>
      </c>
      <c r="D225" s="72" t="str">
        <f>Source!H79</f>
        <v>ШТ</v>
      </c>
      <c r="E225" s="73">
        <f>SmtRes!AT54</f>
        <v>0.375</v>
      </c>
      <c r="F225" s="73"/>
      <c r="G225" s="73">
        <f>Source!I79</f>
        <v>3</v>
      </c>
      <c r="H225" s="75">
        <f>Source!AL79+Source!AO79+Source!AM79+Source!AN79</f>
        <v>1287.76</v>
      </c>
      <c r="I225" s="74">
        <f>IF(Source!BC79&lt;&gt; 0, Source!BC79, 1)</f>
        <v>1</v>
      </c>
      <c r="J225" s="75">
        <f>ROUND(H225*I225, 2)</f>
        <v>1287.76</v>
      </c>
      <c r="K225" s="74"/>
      <c r="L225" s="75">
        <f>Source!P79</f>
        <v>3863.28</v>
      </c>
      <c r="AD225">
        <f>ROUND((Source!AT79/100)*((ROUND(ROUND(Source!AO79,2)*Source!I79, 2)+ROUND(ROUND(Source!AN79,2)*Source!I79, 2))), 2)</f>
        <v>0</v>
      </c>
      <c r="AE225">
        <f>ROUND((Source!AU79/100)*((ROUND(ROUND(Source!AO79,2)*Source!I79, 2)+ROUND(ROUND(Source!AN79,2)*Source!I79, 2))), 2)</f>
        <v>0</v>
      </c>
      <c r="AN225">
        <f>L225</f>
        <v>3863.28</v>
      </c>
      <c r="AW225">
        <f>L225</f>
        <v>3863.28</v>
      </c>
      <c r="AZ225">
        <f>Source!X79</f>
        <v>0</v>
      </c>
      <c r="BA225">
        <f>Source!Y79</f>
        <v>0</v>
      </c>
      <c r="BK225">
        <f>L225</f>
        <v>3863.28</v>
      </c>
      <c r="CD225">
        <v>3</v>
      </c>
    </row>
    <row r="226" spans="1:82" ht="71.25" x14ac:dyDescent="0.2">
      <c r="A226" s="70" t="s">
        <v>764</v>
      </c>
      <c r="B226" s="71" t="str">
        <f>Source!F80</f>
        <v>63.4.05.04-0002</v>
      </c>
      <c r="C226" s="71" t="s">
        <v>765</v>
      </c>
      <c r="D226" s="72" t="str">
        <f>Source!H80</f>
        <v>КОМПЛ</v>
      </c>
      <c r="E226" s="73">
        <f>SmtRes!AT55</f>
        <v>0.625</v>
      </c>
      <c r="F226" s="73"/>
      <c r="G226" s="73">
        <f>Source!I80</f>
        <v>5</v>
      </c>
      <c r="H226" s="75">
        <f>Source!AL80+Source!AO80+Source!AM80+Source!AN80</f>
        <v>641.15</v>
      </c>
      <c r="I226" s="74">
        <f>IF(Source!BC80&lt;&gt; 0, Source!BC80, 1)</f>
        <v>1</v>
      </c>
      <c r="J226" s="75">
        <f>ROUND(H226*I226, 2)</f>
        <v>641.15</v>
      </c>
      <c r="K226" s="74"/>
      <c r="L226" s="75">
        <f>Source!P80</f>
        <v>3205.75</v>
      </c>
      <c r="AD226">
        <f>ROUND((Source!AT80/100)*((ROUND(ROUND(Source!AO80,2)*Source!I80, 2)+ROUND(ROUND(Source!AN80,2)*Source!I80, 2))), 2)</f>
        <v>0</v>
      </c>
      <c r="AE226">
        <f>ROUND((Source!AU80/100)*((ROUND(ROUND(Source!AO80,2)*Source!I80, 2)+ROUND(ROUND(Source!AN80,2)*Source!I80, 2))), 2)</f>
        <v>0</v>
      </c>
      <c r="AN226">
        <f>L226</f>
        <v>3205.75</v>
      </c>
      <c r="AW226">
        <f>L226</f>
        <v>3205.75</v>
      </c>
      <c r="AZ226">
        <f>Source!X80</f>
        <v>0</v>
      </c>
      <c r="BA226">
        <f>Source!Y80</f>
        <v>0</v>
      </c>
      <c r="BK226">
        <f>L226</f>
        <v>3205.75</v>
      </c>
      <c r="CD226">
        <v>3</v>
      </c>
    </row>
    <row r="227" spans="1:82" ht="14.25" x14ac:dyDescent="0.2">
      <c r="A227" s="48"/>
      <c r="B227" s="48"/>
      <c r="C227" s="48" t="s">
        <v>706</v>
      </c>
      <c r="D227" s="49"/>
      <c r="E227" s="50"/>
      <c r="F227" s="50"/>
      <c r="G227" s="50"/>
      <c r="H227" s="52"/>
      <c r="I227" s="51"/>
      <c r="J227" s="52"/>
      <c r="K227" s="51"/>
      <c r="L227" s="52">
        <f>SUM(AR215:AR230)+SUM(AS215:AS230)+SUM(AT215:AT230)+SUM(AU215:AU230)+SUM(AV215:AV230)</f>
        <v>2013.17</v>
      </c>
    </row>
    <row r="228" spans="1:82" ht="71.25" x14ac:dyDescent="0.2">
      <c r="A228" s="48"/>
      <c r="B228" s="48" t="s">
        <v>721</v>
      </c>
      <c r="C228" s="48" t="s">
        <v>722</v>
      </c>
      <c r="D228" s="49" t="s">
        <v>83</v>
      </c>
      <c r="E228" s="50">
        <f>Source!BZ78</f>
        <v>121</v>
      </c>
      <c r="F228" s="50">
        <f>ROUND(0.9,7)</f>
        <v>0.9</v>
      </c>
      <c r="G228" s="50">
        <f>Source!AT78</f>
        <v>108.9</v>
      </c>
      <c r="H228" s="52"/>
      <c r="I228" s="51"/>
      <c r="J228" s="52"/>
      <c r="K228" s="51"/>
      <c r="L228" s="52">
        <f>SUM(AZ215:AZ230)</f>
        <v>2192.34</v>
      </c>
    </row>
    <row r="229" spans="1:82" ht="71.25" x14ac:dyDescent="0.2">
      <c r="A229" s="56"/>
      <c r="B229" s="56" t="s">
        <v>723</v>
      </c>
      <c r="C229" s="56" t="s">
        <v>724</v>
      </c>
      <c r="D229" s="57" t="s">
        <v>83</v>
      </c>
      <c r="E229" s="58">
        <f>Source!CA78</f>
        <v>72</v>
      </c>
      <c r="F229" s="58">
        <f>ROUND(0.85,7)</f>
        <v>0.85</v>
      </c>
      <c r="G229" s="58">
        <f>Source!AU78</f>
        <v>61.2</v>
      </c>
      <c r="H229" s="59"/>
      <c r="I229" s="60"/>
      <c r="J229" s="59"/>
      <c r="K229" s="60"/>
      <c r="L229" s="59">
        <f>SUM(BA215:BA230)</f>
        <v>1232.06</v>
      </c>
    </row>
    <row r="230" spans="1:82" ht="15" x14ac:dyDescent="0.2">
      <c r="C230" s="131" t="s">
        <v>709</v>
      </c>
      <c r="D230" s="131"/>
      <c r="E230" s="131"/>
      <c r="F230" s="131"/>
      <c r="G230" s="131"/>
      <c r="H230" s="131"/>
      <c r="I230" s="132">
        <f>IF(E215&lt;&gt;0,K230/E215, 0)</f>
        <v>1579.34375</v>
      </c>
      <c r="J230" s="132"/>
      <c r="K230" s="132">
        <f>L217+L219+L228+L229+SUM(L225:L226)</f>
        <v>12634.75</v>
      </c>
      <c r="L230" s="132"/>
      <c r="AD230">
        <f>ROUND((Source!AT78/100)*((ROUND(SUMIF(SmtRes!AQ49:'SmtRes'!AQ55,"=1",SmtRes!AD49:'SmtRes'!AD55)*Source!I78, 2)+ROUND(SUMIF(SmtRes!AQ49:'SmtRes'!AQ55,"=1",SmtRes!AC49:'SmtRes'!AC55)*Source!I78, 2))), 2)</f>
        <v>6149.63</v>
      </c>
      <c r="AE230">
        <f>ROUND((Source!AU78/100)*((ROUND(SUMIF(SmtRes!AQ49:'SmtRes'!AQ55,"=1",SmtRes!AD49:'SmtRes'!AD55)*Source!I78, 2)+ROUND(SUMIF(SmtRes!AQ49:'SmtRes'!AQ55,"=1",SmtRes!AC49:'SmtRes'!AC55)*Source!I78, 2))), 2)</f>
        <v>3455.99</v>
      </c>
      <c r="AN230" s="61">
        <f>L217+L219+L228+L229</f>
        <v>5565.7199999999993</v>
      </c>
      <c r="AO230">
        <f>0</f>
        <v>0</v>
      </c>
      <c r="AQ230" t="s">
        <v>710</v>
      </c>
      <c r="AR230" s="61">
        <f>L217</f>
        <v>2013.17</v>
      </c>
      <c r="AT230">
        <f>0</f>
        <v>0</v>
      </c>
      <c r="AV230" t="s">
        <v>710</v>
      </c>
      <c r="AW230" s="61">
        <f>L219</f>
        <v>128.15</v>
      </c>
      <c r="AZ230">
        <f>Source!X78</f>
        <v>2192.34</v>
      </c>
      <c r="BA230">
        <f>Source!Y78</f>
        <v>1232.06</v>
      </c>
      <c r="CD230">
        <v>1</v>
      </c>
    </row>
    <row r="231" spans="1:82" ht="28.5" x14ac:dyDescent="0.2">
      <c r="A231" s="46" t="s">
        <v>173</v>
      </c>
      <c r="B231" s="48" t="s">
        <v>766</v>
      </c>
      <c r="C231" s="48" t="str">
        <f>Source!G81</f>
        <v>Демонтаж: манометров</v>
      </c>
      <c r="D231" s="49" t="str">
        <f>Source!H81</f>
        <v>100 ШТ</v>
      </c>
      <c r="E231" s="50">
        <f>Source!K81</f>
        <v>0.05</v>
      </c>
      <c r="F231" s="50"/>
      <c r="G231" s="50">
        <f>Source!I81</f>
        <v>0.05</v>
      </c>
      <c r="H231" s="52"/>
      <c r="I231" s="51"/>
      <c r="J231" s="52"/>
      <c r="K231" s="51"/>
      <c r="L231" s="52"/>
    </row>
    <row r="232" spans="1:82" x14ac:dyDescent="0.2">
      <c r="C232" s="53" t="str">
        <f>"Объем: "&amp;Source!I81&amp;"=5/"&amp;"100"</f>
        <v>Объем: 0,05=5/100</v>
      </c>
    </row>
    <row r="233" spans="1:82" ht="15" x14ac:dyDescent="0.2">
      <c r="A233" s="47"/>
      <c r="B233" s="50">
        <v>1</v>
      </c>
      <c r="C233" s="47" t="s">
        <v>698</v>
      </c>
      <c r="D233" s="49" t="s">
        <v>449</v>
      </c>
      <c r="E233" s="54"/>
      <c r="F233" s="50"/>
      <c r="G233" s="50">
        <f>Source!U81</f>
        <v>0.11550000000000001</v>
      </c>
      <c r="H233" s="50"/>
      <c r="I233" s="50"/>
      <c r="J233" s="50"/>
      <c r="K233" s="50"/>
      <c r="L233" s="55">
        <f>SUM(L234:L234)-SUMIF(CE234:CE234, 1, L234:L234)</f>
        <v>74.06</v>
      </c>
    </row>
    <row r="234" spans="1:82" ht="14.25" x14ac:dyDescent="0.2">
      <c r="A234" s="48"/>
      <c r="B234" s="48" t="s">
        <v>464</v>
      </c>
      <c r="C234" s="56" t="s">
        <v>465</v>
      </c>
      <c r="D234" s="57" t="s">
        <v>449</v>
      </c>
      <c r="E234" s="58">
        <v>2.31</v>
      </c>
      <c r="F234" s="58"/>
      <c r="G234" s="58">
        <f>SmtRes!CX56</f>
        <v>0.11550000000000001</v>
      </c>
      <c r="H234" s="59"/>
      <c r="I234" s="60"/>
      <c r="J234" s="59">
        <f>SmtRes!CZ56</f>
        <v>641.22</v>
      </c>
      <c r="K234" s="60"/>
      <c r="L234" s="59">
        <f>SmtRes!DI56</f>
        <v>74.06</v>
      </c>
    </row>
    <row r="235" spans="1:82" ht="15" x14ac:dyDescent="0.2">
      <c r="A235" s="48"/>
      <c r="B235" s="48"/>
      <c r="C235" s="62" t="s">
        <v>703</v>
      </c>
      <c r="D235" s="49"/>
      <c r="E235" s="50"/>
      <c r="F235" s="50"/>
      <c r="G235" s="50"/>
      <c r="H235" s="52"/>
      <c r="I235" s="51"/>
      <c r="J235" s="52"/>
      <c r="K235" s="51"/>
      <c r="L235" s="52">
        <f>L233</f>
        <v>74.06</v>
      </c>
    </row>
    <row r="236" spans="1:82" ht="14.25" x14ac:dyDescent="0.2">
      <c r="A236" s="48"/>
      <c r="B236" s="48"/>
      <c r="C236" s="48" t="s">
        <v>706</v>
      </c>
      <c r="D236" s="49"/>
      <c r="E236" s="50"/>
      <c r="F236" s="50"/>
      <c r="G236" s="50"/>
      <c r="H236" s="52"/>
      <c r="I236" s="51"/>
      <c r="J236" s="52"/>
      <c r="K236" s="51"/>
      <c r="L236" s="52">
        <f>SUM(AR231:AR239)+SUM(AS231:AS239)+SUM(AT231:AT239)+SUM(AU231:AU239)+SUM(AV231:AV239)</f>
        <v>74.06</v>
      </c>
    </row>
    <row r="237" spans="1:82" ht="28.5" x14ac:dyDescent="0.2">
      <c r="A237" s="48"/>
      <c r="B237" s="48" t="s">
        <v>41</v>
      </c>
      <c r="C237" s="48" t="s">
        <v>714</v>
      </c>
      <c r="D237" s="49" t="s">
        <v>83</v>
      </c>
      <c r="E237" s="50">
        <f>Source!BZ81</f>
        <v>87</v>
      </c>
      <c r="F237" s="50"/>
      <c r="G237" s="50">
        <f>Source!AT81</f>
        <v>87</v>
      </c>
      <c r="H237" s="52"/>
      <c r="I237" s="51"/>
      <c r="J237" s="52"/>
      <c r="K237" s="51"/>
      <c r="L237" s="52">
        <f>SUM(AZ231:AZ239)</f>
        <v>64.430000000000007</v>
      </c>
    </row>
    <row r="238" spans="1:82" ht="28.5" x14ac:dyDescent="0.2">
      <c r="A238" s="56"/>
      <c r="B238" s="56" t="s">
        <v>42</v>
      </c>
      <c r="C238" s="56" t="s">
        <v>715</v>
      </c>
      <c r="D238" s="57" t="s">
        <v>83</v>
      </c>
      <c r="E238" s="58">
        <f>Source!CA81</f>
        <v>44</v>
      </c>
      <c r="F238" s="58"/>
      <c r="G238" s="58">
        <f>Source!AU81</f>
        <v>44</v>
      </c>
      <c r="H238" s="59"/>
      <c r="I238" s="60"/>
      <c r="J238" s="59"/>
      <c r="K238" s="60"/>
      <c r="L238" s="59">
        <f>SUM(BA231:BA239)</f>
        <v>32.590000000000003</v>
      </c>
    </row>
    <row r="239" spans="1:82" ht="15" x14ac:dyDescent="0.2">
      <c r="C239" s="131" t="s">
        <v>709</v>
      </c>
      <c r="D239" s="131"/>
      <c r="E239" s="131"/>
      <c r="F239" s="131"/>
      <c r="G239" s="131"/>
      <c r="H239" s="131"/>
      <c r="I239" s="132">
        <f>IF(E231&lt;&gt;0,K239/E231, 0)</f>
        <v>3421.6</v>
      </c>
      <c r="J239" s="132"/>
      <c r="K239" s="132">
        <f>L233+L237+L238</f>
        <v>171.08</v>
      </c>
      <c r="L239" s="132"/>
      <c r="AD239">
        <f>ROUND((Source!AT81/100)*((ROUND(SUMIF(SmtRes!AQ56:'SmtRes'!AQ56,"=1",SmtRes!AD56:'SmtRes'!AD56)*Source!I81, 2)+ROUND(SUMIF(SmtRes!AQ56:'SmtRes'!AQ56,"=1",SmtRes!AC56:'SmtRes'!AC56)*Source!I81, 2))), 2)</f>
        <v>27.89</v>
      </c>
      <c r="AE239">
        <f>ROUND((Source!AU81/100)*((ROUND(SUMIF(SmtRes!AQ56:'SmtRes'!AQ56,"=1",SmtRes!AD56:'SmtRes'!AD56)*Source!I81, 2)+ROUND(SUMIF(SmtRes!AQ56:'SmtRes'!AQ56,"=1",SmtRes!AC56:'SmtRes'!AC56)*Source!I81, 2))), 2)</f>
        <v>14.11</v>
      </c>
      <c r="AN239" s="61">
        <f>L233+L237+L238</f>
        <v>171.08</v>
      </c>
      <c r="AO239">
        <f>0</f>
        <v>0</v>
      </c>
      <c r="AQ239" t="s">
        <v>710</v>
      </c>
      <c r="AR239" s="61">
        <f>L233</f>
        <v>74.06</v>
      </c>
      <c r="AT239">
        <f>0</f>
        <v>0</v>
      </c>
      <c r="AV239" t="s">
        <v>710</v>
      </c>
      <c r="AW239">
        <f>0</f>
        <v>0</v>
      </c>
      <c r="AZ239">
        <f>Source!X81</f>
        <v>64.430000000000007</v>
      </c>
      <c r="BA239">
        <f>Source!Y81</f>
        <v>32.590000000000003</v>
      </c>
      <c r="CD239">
        <v>1</v>
      </c>
    </row>
    <row r="240" spans="1:82" ht="28.5" x14ac:dyDescent="0.2">
      <c r="A240" s="46" t="s">
        <v>177</v>
      </c>
      <c r="B240" s="48" t="s">
        <v>767</v>
      </c>
      <c r="C240" s="48" t="str">
        <f>Source!G82</f>
        <v>Установка манометров: с трехходовым краном</v>
      </c>
      <c r="D240" s="49" t="str">
        <f>Source!H82</f>
        <v>КОМПЛ</v>
      </c>
      <c r="E240" s="50">
        <f>Source!K82</f>
        <v>6</v>
      </c>
      <c r="F240" s="50"/>
      <c r="G240" s="50">
        <f>Source!I82</f>
        <v>6</v>
      </c>
      <c r="H240" s="52"/>
      <c r="I240" s="51"/>
      <c r="J240" s="52"/>
      <c r="K240" s="51"/>
      <c r="L240" s="52"/>
    </row>
    <row r="241" spans="1:101" ht="51" x14ac:dyDescent="0.2">
      <c r="B241" s="64" t="s">
        <v>644</v>
      </c>
      <c r="C241" s="130" t="s">
        <v>717</v>
      </c>
      <c r="D241" s="130"/>
      <c r="E241" s="130"/>
      <c r="F241" s="130"/>
      <c r="G241" s="130"/>
      <c r="H241" s="130"/>
      <c r="I241" s="130"/>
      <c r="J241" s="130"/>
      <c r="K241" s="130"/>
      <c r="L241" s="130"/>
      <c r="CW241" s="65" t="s">
        <v>717</v>
      </c>
    </row>
    <row r="242" spans="1:101" ht="15" x14ac:dyDescent="0.2">
      <c r="A242" s="47"/>
      <c r="B242" s="50">
        <v>1</v>
      </c>
      <c r="C242" s="47" t="s">
        <v>698</v>
      </c>
      <c r="D242" s="49" t="s">
        <v>449</v>
      </c>
      <c r="E242" s="54"/>
      <c r="F242" s="50"/>
      <c r="G242" s="50">
        <f>Source!U82</f>
        <v>1.518</v>
      </c>
      <c r="H242" s="50"/>
      <c r="I242" s="50"/>
      <c r="J242" s="50"/>
      <c r="K242" s="50"/>
      <c r="L242" s="55">
        <f>SUM(L243:L243)-SUMIF(CE243:CE243, 1, L243:L243)</f>
        <v>1128.78</v>
      </c>
    </row>
    <row r="243" spans="1:101" ht="14.25" x14ac:dyDescent="0.2">
      <c r="A243" s="48"/>
      <c r="B243" s="48" t="s">
        <v>525</v>
      </c>
      <c r="C243" s="48" t="s">
        <v>526</v>
      </c>
      <c r="D243" s="49" t="s">
        <v>449</v>
      </c>
      <c r="E243" s="50">
        <v>0.22</v>
      </c>
      <c r="F243" s="50">
        <f>ROUND(1.15,7)</f>
        <v>1.1499999999999999</v>
      </c>
      <c r="G243" s="50">
        <f>SmtRes!CX57</f>
        <v>1.518</v>
      </c>
      <c r="H243" s="52"/>
      <c r="I243" s="51"/>
      <c r="J243" s="52">
        <f>SmtRes!CZ57</f>
        <v>743.6</v>
      </c>
      <c r="K243" s="51"/>
      <c r="L243" s="52">
        <f>SmtRes!DI57</f>
        <v>1128.78</v>
      </c>
    </row>
    <row r="244" spans="1:101" ht="15" x14ac:dyDescent="0.2">
      <c r="A244" s="47"/>
      <c r="B244" s="50">
        <v>4</v>
      </c>
      <c r="C244" s="47" t="s">
        <v>702</v>
      </c>
      <c r="D244" s="49"/>
      <c r="E244" s="54"/>
      <c r="F244" s="50"/>
      <c r="G244" s="50"/>
      <c r="H244" s="50"/>
      <c r="I244" s="50"/>
      <c r="J244" s="50"/>
      <c r="K244" s="50"/>
      <c r="L244" s="55">
        <f>SUM(L245:L247)-SUMIF(CE245:CE247, 1, L245:L247)</f>
        <v>28.040000000000003</v>
      </c>
    </row>
    <row r="245" spans="1:101" ht="14.25" x14ac:dyDescent="0.2">
      <c r="A245" s="48"/>
      <c r="B245" s="48" t="s">
        <v>508</v>
      </c>
      <c r="C245" s="48" t="s">
        <v>510</v>
      </c>
      <c r="D245" s="49" t="s">
        <v>295</v>
      </c>
      <c r="E245" s="50">
        <v>0.01</v>
      </c>
      <c r="F245" s="50"/>
      <c r="G245" s="50">
        <f>SmtRes!CX58</f>
        <v>0.06</v>
      </c>
      <c r="H245" s="52">
        <f>SmtRes!CZ58</f>
        <v>128.4</v>
      </c>
      <c r="I245" s="51">
        <f>SmtRes!AI58</f>
        <v>1.33</v>
      </c>
      <c r="J245" s="52">
        <f>ROUND(H245*I245, 2)</f>
        <v>170.77</v>
      </c>
      <c r="K245" s="51"/>
      <c r="L245" s="52">
        <f>SmtRes!DF58</f>
        <v>10.25</v>
      </c>
    </row>
    <row r="246" spans="1:101" ht="28.5" x14ac:dyDescent="0.2">
      <c r="A246" s="48"/>
      <c r="B246" s="48" t="s">
        <v>511</v>
      </c>
      <c r="C246" s="48" t="s">
        <v>513</v>
      </c>
      <c r="D246" s="49" t="s">
        <v>295</v>
      </c>
      <c r="E246" s="50">
        <v>0.02</v>
      </c>
      <c r="F246" s="50"/>
      <c r="G246" s="50">
        <f>SmtRes!CX59</f>
        <v>0.12</v>
      </c>
      <c r="H246" s="52">
        <f>SmtRes!CZ59</f>
        <v>79.88</v>
      </c>
      <c r="I246" s="51">
        <f>SmtRes!AI59</f>
        <v>1.4</v>
      </c>
      <c r="J246" s="52">
        <f>ROUND(H246*I246, 2)</f>
        <v>111.83</v>
      </c>
      <c r="K246" s="51"/>
      <c r="L246" s="52">
        <f>SmtRes!DF59</f>
        <v>13.42</v>
      </c>
    </row>
    <row r="247" spans="1:101" ht="57" x14ac:dyDescent="0.2">
      <c r="A247" s="48"/>
      <c r="B247" s="48" t="s">
        <v>514</v>
      </c>
      <c r="C247" s="56" t="s">
        <v>516</v>
      </c>
      <c r="D247" s="57" t="s">
        <v>35</v>
      </c>
      <c r="E247" s="58">
        <v>1.0000000000000001E-5</v>
      </c>
      <c r="F247" s="58"/>
      <c r="G247" s="58">
        <f>SmtRes!CX60</f>
        <v>6.0000000000000002E-5</v>
      </c>
      <c r="H247" s="59">
        <f>SmtRes!CZ60</f>
        <v>60697.21</v>
      </c>
      <c r="I247" s="60">
        <f>SmtRes!AI60</f>
        <v>1.2</v>
      </c>
      <c r="J247" s="59">
        <f>ROUND(H247*I247, 2)</f>
        <v>72836.649999999994</v>
      </c>
      <c r="K247" s="60"/>
      <c r="L247" s="59">
        <f>SmtRes!DF60</f>
        <v>4.37</v>
      </c>
    </row>
    <row r="248" spans="1:101" ht="15" x14ac:dyDescent="0.2">
      <c r="A248" s="48"/>
      <c r="B248" s="48"/>
      <c r="C248" s="62" t="s">
        <v>703</v>
      </c>
      <c r="D248" s="49"/>
      <c r="E248" s="50"/>
      <c r="F248" s="50"/>
      <c r="G248" s="50"/>
      <c r="H248" s="52"/>
      <c r="I248" s="51"/>
      <c r="J248" s="52"/>
      <c r="K248" s="51"/>
      <c r="L248" s="52">
        <f>L242+L244</f>
        <v>1156.82</v>
      </c>
    </row>
    <row r="249" spans="1:101" ht="57" x14ac:dyDescent="0.2">
      <c r="A249" s="70" t="s">
        <v>768</v>
      </c>
      <c r="B249" s="71" t="str">
        <f>Source!F83</f>
        <v>63.4.01.02-0020</v>
      </c>
      <c r="C249" s="71" t="s">
        <v>769</v>
      </c>
      <c r="D249" s="72" t="str">
        <f>Source!H83</f>
        <v>ШТ</v>
      </c>
      <c r="E249" s="73">
        <f>SmtRes!AT61</f>
        <v>1</v>
      </c>
      <c r="F249" s="73"/>
      <c r="G249" s="73">
        <f>Source!I83</f>
        <v>6</v>
      </c>
      <c r="H249" s="75">
        <f>Source!AL83+Source!AO83+Source!AM83+Source!AN83</f>
        <v>624.23</v>
      </c>
      <c r="I249" s="74">
        <f>IF(Source!BC83&lt;&gt; 0, Source!BC83, 1)</f>
        <v>1</v>
      </c>
      <c r="J249" s="75">
        <f>ROUND(H249*I249, 2)</f>
        <v>624.23</v>
      </c>
      <c r="K249" s="74"/>
      <c r="L249" s="75">
        <f>Source!P83</f>
        <v>3745.38</v>
      </c>
      <c r="AD249">
        <f>ROUND((Source!AT83/100)*((ROUND(ROUND(Source!AO83,2)*Source!I83, 2)+ROUND(ROUND(Source!AN83,2)*Source!I83, 2))), 2)</f>
        <v>0</v>
      </c>
      <c r="AE249">
        <f>ROUND((Source!AU83/100)*((ROUND(ROUND(Source!AO83,2)*Source!I83, 2)+ROUND(ROUND(Source!AN83,2)*Source!I83, 2))), 2)</f>
        <v>0</v>
      </c>
      <c r="AN249">
        <f>L249</f>
        <v>3745.38</v>
      </c>
      <c r="AW249">
        <f>L249</f>
        <v>3745.38</v>
      </c>
      <c r="AZ249">
        <f>Source!X83</f>
        <v>0</v>
      </c>
      <c r="BA249">
        <f>Source!Y83</f>
        <v>0</v>
      </c>
      <c r="BK249">
        <f>L249</f>
        <v>3745.38</v>
      </c>
      <c r="CD249">
        <v>3</v>
      </c>
    </row>
    <row r="250" spans="1:101" ht="14.25" x14ac:dyDescent="0.2">
      <c r="A250" s="48"/>
      <c r="B250" s="48"/>
      <c r="C250" s="48" t="s">
        <v>706</v>
      </c>
      <c r="D250" s="49"/>
      <c r="E250" s="50"/>
      <c r="F250" s="50"/>
      <c r="G250" s="50"/>
      <c r="H250" s="52"/>
      <c r="I250" s="51"/>
      <c r="J250" s="52"/>
      <c r="K250" s="51"/>
      <c r="L250" s="52">
        <f>SUM(AR240:AR253)+SUM(AS240:AS253)+SUM(AT240:AT253)+SUM(AU240:AU253)+SUM(AV240:AV253)</f>
        <v>1128.78</v>
      </c>
    </row>
    <row r="251" spans="1:101" ht="71.25" x14ac:dyDescent="0.2">
      <c r="A251" s="48"/>
      <c r="B251" s="48" t="s">
        <v>721</v>
      </c>
      <c r="C251" s="48" t="s">
        <v>722</v>
      </c>
      <c r="D251" s="49" t="s">
        <v>83</v>
      </c>
      <c r="E251" s="50">
        <f>Source!BZ82</f>
        <v>121</v>
      </c>
      <c r="F251" s="50">
        <f>ROUND(0.9,7)</f>
        <v>0.9</v>
      </c>
      <c r="G251" s="50">
        <f>Source!AT82</f>
        <v>108.9</v>
      </c>
      <c r="H251" s="52"/>
      <c r="I251" s="51"/>
      <c r="J251" s="52"/>
      <c r="K251" s="51"/>
      <c r="L251" s="52">
        <f>SUM(AZ240:AZ253)</f>
        <v>1229.24</v>
      </c>
    </row>
    <row r="252" spans="1:101" ht="71.25" x14ac:dyDescent="0.2">
      <c r="A252" s="56"/>
      <c r="B252" s="56" t="s">
        <v>723</v>
      </c>
      <c r="C252" s="56" t="s">
        <v>724</v>
      </c>
      <c r="D252" s="57" t="s">
        <v>83</v>
      </c>
      <c r="E252" s="58">
        <f>Source!CA82</f>
        <v>72</v>
      </c>
      <c r="F252" s="58">
        <f>ROUND(0.85,7)</f>
        <v>0.85</v>
      </c>
      <c r="G252" s="58">
        <f>Source!AU82</f>
        <v>61.2</v>
      </c>
      <c r="H252" s="59"/>
      <c r="I252" s="60"/>
      <c r="J252" s="59"/>
      <c r="K252" s="60"/>
      <c r="L252" s="59">
        <f>SUM(BA240:BA253)</f>
        <v>690.81</v>
      </c>
    </row>
    <row r="253" spans="1:101" ht="15" x14ac:dyDescent="0.2">
      <c r="C253" s="131" t="s">
        <v>709</v>
      </c>
      <c r="D253" s="131"/>
      <c r="E253" s="131"/>
      <c r="F253" s="131"/>
      <c r="G253" s="131"/>
      <c r="H253" s="131"/>
      <c r="I253" s="132">
        <f>IF(E240&lt;&gt;0,K253/E240, 0)</f>
        <v>1137.0416666666667</v>
      </c>
      <c r="J253" s="132"/>
      <c r="K253" s="132">
        <f>L242+L244+L251+L252+SUM(L249:L249)</f>
        <v>6822.25</v>
      </c>
      <c r="L253" s="132"/>
      <c r="AD253">
        <f>ROUND((Source!AT82/100)*((ROUND(SUMIF(SmtRes!AQ57:'SmtRes'!AQ61,"=1",SmtRes!AD57:'SmtRes'!AD61)*Source!I82, 2)+ROUND(SUMIF(SmtRes!AQ57:'SmtRes'!AQ61,"=1",SmtRes!AC57:'SmtRes'!AC61)*Source!I82, 2))), 2)</f>
        <v>4858.68</v>
      </c>
      <c r="AE253">
        <f>ROUND((Source!AU82/100)*((ROUND(SUMIF(SmtRes!AQ57:'SmtRes'!AQ61,"=1",SmtRes!AD57:'SmtRes'!AD61)*Source!I82, 2)+ROUND(SUMIF(SmtRes!AQ57:'SmtRes'!AQ61,"=1",SmtRes!AC57:'SmtRes'!AC61)*Source!I82, 2))), 2)</f>
        <v>2730.5</v>
      </c>
      <c r="AN253" s="61">
        <f>L242+L244+L251+L252</f>
        <v>3076.87</v>
      </c>
      <c r="AO253">
        <f>0</f>
        <v>0</v>
      </c>
      <c r="AQ253" t="s">
        <v>710</v>
      </c>
      <c r="AR253" s="61">
        <f>L242</f>
        <v>1128.78</v>
      </c>
      <c r="AT253">
        <f>0</f>
        <v>0</v>
      </c>
      <c r="AV253" t="s">
        <v>710</v>
      </c>
      <c r="AW253" s="61">
        <f>L244</f>
        <v>28.040000000000003</v>
      </c>
      <c r="AZ253">
        <f>Source!X82</f>
        <v>1229.24</v>
      </c>
      <c r="BA253">
        <f>Source!Y82</f>
        <v>690.81</v>
      </c>
      <c r="CD253">
        <v>1</v>
      </c>
    </row>
    <row r="254" spans="1:101" ht="28.5" x14ac:dyDescent="0.2">
      <c r="A254" s="46" t="s">
        <v>185</v>
      </c>
      <c r="B254" s="48" t="s">
        <v>711</v>
      </c>
      <c r="C254" s="48" t="str">
        <f>Source!G84</f>
        <v>Снятие задвижек диаметром: до 100 мм/затвор диам.40 мм</v>
      </c>
      <c r="D254" s="49" t="str">
        <f>Source!H84</f>
        <v>100 ШТ</v>
      </c>
      <c r="E254" s="50">
        <f>Source!K84</f>
        <v>0.03</v>
      </c>
      <c r="F254" s="50"/>
      <c r="G254" s="50">
        <f>Source!I84</f>
        <v>0.03</v>
      </c>
      <c r="H254" s="52"/>
      <c r="I254" s="51"/>
      <c r="J254" s="52"/>
      <c r="K254" s="51"/>
      <c r="L254" s="52"/>
    </row>
    <row r="255" spans="1:101" x14ac:dyDescent="0.2">
      <c r="C255" s="53" t="str">
        <f>"Объем: "&amp;Source!I84&amp;"=3/"&amp;"100"</f>
        <v>Объем: 0,03=3/100</v>
      </c>
    </row>
    <row r="256" spans="1:101" ht="15" x14ac:dyDescent="0.2">
      <c r="A256" s="47"/>
      <c r="B256" s="50">
        <v>1</v>
      </c>
      <c r="C256" s="47" t="s">
        <v>698</v>
      </c>
      <c r="D256" s="49" t="s">
        <v>449</v>
      </c>
      <c r="E256" s="54"/>
      <c r="F256" s="50"/>
      <c r="G256" s="50">
        <f>Source!U84</f>
        <v>2.859</v>
      </c>
      <c r="H256" s="50"/>
      <c r="I256" s="50"/>
      <c r="J256" s="50"/>
      <c r="K256" s="50"/>
      <c r="L256" s="55">
        <f>SUM(L257:L257)-SUMIF(CE257:CE257, 1, L257:L257)</f>
        <v>1833.25</v>
      </c>
    </row>
    <row r="257" spans="1:101" ht="14.25" x14ac:dyDescent="0.2">
      <c r="A257" s="48"/>
      <c r="B257" s="48" t="s">
        <v>464</v>
      </c>
      <c r="C257" s="48" t="s">
        <v>465</v>
      </c>
      <c r="D257" s="49" t="s">
        <v>449</v>
      </c>
      <c r="E257" s="50">
        <v>95.3</v>
      </c>
      <c r="F257" s="50"/>
      <c r="G257" s="50">
        <f>SmtRes!CX62</f>
        <v>2.859</v>
      </c>
      <c r="H257" s="52"/>
      <c r="I257" s="51"/>
      <c r="J257" s="52">
        <f>SmtRes!CZ62</f>
        <v>641.22</v>
      </c>
      <c r="K257" s="51"/>
      <c r="L257" s="52">
        <f>SmtRes!DI62</f>
        <v>1833.25</v>
      </c>
    </row>
    <row r="258" spans="1:101" ht="15" x14ac:dyDescent="0.2">
      <c r="A258" s="47"/>
      <c r="B258" s="50">
        <v>2</v>
      </c>
      <c r="C258" s="47" t="s">
        <v>699</v>
      </c>
      <c r="D258" s="49"/>
      <c r="E258" s="54"/>
      <c r="F258" s="50"/>
      <c r="G258" s="50"/>
      <c r="H258" s="50"/>
      <c r="I258" s="50"/>
      <c r="J258" s="50"/>
      <c r="K258" s="50"/>
      <c r="L258" s="55">
        <f>SUM(L259:L261)-SUMIF(CE259:CE261, 1, L259:L261)</f>
        <v>0.42999999999999972</v>
      </c>
    </row>
    <row r="259" spans="1:101" ht="15" x14ac:dyDescent="0.2">
      <c r="A259" s="47"/>
      <c r="B259" s="50"/>
      <c r="C259" s="47" t="s">
        <v>701</v>
      </c>
      <c r="D259" s="49" t="s">
        <v>449</v>
      </c>
      <c r="E259" s="54"/>
      <c r="F259" s="50"/>
      <c r="G259" s="50">
        <f>Source!V84</f>
        <v>7.4999999999999997E-3</v>
      </c>
      <c r="H259" s="50"/>
      <c r="I259" s="50"/>
      <c r="J259" s="50"/>
      <c r="K259" s="50"/>
      <c r="L259" s="55">
        <f>SUMIF(CE260:CE261, 1, L260:L261)</f>
        <v>4.8099999999999996</v>
      </c>
      <c r="CE259">
        <v>1</v>
      </c>
    </row>
    <row r="260" spans="1:101" ht="42.75" x14ac:dyDescent="0.2">
      <c r="A260" s="48"/>
      <c r="B260" s="48" t="s">
        <v>466</v>
      </c>
      <c r="C260" s="48" t="s">
        <v>468</v>
      </c>
      <c r="D260" s="49" t="s">
        <v>455</v>
      </c>
      <c r="E260" s="50">
        <v>0.25</v>
      </c>
      <c r="F260" s="50"/>
      <c r="G260" s="50">
        <f>SmtRes!CX64</f>
        <v>7.4999999999999997E-3</v>
      </c>
      <c r="H260" s="52">
        <f>SmtRes!CZ64</f>
        <v>37.32</v>
      </c>
      <c r="I260" s="51">
        <f>SmtRes!AJ64</f>
        <v>1.54</v>
      </c>
      <c r="J260" s="52">
        <f>ROUND(H260*I260, 2)</f>
        <v>57.47</v>
      </c>
      <c r="K260" s="51"/>
      <c r="L260" s="52">
        <f>SmtRes!DG64</f>
        <v>0.43</v>
      </c>
    </row>
    <row r="261" spans="1:101" ht="28.5" x14ac:dyDescent="0.2">
      <c r="A261" s="48"/>
      <c r="B261" s="48" t="s">
        <v>469</v>
      </c>
      <c r="C261" s="56" t="s">
        <v>712</v>
      </c>
      <c r="D261" s="57" t="s">
        <v>449</v>
      </c>
      <c r="E261" s="58">
        <f>SmtRes!DO64*SmtRes!AT64</f>
        <v>0.25</v>
      </c>
      <c r="F261" s="58"/>
      <c r="G261" s="58">
        <f>ROUND(E261*G254, 7)</f>
        <v>7.4999999999999997E-3</v>
      </c>
      <c r="H261" s="59"/>
      <c r="I261" s="60"/>
      <c r="J261" s="59">
        <f>ROUND(SmtRes!AG64/SmtRes!DO64, 2)</f>
        <v>641.22</v>
      </c>
      <c r="K261" s="60"/>
      <c r="L261" s="59">
        <f>SmtRes!DH64</f>
        <v>4.8099999999999996</v>
      </c>
      <c r="CE261">
        <v>1</v>
      </c>
    </row>
    <row r="262" spans="1:101" ht="15" x14ac:dyDescent="0.2">
      <c r="A262" s="48"/>
      <c r="B262" s="48"/>
      <c r="C262" s="62" t="s">
        <v>703</v>
      </c>
      <c r="D262" s="49"/>
      <c r="E262" s="50"/>
      <c r="F262" s="50"/>
      <c r="G262" s="50"/>
      <c r="H262" s="52"/>
      <c r="I262" s="51"/>
      <c r="J262" s="52"/>
      <c r="K262" s="51"/>
      <c r="L262" s="52">
        <f>L256+L258+L259</f>
        <v>1838.49</v>
      </c>
    </row>
    <row r="263" spans="1:101" ht="28.5" x14ac:dyDescent="0.2">
      <c r="A263" s="46" t="s">
        <v>770</v>
      </c>
      <c r="B263" s="48" t="str">
        <f>Source!F85</f>
        <v>999-9899</v>
      </c>
      <c r="C263" s="48" t="str">
        <f>Source!G85</f>
        <v>Строительный мусор и масса возвратных материалов</v>
      </c>
      <c r="D263" s="49" t="str">
        <f>Source!H85</f>
        <v>т</v>
      </c>
      <c r="E263" s="50">
        <f>SmtRes!AT65</f>
        <v>3.98</v>
      </c>
      <c r="F263" s="50"/>
      <c r="G263" s="50">
        <f>Source!I85</f>
        <v>0.11940000000000001</v>
      </c>
      <c r="H263" s="52">
        <f>Source!AL85+Source!AO85+Source!AM85+Source!AN85</f>
        <v>0</v>
      </c>
      <c r="I263" s="51"/>
      <c r="J263" s="52"/>
      <c r="K263" s="51"/>
      <c r="L263" s="52">
        <f>Source!P85</f>
        <v>0</v>
      </c>
      <c r="AD263">
        <f>ROUND((Source!AT85/100)*((ROUND(ROUND(Source!AO85,2)*Source!I85, 2)+ROUND(ROUND(Source!AN85,2)*Source!I85, 2))), 2)</f>
        <v>0</v>
      </c>
      <c r="AE263">
        <f>ROUND((Source!AU85/100)*((ROUND(ROUND(Source!AO85,2)*Source!I85, 2)+ROUND(ROUND(Source!AN85,2)*Source!I85, 2))), 2)</f>
        <v>0</v>
      </c>
      <c r="AN263">
        <f>L263</f>
        <v>0</v>
      </c>
      <c r="AW263">
        <f>L263</f>
        <v>0</v>
      </c>
      <c r="AZ263">
        <f>Source!X85</f>
        <v>0</v>
      </c>
      <c r="BA263">
        <f>Source!Y85</f>
        <v>0</v>
      </c>
      <c r="CD263">
        <v>1</v>
      </c>
    </row>
    <row r="264" spans="1:101" ht="14.25" x14ac:dyDescent="0.2">
      <c r="A264" s="48"/>
      <c r="B264" s="48"/>
      <c r="C264" s="48" t="s">
        <v>706</v>
      </c>
      <c r="D264" s="49"/>
      <c r="E264" s="50"/>
      <c r="F264" s="50"/>
      <c r="G264" s="50"/>
      <c r="H264" s="52"/>
      <c r="I264" s="51"/>
      <c r="J264" s="52"/>
      <c r="K264" s="51"/>
      <c r="L264" s="52">
        <f>SUM(AR254:AR267)+SUM(AS254:AS267)+SUM(AT254:AT267)+SUM(AU254:AU267)+SUM(AV254:AV267)</f>
        <v>1838.06</v>
      </c>
    </row>
    <row r="265" spans="1:101" ht="28.5" x14ac:dyDescent="0.2">
      <c r="A265" s="48"/>
      <c r="B265" s="48" t="s">
        <v>41</v>
      </c>
      <c r="C265" s="48" t="s">
        <v>714</v>
      </c>
      <c r="D265" s="49" t="s">
        <v>83</v>
      </c>
      <c r="E265" s="50">
        <f>Source!BZ84</f>
        <v>87</v>
      </c>
      <c r="F265" s="50"/>
      <c r="G265" s="50">
        <f>Source!AT84</f>
        <v>87</v>
      </c>
      <c r="H265" s="52"/>
      <c r="I265" s="51"/>
      <c r="J265" s="52"/>
      <c r="K265" s="51"/>
      <c r="L265" s="52">
        <f>SUM(AZ254:AZ267)</f>
        <v>1599.11</v>
      </c>
    </row>
    <row r="266" spans="1:101" ht="28.5" x14ac:dyDescent="0.2">
      <c r="A266" s="56"/>
      <c r="B266" s="56" t="s">
        <v>42</v>
      </c>
      <c r="C266" s="56" t="s">
        <v>715</v>
      </c>
      <c r="D266" s="57" t="s">
        <v>83</v>
      </c>
      <c r="E266" s="58">
        <f>Source!CA84</f>
        <v>44</v>
      </c>
      <c r="F266" s="58"/>
      <c r="G266" s="58">
        <f>Source!AU84</f>
        <v>44</v>
      </c>
      <c r="H266" s="59"/>
      <c r="I266" s="60"/>
      <c r="J266" s="59"/>
      <c r="K266" s="60"/>
      <c r="L266" s="59">
        <f>SUM(BA254:BA267)</f>
        <v>808.75</v>
      </c>
    </row>
    <row r="267" spans="1:101" ht="15" x14ac:dyDescent="0.2">
      <c r="C267" s="131" t="s">
        <v>709</v>
      </c>
      <c r="D267" s="131"/>
      <c r="E267" s="131"/>
      <c r="F267" s="131"/>
      <c r="G267" s="131"/>
      <c r="H267" s="131"/>
      <c r="I267" s="132">
        <f>IF(E254&lt;&gt;0,K267/E254, 0)</f>
        <v>141545.00000000003</v>
      </c>
      <c r="J267" s="132"/>
      <c r="K267" s="132">
        <f>L256+L258+L265+L266+L259+SUM(L263:L263)</f>
        <v>4246.3500000000004</v>
      </c>
      <c r="L267" s="132"/>
      <c r="AD267">
        <f>ROUND((Source!AT84/100)*((ROUND(SUMIF(SmtRes!AQ62:'SmtRes'!AQ65,"=1",SmtRes!AD62:'SmtRes'!AD65)*Source!I84, 2)+ROUND(SUMIF(SmtRes!AQ62:'SmtRes'!AQ65,"=1",SmtRes!AC62:'SmtRes'!AC65)*Source!I84, 2))), 2)</f>
        <v>33.479999999999997</v>
      </c>
      <c r="AE267">
        <f>ROUND((Source!AU84/100)*((ROUND(SUMIF(SmtRes!AQ62:'SmtRes'!AQ65,"=1",SmtRes!AD62:'SmtRes'!AD65)*Source!I84, 2)+ROUND(SUMIF(SmtRes!AQ62:'SmtRes'!AQ65,"=1",SmtRes!AC62:'SmtRes'!AC65)*Source!I84, 2))), 2)</f>
        <v>16.93</v>
      </c>
      <c r="AN267" s="61">
        <f>L256+L258+L265+L266+L259</f>
        <v>4246.3500000000004</v>
      </c>
      <c r="AO267" s="61">
        <f>L258</f>
        <v>0.42999999999999972</v>
      </c>
      <c r="AQ267" t="s">
        <v>710</v>
      </c>
      <c r="AR267" s="61">
        <f>L256</f>
        <v>1833.25</v>
      </c>
      <c r="AT267" s="61">
        <f>L259</f>
        <v>4.8099999999999996</v>
      </c>
      <c r="AV267" t="s">
        <v>710</v>
      </c>
      <c r="AW267">
        <f>0</f>
        <v>0</v>
      </c>
      <c r="AZ267">
        <f>Source!X84</f>
        <v>1599.11</v>
      </c>
      <c r="BA267">
        <f>Source!Y84</f>
        <v>808.75</v>
      </c>
      <c r="CD267">
        <v>1</v>
      </c>
    </row>
    <row r="268" spans="1:101" ht="57" x14ac:dyDescent="0.2">
      <c r="A268" s="46" t="s">
        <v>188</v>
      </c>
      <c r="B268" s="48" t="s">
        <v>771</v>
      </c>
      <c r="C268" s="48" t="str">
        <f>Source!G86</f>
        <v>Установка вентилей, задвижек, затворов, клапанов обратных, кранов проходных на трубопроводах из стальных труб диаметром: до 50 мм</v>
      </c>
      <c r="D268" s="49" t="str">
        <f>Source!H86</f>
        <v>ШТ</v>
      </c>
      <c r="E268" s="50">
        <f>Source!K86</f>
        <v>3</v>
      </c>
      <c r="F268" s="50"/>
      <c r="G268" s="50">
        <f>Source!I86</f>
        <v>3</v>
      </c>
      <c r="H268" s="52"/>
      <c r="I268" s="51"/>
      <c r="J268" s="52"/>
      <c r="K268" s="51"/>
      <c r="L268" s="52"/>
    </row>
    <row r="269" spans="1:101" ht="51" x14ac:dyDescent="0.2">
      <c r="B269" s="64" t="s">
        <v>644</v>
      </c>
      <c r="C269" s="130" t="s">
        <v>717</v>
      </c>
      <c r="D269" s="130"/>
      <c r="E269" s="130"/>
      <c r="F269" s="130"/>
      <c r="G269" s="130"/>
      <c r="H269" s="130"/>
      <c r="I269" s="130"/>
      <c r="J269" s="130"/>
      <c r="K269" s="130"/>
      <c r="L269" s="130"/>
      <c r="CW269" s="65" t="s">
        <v>717</v>
      </c>
    </row>
    <row r="270" spans="1:101" ht="15" x14ac:dyDescent="0.2">
      <c r="A270" s="47"/>
      <c r="B270" s="50">
        <v>1</v>
      </c>
      <c r="C270" s="47" t="s">
        <v>698</v>
      </c>
      <c r="D270" s="49" t="s">
        <v>449</v>
      </c>
      <c r="E270" s="54"/>
      <c r="F270" s="50"/>
      <c r="G270" s="50">
        <f>Source!U86</f>
        <v>5.0715000000000003</v>
      </c>
      <c r="H270" s="50"/>
      <c r="I270" s="50"/>
      <c r="J270" s="50"/>
      <c r="K270" s="50"/>
      <c r="L270" s="55">
        <f>SUM(L271:L271)-SUMIF(CE271:CE271, 1, L271:L271)</f>
        <v>3456.89</v>
      </c>
    </row>
    <row r="271" spans="1:101" ht="14.25" x14ac:dyDescent="0.2">
      <c r="A271" s="48"/>
      <c r="B271" s="48" t="s">
        <v>447</v>
      </c>
      <c r="C271" s="48" t="s">
        <v>448</v>
      </c>
      <c r="D271" s="49" t="s">
        <v>449</v>
      </c>
      <c r="E271" s="50">
        <v>1.47</v>
      </c>
      <c r="F271" s="50">
        <f>ROUND(1.15,7)</f>
        <v>1.1499999999999999</v>
      </c>
      <c r="G271" s="50">
        <f>SmtRes!CX66</f>
        <v>5.0715000000000003</v>
      </c>
      <c r="H271" s="52"/>
      <c r="I271" s="51"/>
      <c r="J271" s="52">
        <f>SmtRes!CZ66</f>
        <v>681.63</v>
      </c>
      <c r="K271" s="51"/>
      <c r="L271" s="52">
        <f>SmtRes!DI66</f>
        <v>3456.89</v>
      </c>
    </row>
    <row r="272" spans="1:101" ht="15" x14ac:dyDescent="0.2">
      <c r="A272" s="47"/>
      <c r="B272" s="50">
        <v>2</v>
      </c>
      <c r="C272" s="47" t="s">
        <v>699</v>
      </c>
      <c r="D272" s="49"/>
      <c r="E272" s="54"/>
      <c r="F272" s="50"/>
      <c r="G272" s="50"/>
      <c r="H272" s="50"/>
      <c r="I272" s="50"/>
      <c r="J272" s="50"/>
      <c r="K272" s="50"/>
      <c r="L272" s="55">
        <f>SUM(L273:L276)-SUMIF(CE273:CE276, 1, L273:L276)</f>
        <v>90.590000000000018</v>
      </c>
    </row>
    <row r="273" spans="1:83" ht="15" x14ac:dyDescent="0.2">
      <c r="A273" s="47"/>
      <c r="B273" s="50"/>
      <c r="C273" s="47" t="s">
        <v>701</v>
      </c>
      <c r="D273" s="49" t="s">
        <v>449</v>
      </c>
      <c r="E273" s="54"/>
      <c r="F273" s="50"/>
      <c r="G273" s="50">
        <f>Source!V86</f>
        <v>7.4999999999999997E-2</v>
      </c>
      <c r="H273" s="50"/>
      <c r="I273" s="50"/>
      <c r="J273" s="50"/>
      <c r="K273" s="50"/>
      <c r="L273" s="55">
        <f>SUMIF(CE274:CE276, 1, L274:L276)</f>
        <v>54.15</v>
      </c>
      <c r="CE273">
        <v>1</v>
      </c>
    </row>
    <row r="274" spans="1:83" ht="28.5" x14ac:dyDescent="0.2">
      <c r="A274" s="48"/>
      <c r="B274" s="48" t="s">
        <v>452</v>
      </c>
      <c r="C274" s="48" t="s">
        <v>454</v>
      </c>
      <c r="D274" s="49" t="s">
        <v>455</v>
      </c>
      <c r="E274" s="50">
        <v>0.02</v>
      </c>
      <c r="F274" s="50">
        <f>ROUND(1.25,7)</f>
        <v>1.25</v>
      </c>
      <c r="G274" s="50">
        <f>SmtRes!CX68</f>
        <v>7.4999999999999997E-2</v>
      </c>
      <c r="H274" s="52"/>
      <c r="I274" s="51"/>
      <c r="J274" s="52">
        <f>SmtRes!CZ68</f>
        <v>643.29</v>
      </c>
      <c r="K274" s="51"/>
      <c r="L274" s="52">
        <f>SmtRes!DG68</f>
        <v>48.25</v>
      </c>
    </row>
    <row r="275" spans="1:83" ht="28.5" x14ac:dyDescent="0.2">
      <c r="A275" s="48"/>
      <c r="B275" s="48" t="s">
        <v>456</v>
      </c>
      <c r="C275" s="48" t="s">
        <v>700</v>
      </c>
      <c r="D275" s="49" t="s">
        <v>449</v>
      </c>
      <c r="E275" s="50">
        <f>SmtRes!DO68*SmtRes!AT68</f>
        <v>0.02</v>
      </c>
      <c r="F275" s="50">
        <f>ROUND(1.25,7)</f>
        <v>1.25</v>
      </c>
      <c r="G275" s="50">
        <f>ROUND(E275*F275*G268, 7)</f>
        <v>7.4999999999999997E-2</v>
      </c>
      <c r="H275" s="52"/>
      <c r="I275" s="51"/>
      <c r="J275" s="52">
        <f>ROUND(SmtRes!AG68/SmtRes!DO68, 2)</f>
        <v>722.05</v>
      </c>
      <c r="K275" s="51"/>
      <c r="L275" s="52">
        <f>SmtRes!DH68</f>
        <v>54.15</v>
      </c>
      <c r="CE275">
        <v>1</v>
      </c>
    </row>
    <row r="276" spans="1:83" ht="42.75" x14ac:dyDescent="0.2">
      <c r="A276" s="48"/>
      <c r="B276" s="48" t="s">
        <v>477</v>
      </c>
      <c r="C276" s="48" t="s">
        <v>479</v>
      </c>
      <c r="D276" s="49" t="s">
        <v>455</v>
      </c>
      <c r="E276" s="50">
        <v>0.35</v>
      </c>
      <c r="F276" s="50">
        <f>ROUND(1.25,7)</f>
        <v>1.25</v>
      </c>
      <c r="G276" s="50">
        <f>SmtRes!CX69</f>
        <v>1.3125</v>
      </c>
      <c r="H276" s="52"/>
      <c r="I276" s="51"/>
      <c r="J276" s="52">
        <f>SmtRes!CZ69</f>
        <v>32.26</v>
      </c>
      <c r="K276" s="51"/>
      <c r="L276" s="52">
        <f>SmtRes!DG69</f>
        <v>42.34</v>
      </c>
    </row>
    <row r="277" spans="1:83" ht="15" x14ac:dyDescent="0.2">
      <c r="A277" s="47"/>
      <c r="B277" s="50">
        <v>4</v>
      </c>
      <c r="C277" s="47" t="s">
        <v>702</v>
      </c>
      <c r="D277" s="49"/>
      <c r="E277" s="54"/>
      <c r="F277" s="50"/>
      <c r="G277" s="50"/>
      <c r="H277" s="50"/>
      <c r="I277" s="50"/>
      <c r="J277" s="50"/>
      <c r="K277" s="50"/>
      <c r="L277" s="55">
        <f>SUM(L278:L280)-SUMIF(CE278:CE280, 1, L278:L280)</f>
        <v>625.16000000000008</v>
      </c>
    </row>
    <row r="278" spans="1:83" ht="28.5" x14ac:dyDescent="0.2">
      <c r="A278" s="48"/>
      <c r="B278" s="48" t="s">
        <v>527</v>
      </c>
      <c r="C278" s="48" t="s">
        <v>529</v>
      </c>
      <c r="D278" s="49" t="s">
        <v>460</v>
      </c>
      <c r="E278" s="50">
        <v>2E-3</v>
      </c>
      <c r="F278" s="50"/>
      <c r="G278" s="50">
        <f>SmtRes!CX70</f>
        <v>6.0000000000000001E-3</v>
      </c>
      <c r="H278" s="52">
        <f>SmtRes!CZ70</f>
        <v>7023.63</v>
      </c>
      <c r="I278" s="51">
        <f>SmtRes!AI70</f>
        <v>1.18</v>
      </c>
      <c r="J278" s="52">
        <f>ROUND(H278*I278, 2)</f>
        <v>8287.8799999999992</v>
      </c>
      <c r="K278" s="51"/>
      <c r="L278" s="52">
        <f>SmtRes!DF70</f>
        <v>49.73</v>
      </c>
    </row>
    <row r="279" spans="1:83" ht="57" x14ac:dyDescent="0.2">
      <c r="A279" s="48"/>
      <c r="B279" s="48" t="s">
        <v>480</v>
      </c>
      <c r="C279" s="48" t="s">
        <v>482</v>
      </c>
      <c r="D279" s="49" t="s">
        <v>295</v>
      </c>
      <c r="E279" s="50">
        <v>0.14000000000000001</v>
      </c>
      <c r="F279" s="50"/>
      <c r="G279" s="50">
        <f>SmtRes!CX71</f>
        <v>0.42</v>
      </c>
      <c r="H279" s="52">
        <f>SmtRes!CZ71</f>
        <v>155.63</v>
      </c>
      <c r="I279" s="51">
        <f>SmtRes!AI71</f>
        <v>0.78</v>
      </c>
      <c r="J279" s="52">
        <f>ROUND(H279*I279, 2)</f>
        <v>121.39</v>
      </c>
      <c r="K279" s="51"/>
      <c r="L279" s="52">
        <f>SmtRes!DF71</f>
        <v>50.98</v>
      </c>
    </row>
    <row r="280" spans="1:83" ht="71.25" x14ac:dyDescent="0.2">
      <c r="A280" s="48"/>
      <c r="B280" s="48" t="s">
        <v>483</v>
      </c>
      <c r="C280" s="48" t="s">
        <v>485</v>
      </c>
      <c r="D280" s="49" t="s">
        <v>35</v>
      </c>
      <c r="E280" s="50">
        <v>1.1000000000000001E-3</v>
      </c>
      <c r="F280" s="50"/>
      <c r="G280" s="50">
        <f>SmtRes!CX72</f>
        <v>3.3E-3</v>
      </c>
      <c r="H280" s="52">
        <f>SmtRes!CZ72</f>
        <v>145801.49</v>
      </c>
      <c r="I280" s="51">
        <f>SmtRes!AI72</f>
        <v>1.0900000000000001</v>
      </c>
      <c r="J280" s="52">
        <f>ROUND(H280*I280, 2)</f>
        <v>158923.62</v>
      </c>
      <c r="K280" s="51"/>
      <c r="L280" s="52">
        <f>SmtRes!DF72</f>
        <v>524.45000000000005</v>
      </c>
    </row>
    <row r="281" spans="1:83" ht="14.25" x14ac:dyDescent="0.2">
      <c r="A281" s="48"/>
      <c r="B281" s="48" t="str">
        <f>EtalonRes!I69</f>
        <v>18.1.02.01</v>
      </c>
      <c r="C281" s="48" t="str">
        <f>EtalonRes!K69</f>
        <v>Арматура трубопроводная фланцевая</v>
      </c>
      <c r="D281" s="49" t="str">
        <f>EtalonRes!O69</f>
        <v>ШТ</v>
      </c>
      <c r="E281" s="50">
        <f>EtalonRes!X69</f>
        <v>1</v>
      </c>
      <c r="F281" s="50"/>
      <c r="G281" s="50">
        <f>ROUND(EtalonRes!AG69*Source!I86, 7)</f>
        <v>3</v>
      </c>
      <c r="H281" s="52"/>
      <c r="I281" s="51"/>
      <c r="J281" s="52"/>
      <c r="K281" s="51"/>
      <c r="L281" s="52"/>
    </row>
    <row r="282" spans="1:83" ht="14.25" x14ac:dyDescent="0.2">
      <c r="A282" s="48"/>
      <c r="B282" s="48" t="str">
        <f>EtalonRes!I70</f>
        <v>23.8.03.11</v>
      </c>
      <c r="C282" s="56" t="str">
        <f>EtalonRes!K70</f>
        <v>Фланцы стальные</v>
      </c>
      <c r="D282" s="57" t="str">
        <f>EtalonRes!O70</f>
        <v>ШТ</v>
      </c>
      <c r="E282" s="58">
        <f>EtalonRes!X70</f>
        <v>2</v>
      </c>
      <c r="F282" s="58"/>
      <c r="G282" s="58">
        <f>ROUND(EtalonRes!AG70*Source!I86, 7)</f>
        <v>6</v>
      </c>
      <c r="H282" s="59"/>
      <c r="I282" s="60"/>
      <c r="J282" s="59"/>
      <c r="K282" s="60"/>
      <c r="L282" s="59"/>
    </row>
    <row r="283" spans="1:83" ht="15" x14ac:dyDescent="0.2">
      <c r="A283" s="48"/>
      <c r="B283" s="48"/>
      <c r="C283" s="62" t="s">
        <v>703</v>
      </c>
      <c r="D283" s="49"/>
      <c r="E283" s="50"/>
      <c r="F283" s="50"/>
      <c r="G283" s="50"/>
      <c r="H283" s="52"/>
      <c r="I283" s="51"/>
      <c r="J283" s="52"/>
      <c r="K283" s="51"/>
      <c r="L283" s="52">
        <f>L270+L272+L273+L277</f>
        <v>4226.79</v>
      </c>
    </row>
    <row r="284" spans="1:83" ht="42.75" x14ac:dyDescent="0.2">
      <c r="A284" s="46" t="s">
        <v>772</v>
      </c>
      <c r="B284" s="48" t="str">
        <f>Source!F87</f>
        <v>18.1.03.02-0006</v>
      </c>
      <c r="C284" s="48" t="str">
        <f>Source!G87</f>
        <v>Затвор дисковый поворотный чугунный межфланцевый, с ручным приводом, давление 1,6 МПа, диаметр 40 мм</v>
      </c>
      <c r="D284" s="49" t="str">
        <f>Source!H87</f>
        <v>ШТ</v>
      </c>
      <c r="E284" s="50">
        <f>SmtRes!AT73</f>
        <v>1</v>
      </c>
      <c r="F284" s="50"/>
      <c r="G284" s="50">
        <f>Source!I87</f>
        <v>3</v>
      </c>
      <c r="H284" s="52">
        <f>Source!AL87+Source!AO87+Source!AM87+Source!AN87</f>
        <v>3985.84</v>
      </c>
      <c r="I284" s="51">
        <f>IF(Source!BC87&lt;&gt; 0, Source!BC87, 1)</f>
        <v>1.1000000000000001</v>
      </c>
      <c r="J284" s="52">
        <f>ROUND(H284*I284, 2)</f>
        <v>4384.42</v>
      </c>
      <c r="K284" s="51"/>
      <c r="L284" s="52">
        <f>Source!P87</f>
        <v>13153.26</v>
      </c>
      <c r="AD284">
        <f>ROUND((Source!AT87/100)*((ROUND(ROUND(Source!AO87,2)*Source!I87, 2)+ROUND(ROUND(Source!AN87,2)*Source!I87, 2))), 2)</f>
        <v>0</v>
      </c>
      <c r="AE284">
        <f>ROUND((Source!AU87/100)*((ROUND(ROUND(Source!AO87,2)*Source!I87, 2)+ROUND(ROUND(Source!AN87,2)*Source!I87, 2))), 2)</f>
        <v>0</v>
      </c>
      <c r="AN284">
        <f>L284</f>
        <v>13153.26</v>
      </c>
      <c r="AW284">
        <f>L284</f>
        <v>13153.26</v>
      </c>
      <c r="AZ284">
        <f>Source!X87</f>
        <v>0</v>
      </c>
      <c r="BA284">
        <f>Source!Y87</f>
        <v>0</v>
      </c>
      <c r="CD284">
        <v>1</v>
      </c>
    </row>
    <row r="285" spans="1:83" ht="57" x14ac:dyDescent="0.2">
      <c r="A285" s="46" t="s">
        <v>773</v>
      </c>
      <c r="B285" s="48" t="str">
        <f>Source!F88</f>
        <v>23.8.03.11-0151</v>
      </c>
      <c r="C285" s="48" t="str">
        <f>Source!G88</f>
        <v>Фланец стальной плоский приварной с соединительным выступом, марка стали 20, номинальное давление 1,6 МПа, номинальный диаметр 40 мм</v>
      </c>
      <c r="D285" s="49" t="str">
        <f>Source!H88</f>
        <v>ШТ</v>
      </c>
      <c r="E285" s="50">
        <f>SmtRes!AT74</f>
        <v>2</v>
      </c>
      <c r="F285" s="50"/>
      <c r="G285" s="50">
        <f>Source!I88</f>
        <v>6</v>
      </c>
      <c r="H285" s="52">
        <f>Source!AL88+Source!AO88+Source!AM88+Source!AN88</f>
        <v>394.2</v>
      </c>
      <c r="I285" s="51">
        <f>IF(Source!BC88&lt;&gt; 0, Source!BC88, 1)</f>
        <v>1.1100000000000001</v>
      </c>
      <c r="J285" s="52">
        <f>ROUND(H285*I285, 2)</f>
        <v>437.56</v>
      </c>
      <c r="K285" s="51"/>
      <c r="L285" s="52">
        <f>Source!P88</f>
        <v>2625.36</v>
      </c>
      <c r="AD285">
        <f>ROUND((Source!AT88/100)*((ROUND(ROUND(Source!AO88,2)*Source!I88, 2)+ROUND(ROUND(Source!AN88,2)*Source!I88, 2))), 2)</f>
        <v>0</v>
      </c>
      <c r="AE285">
        <f>ROUND((Source!AU88/100)*((ROUND(ROUND(Source!AO88,2)*Source!I88, 2)+ROUND(ROUND(Source!AN88,2)*Source!I88, 2))), 2)</f>
        <v>0</v>
      </c>
      <c r="AN285">
        <f>L285</f>
        <v>2625.36</v>
      </c>
      <c r="AW285">
        <f>L285</f>
        <v>2625.36</v>
      </c>
      <c r="AZ285">
        <f>Source!X88</f>
        <v>0</v>
      </c>
      <c r="BA285">
        <f>Source!Y88</f>
        <v>0</v>
      </c>
      <c r="CD285">
        <v>1</v>
      </c>
    </row>
    <row r="286" spans="1:83" ht="14.25" x14ac:dyDescent="0.2">
      <c r="A286" s="48"/>
      <c r="B286" s="48"/>
      <c r="C286" s="48" t="s">
        <v>706</v>
      </c>
      <c r="D286" s="49"/>
      <c r="E286" s="50"/>
      <c r="F286" s="50"/>
      <c r="G286" s="50"/>
      <c r="H286" s="52"/>
      <c r="I286" s="51"/>
      <c r="J286" s="52"/>
      <c r="K286" s="51"/>
      <c r="L286" s="52">
        <f>SUM(AR268:AR289)+SUM(AS268:AS289)+SUM(AT268:AT289)+SUM(AU268:AU289)+SUM(AV268:AV289)</f>
        <v>3511.04</v>
      </c>
    </row>
    <row r="287" spans="1:83" ht="71.25" x14ac:dyDescent="0.2">
      <c r="A287" s="48"/>
      <c r="B287" s="48" t="s">
        <v>721</v>
      </c>
      <c r="C287" s="48" t="s">
        <v>722</v>
      </c>
      <c r="D287" s="49" t="s">
        <v>83</v>
      </c>
      <c r="E287" s="50">
        <f>Source!BZ86</f>
        <v>121</v>
      </c>
      <c r="F287" s="50">
        <f>ROUND(0.9,7)</f>
        <v>0.9</v>
      </c>
      <c r="G287" s="50">
        <f>Source!AT86</f>
        <v>108.9</v>
      </c>
      <c r="H287" s="52"/>
      <c r="I287" s="51"/>
      <c r="J287" s="52"/>
      <c r="K287" s="51"/>
      <c r="L287" s="52">
        <f>SUM(AZ268:AZ289)</f>
        <v>3823.52</v>
      </c>
    </row>
    <row r="288" spans="1:83" ht="71.25" x14ac:dyDescent="0.2">
      <c r="A288" s="56"/>
      <c r="B288" s="56" t="s">
        <v>723</v>
      </c>
      <c r="C288" s="56" t="s">
        <v>724</v>
      </c>
      <c r="D288" s="57" t="s">
        <v>83</v>
      </c>
      <c r="E288" s="58">
        <f>Source!CA86</f>
        <v>72</v>
      </c>
      <c r="F288" s="58">
        <f>ROUND(0.85,7)</f>
        <v>0.85</v>
      </c>
      <c r="G288" s="58">
        <f>Source!AU86</f>
        <v>61.2</v>
      </c>
      <c r="H288" s="59"/>
      <c r="I288" s="60"/>
      <c r="J288" s="59"/>
      <c r="K288" s="60"/>
      <c r="L288" s="59">
        <f>SUM(BA268:BA289)</f>
        <v>2148.7600000000002</v>
      </c>
    </row>
    <row r="289" spans="1:101" ht="15" x14ac:dyDescent="0.2">
      <c r="C289" s="131" t="s">
        <v>709</v>
      </c>
      <c r="D289" s="131"/>
      <c r="E289" s="131"/>
      <c r="F289" s="131"/>
      <c r="G289" s="131"/>
      <c r="H289" s="131"/>
      <c r="I289" s="132">
        <f>IF(E268&lt;&gt;0,K289/E268, 0)</f>
        <v>8659.2300000000014</v>
      </c>
      <c r="J289" s="132"/>
      <c r="K289" s="132">
        <f>L270+L272+L277+L287+L288+L273+SUM(L284:L285)</f>
        <v>25977.690000000002</v>
      </c>
      <c r="L289" s="132"/>
      <c r="AD289">
        <f>ROUND((Source!AT86/100)*((ROUND(SUMIF(SmtRes!AQ66:'SmtRes'!AQ74,"=1",SmtRes!AD66:'SmtRes'!AD74)*Source!I86, 2)+ROUND(SUMIF(SmtRes!AQ66:'SmtRes'!AQ74,"=1",SmtRes!AC66:'SmtRes'!AC74)*Source!I86, 2))), 2)</f>
        <v>4585.82</v>
      </c>
      <c r="AE289">
        <f>ROUND((Source!AU86/100)*((ROUND(SUMIF(SmtRes!AQ66:'SmtRes'!AQ74,"=1",SmtRes!AD66:'SmtRes'!AD74)*Source!I86, 2)+ROUND(SUMIF(SmtRes!AQ66:'SmtRes'!AQ74,"=1",SmtRes!AC66:'SmtRes'!AC74)*Source!I86, 2))), 2)</f>
        <v>2577.16</v>
      </c>
      <c r="AN289" s="61">
        <f>L270+L272+L277+L287+L288+L273</f>
        <v>10199.07</v>
      </c>
      <c r="AO289" s="61">
        <f>L272</f>
        <v>90.590000000000018</v>
      </c>
      <c r="AQ289" t="s">
        <v>710</v>
      </c>
      <c r="AR289" s="61">
        <f>L270</f>
        <v>3456.89</v>
      </c>
      <c r="AT289" s="61">
        <f>L273</f>
        <v>54.15</v>
      </c>
      <c r="AV289" t="s">
        <v>710</v>
      </c>
      <c r="AW289" s="61">
        <f>L277</f>
        <v>625.16000000000008</v>
      </c>
      <c r="AZ289">
        <f>Source!X86</f>
        <v>3823.52</v>
      </c>
      <c r="BA289">
        <f>Source!Y86</f>
        <v>2148.7600000000002</v>
      </c>
      <c r="CD289">
        <v>1</v>
      </c>
    </row>
    <row r="290" spans="1:101" ht="28.5" x14ac:dyDescent="0.2">
      <c r="A290" s="46" t="s">
        <v>200</v>
      </c>
      <c r="B290" s="48" t="s">
        <v>774</v>
      </c>
      <c r="C290" s="48" t="str">
        <f>Source!G89</f>
        <v>Демонтаж: грязевиков/диам.80 мм и 100 мм</v>
      </c>
      <c r="D290" s="49" t="str">
        <f>Source!H89</f>
        <v>100 ШТ</v>
      </c>
      <c r="E290" s="50">
        <f>Source!K89</f>
        <v>0.02</v>
      </c>
      <c r="F290" s="50"/>
      <c r="G290" s="50">
        <f>Source!I89</f>
        <v>0.02</v>
      </c>
      <c r="H290" s="52"/>
      <c r="I290" s="51"/>
      <c r="J290" s="52"/>
      <c r="K290" s="51"/>
      <c r="L290" s="52"/>
    </row>
    <row r="291" spans="1:101" x14ac:dyDescent="0.2">
      <c r="C291" s="53" t="str">
        <f>"Объем: "&amp;Source!I89&amp;"=2/"&amp;"100"</f>
        <v>Объем: 0,02=2/100</v>
      </c>
    </row>
    <row r="292" spans="1:101" ht="15" x14ac:dyDescent="0.2">
      <c r="A292" s="47"/>
      <c r="B292" s="50">
        <v>1</v>
      </c>
      <c r="C292" s="47" t="s">
        <v>698</v>
      </c>
      <c r="D292" s="49" t="s">
        <v>449</v>
      </c>
      <c r="E292" s="54"/>
      <c r="F292" s="50"/>
      <c r="G292" s="50">
        <f>Source!U89</f>
        <v>3.18</v>
      </c>
      <c r="H292" s="50"/>
      <c r="I292" s="50"/>
      <c r="J292" s="50"/>
      <c r="K292" s="50"/>
      <c r="L292" s="55">
        <f>SUM(L293:L293)-SUMIF(CE293:CE293, 1, L293:L293)</f>
        <v>2039.08</v>
      </c>
    </row>
    <row r="293" spans="1:101" ht="14.25" x14ac:dyDescent="0.2">
      <c r="A293" s="48"/>
      <c r="B293" s="48" t="s">
        <v>464</v>
      </c>
      <c r="C293" s="56" t="s">
        <v>465</v>
      </c>
      <c r="D293" s="57" t="s">
        <v>449</v>
      </c>
      <c r="E293" s="58">
        <v>159</v>
      </c>
      <c r="F293" s="58"/>
      <c r="G293" s="58">
        <f>SmtRes!CX75</f>
        <v>3.18</v>
      </c>
      <c r="H293" s="59"/>
      <c r="I293" s="60"/>
      <c r="J293" s="59">
        <f>SmtRes!CZ75</f>
        <v>641.22</v>
      </c>
      <c r="K293" s="60"/>
      <c r="L293" s="59">
        <f>SmtRes!DI75</f>
        <v>2039.08</v>
      </c>
    </row>
    <row r="294" spans="1:101" ht="15" x14ac:dyDescent="0.2">
      <c r="A294" s="48"/>
      <c r="B294" s="48"/>
      <c r="C294" s="62" t="s">
        <v>703</v>
      </c>
      <c r="D294" s="49"/>
      <c r="E294" s="50"/>
      <c r="F294" s="50"/>
      <c r="G294" s="50"/>
      <c r="H294" s="52"/>
      <c r="I294" s="51"/>
      <c r="J294" s="52"/>
      <c r="K294" s="51"/>
      <c r="L294" s="52">
        <f>L292</f>
        <v>2039.08</v>
      </c>
    </row>
    <row r="295" spans="1:101" ht="28.5" x14ac:dyDescent="0.2">
      <c r="A295" s="46" t="s">
        <v>775</v>
      </c>
      <c r="B295" s="48" t="str">
        <f>Source!F90</f>
        <v>999-9899</v>
      </c>
      <c r="C295" s="48" t="str">
        <f>Source!G90</f>
        <v>Строительный мусор и масса возвратных материалов</v>
      </c>
      <c r="D295" s="49" t="str">
        <f>Source!H90</f>
        <v>т</v>
      </c>
      <c r="E295" s="50">
        <f>SmtRes!AT76</f>
        <v>5.3</v>
      </c>
      <c r="F295" s="50"/>
      <c r="G295" s="50">
        <f>Source!I90</f>
        <v>0.106</v>
      </c>
      <c r="H295" s="52">
        <f>Source!AL90+Source!AO90+Source!AM90+Source!AN90</f>
        <v>0</v>
      </c>
      <c r="I295" s="51"/>
      <c r="J295" s="52"/>
      <c r="K295" s="51"/>
      <c r="L295" s="52">
        <f>Source!P90</f>
        <v>0</v>
      </c>
      <c r="AD295">
        <f>ROUND((Source!AT90/100)*((ROUND(ROUND(Source!AO90,2)*Source!I90, 2)+ROUND(ROUND(Source!AN90,2)*Source!I90, 2))), 2)</f>
        <v>0</v>
      </c>
      <c r="AE295">
        <f>ROUND((Source!AU90/100)*((ROUND(ROUND(Source!AO90,2)*Source!I90, 2)+ROUND(ROUND(Source!AN90,2)*Source!I90, 2))), 2)</f>
        <v>0</v>
      </c>
      <c r="AN295">
        <f>L295</f>
        <v>0</v>
      </c>
      <c r="AW295">
        <f>L295</f>
        <v>0</v>
      </c>
      <c r="AZ295">
        <f>Source!X90</f>
        <v>0</v>
      </c>
      <c r="BA295">
        <f>Source!Y90</f>
        <v>0</v>
      </c>
      <c r="CD295">
        <v>1</v>
      </c>
    </row>
    <row r="296" spans="1:101" ht="14.25" x14ac:dyDescent="0.2">
      <c r="A296" s="48"/>
      <c r="B296" s="48"/>
      <c r="C296" s="48" t="s">
        <v>706</v>
      </c>
      <c r="D296" s="49"/>
      <c r="E296" s="50"/>
      <c r="F296" s="50"/>
      <c r="G296" s="50"/>
      <c r="H296" s="52"/>
      <c r="I296" s="51"/>
      <c r="J296" s="52"/>
      <c r="K296" s="51"/>
      <c r="L296" s="52">
        <f>SUM(AR290:AR299)+SUM(AS290:AS299)+SUM(AT290:AT299)+SUM(AU290:AU299)+SUM(AV290:AV299)</f>
        <v>2039.08</v>
      </c>
    </row>
    <row r="297" spans="1:101" ht="28.5" x14ac:dyDescent="0.2">
      <c r="A297" s="48"/>
      <c r="B297" s="48" t="s">
        <v>41</v>
      </c>
      <c r="C297" s="48" t="s">
        <v>714</v>
      </c>
      <c r="D297" s="49" t="s">
        <v>83</v>
      </c>
      <c r="E297" s="50">
        <f>Source!BZ89</f>
        <v>87</v>
      </c>
      <c r="F297" s="50"/>
      <c r="G297" s="50">
        <f>Source!AT89</f>
        <v>87</v>
      </c>
      <c r="H297" s="52"/>
      <c r="I297" s="51"/>
      <c r="J297" s="52"/>
      <c r="K297" s="51"/>
      <c r="L297" s="52">
        <f>SUM(AZ290:AZ299)</f>
        <v>1774</v>
      </c>
    </row>
    <row r="298" spans="1:101" ht="28.5" x14ac:dyDescent="0.2">
      <c r="A298" s="56"/>
      <c r="B298" s="56" t="s">
        <v>42</v>
      </c>
      <c r="C298" s="56" t="s">
        <v>715</v>
      </c>
      <c r="D298" s="57" t="s">
        <v>83</v>
      </c>
      <c r="E298" s="58">
        <f>Source!CA89</f>
        <v>44</v>
      </c>
      <c r="F298" s="58"/>
      <c r="G298" s="58">
        <f>Source!AU89</f>
        <v>44</v>
      </c>
      <c r="H298" s="59"/>
      <c r="I298" s="60"/>
      <c r="J298" s="59"/>
      <c r="K298" s="60"/>
      <c r="L298" s="59">
        <f>SUM(BA290:BA299)</f>
        <v>897.2</v>
      </c>
    </row>
    <row r="299" spans="1:101" ht="15" x14ac:dyDescent="0.2">
      <c r="C299" s="131" t="s">
        <v>709</v>
      </c>
      <c r="D299" s="131"/>
      <c r="E299" s="131"/>
      <c r="F299" s="131"/>
      <c r="G299" s="131"/>
      <c r="H299" s="131"/>
      <c r="I299" s="132">
        <f>IF(E290&lt;&gt;0,K299/E290, 0)</f>
        <v>235513.99999999997</v>
      </c>
      <c r="J299" s="132"/>
      <c r="K299" s="132">
        <f>L292+L297+L298+SUM(L295:L295)</f>
        <v>4710.28</v>
      </c>
      <c r="L299" s="132"/>
      <c r="AD299">
        <f>ROUND((Source!AT89/100)*((ROUND(SUMIF(SmtRes!AQ75:'SmtRes'!AQ76,"=1",SmtRes!AD75:'SmtRes'!AD76)*Source!I89, 2)+ROUND(SUMIF(SmtRes!AQ75:'SmtRes'!AQ76,"=1",SmtRes!AC75:'SmtRes'!AC76)*Source!I89, 2))), 2)</f>
        <v>11.15</v>
      </c>
      <c r="AE299">
        <f>ROUND((Source!AU89/100)*((ROUND(SUMIF(SmtRes!AQ75:'SmtRes'!AQ76,"=1",SmtRes!AD75:'SmtRes'!AD76)*Source!I89, 2)+ROUND(SUMIF(SmtRes!AQ75:'SmtRes'!AQ76,"=1",SmtRes!AC75:'SmtRes'!AC76)*Source!I89, 2))), 2)</f>
        <v>5.64</v>
      </c>
      <c r="AN299" s="61">
        <f>L292+L297+L298</f>
        <v>4710.28</v>
      </c>
      <c r="AO299">
        <f>0</f>
        <v>0</v>
      </c>
      <c r="AQ299" t="s">
        <v>710</v>
      </c>
      <c r="AR299" s="61">
        <f>L292</f>
        <v>2039.08</v>
      </c>
      <c r="AT299">
        <f>0</f>
        <v>0</v>
      </c>
      <c r="AV299" t="s">
        <v>710</v>
      </c>
      <c r="AW299">
        <f>0</f>
        <v>0</v>
      </c>
      <c r="AZ299">
        <f>Source!X89</f>
        <v>1774</v>
      </c>
      <c r="BA299">
        <f>Source!Y89</f>
        <v>897.2</v>
      </c>
      <c r="CD299">
        <v>1</v>
      </c>
    </row>
    <row r="300" spans="1:101" ht="42.75" x14ac:dyDescent="0.2">
      <c r="A300" s="46" t="s">
        <v>205</v>
      </c>
      <c r="B300" s="48" t="s">
        <v>776</v>
      </c>
      <c r="C300" s="48" t="str">
        <f>Source!G91</f>
        <v>Установка грязевиков наружным диаметром патрубков: свыше 57 до 89 мм</v>
      </c>
      <c r="D300" s="49" t="str">
        <f>Source!H91</f>
        <v>ШТ</v>
      </c>
      <c r="E300" s="50">
        <f>Source!K91</f>
        <v>1</v>
      </c>
      <c r="F300" s="50"/>
      <c r="G300" s="50">
        <f>Source!I91</f>
        <v>1</v>
      </c>
      <c r="H300" s="52"/>
      <c r="I300" s="51"/>
      <c r="J300" s="52"/>
      <c r="K300" s="51"/>
      <c r="L300" s="52"/>
    </row>
    <row r="301" spans="1:101" ht="51" x14ac:dyDescent="0.2">
      <c r="B301" s="64" t="s">
        <v>644</v>
      </c>
      <c r="C301" s="130" t="s">
        <v>717</v>
      </c>
      <c r="D301" s="130"/>
      <c r="E301" s="130"/>
      <c r="F301" s="130"/>
      <c r="G301" s="130"/>
      <c r="H301" s="130"/>
      <c r="I301" s="130"/>
      <c r="J301" s="130"/>
      <c r="K301" s="130"/>
      <c r="L301" s="130"/>
      <c r="CW301" s="65" t="s">
        <v>717</v>
      </c>
    </row>
    <row r="302" spans="1:101" ht="15" x14ac:dyDescent="0.2">
      <c r="A302" s="47"/>
      <c r="B302" s="50">
        <v>1</v>
      </c>
      <c r="C302" s="47" t="s">
        <v>698</v>
      </c>
      <c r="D302" s="49" t="s">
        <v>449</v>
      </c>
      <c r="E302" s="54"/>
      <c r="F302" s="50"/>
      <c r="G302" s="50">
        <f>Source!U91</f>
        <v>4.117</v>
      </c>
      <c r="H302" s="50"/>
      <c r="I302" s="50"/>
      <c r="J302" s="50"/>
      <c r="K302" s="50"/>
      <c r="L302" s="55">
        <f>SUM(L303:L303)-SUMIF(CE303:CE303, 1, L303:L303)</f>
        <v>2872.84</v>
      </c>
    </row>
    <row r="303" spans="1:101" ht="14.25" x14ac:dyDescent="0.2">
      <c r="A303" s="48"/>
      <c r="B303" s="48" t="s">
        <v>530</v>
      </c>
      <c r="C303" s="48" t="s">
        <v>531</v>
      </c>
      <c r="D303" s="49" t="s">
        <v>449</v>
      </c>
      <c r="E303" s="50">
        <v>3.58</v>
      </c>
      <c r="F303" s="50">
        <f>ROUND(1.15,7)</f>
        <v>1.1499999999999999</v>
      </c>
      <c r="G303" s="50">
        <f>SmtRes!CX77</f>
        <v>4.117</v>
      </c>
      <c r="H303" s="52"/>
      <c r="I303" s="51"/>
      <c r="J303" s="52">
        <f>SmtRes!CZ77</f>
        <v>697.8</v>
      </c>
      <c r="K303" s="51"/>
      <c r="L303" s="52">
        <f>SmtRes!DI77</f>
        <v>2872.84</v>
      </c>
    </row>
    <row r="304" spans="1:101" ht="15" x14ac:dyDescent="0.2">
      <c r="A304" s="47"/>
      <c r="B304" s="50">
        <v>2</v>
      </c>
      <c r="C304" s="47" t="s">
        <v>699</v>
      </c>
      <c r="D304" s="49"/>
      <c r="E304" s="54"/>
      <c r="F304" s="50"/>
      <c r="G304" s="50"/>
      <c r="H304" s="50"/>
      <c r="I304" s="50"/>
      <c r="J304" s="50"/>
      <c r="K304" s="50"/>
      <c r="L304" s="55">
        <f>SUM(L305:L310)-SUMIF(CE305:CE310, 1, L305:L310)</f>
        <v>105.21000000000001</v>
      </c>
    </row>
    <row r="305" spans="1:83" ht="15" x14ac:dyDescent="0.2">
      <c r="A305" s="47"/>
      <c r="B305" s="50"/>
      <c r="C305" s="47" t="s">
        <v>701</v>
      </c>
      <c r="D305" s="49" t="s">
        <v>449</v>
      </c>
      <c r="E305" s="54"/>
      <c r="F305" s="50"/>
      <c r="G305" s="50">
        <f>Source!V91</f>
        <v>0.05</v>
      </c>
      <c r="H305" s="50"/>
      <c r="I305" s="50"/>
      <c r="J305" s="50"/>
      <c r="K305" s="50"/>
      <c r="L305" s="55">
        <f>SUMIF(CE306:CE310, 1, L306:L310)</f>
        <v>42.3</v>
      </c>
      <c r="CE305">
        <v>1</v>
      </c>
    </row>
    <row r="306" spans="1:83" ht="28.5" x14ac:dyDescent="0.2">
      <c r="A306" s="48"/>
      <c r="B306" s="48" t="s">
        <v>474</v>
      </c>
      <c r="C306" s="48" t="s">
        <v>476</v>
      </c>
      <c r="D306" s="49" t="s">
        <v>455</v>
      </c>
      <c r="E306" s="50">
        <v>0.02</v>
      </c>
      <c r="F306" s="50">
        <f>ROUND(1.25,7)</f>
        <v>1.25</v>
      </c>
      <c r="G306" s="50">
        <f>SmtRes!CX79</f>
        <v>2.5000000000000001E-2</v>
      </c>
      <c r="H306" s="52"/>
      <c r="I306" s="51"/>
      <c r="J306" s="52">
        <f>SmtRes!CZ79</f>
        <v>1629.55</v>
      </c>
      <c r="K306" s="51"/>
      <c r="L306" s="52">
        <f>SmtRes!DG79</f>
        <v>40.74</v>
      </c>
    </row>
    <row r="307" spans="1:83" ht="28.5" x14ac:dyDescent="0.2">
      <c r="A307" s="48"/>
      <c r="B307" s="48" t="s">
        <v>473</v>
      </c>
      <c r="C307" s="48" t="s">
        <v>718</v>
      </c>
      <c r="D307" s="49" t="s">
        <v>449</v>
      </c>
      <c r="E307" s="50">
        <f>SmtRes!DO79*SmtRes!AT79</f>
        <v>0.02</v>
      </c>
      <c r="F307" s="50">
        <f>ROUND(1.25,7)</f>
        <v>1.25</v>
      </c>
      <c r="G307" s="50">
        <f>ROUND(E307*F307*G300, 7)</f>
        <v>2.5000000000000001E-2</v>
      </c>
      <c r="H307" s="52"/>
      <c r="I307" s="51"/>
      <c r="J307" s="52">
        <f>ROUND(SmtRes!AG79/SmtRes!DO79, 2)</f>
        <v>969.91</v>
      </c>
      <c r="K307" s="51"/>
      <c r="L307" s="52">
        <f>SmtRes!DH79</f>
        <v>24.25</v>
      </c>
      <c r="CE307">
        <v>1</v>
      </c>
    </row>
    <row r="308" spans="1:83" ht="28.5" x14ac:dyDescent="0.2">
      <c r="A308" s="48"/>
      <c r="B308" s="48" t="s">
        <v>452</v>
      </c>
      <c r="C308" s="48" t="s">
        <v>454</v>
      </c>
      <c r="D308" s="49" t="s">
        <v>455</v>
      </c>
      <c r="E308" s="50">
        <v>0.02</v>
      </c>
      <c r="F308" s="50">
        <f>ROUND(1.25,7)</f>
        <v>1.25</v>
      </c>
      <c r="G308" s="50">
        <f>SmtRes!CX80</f>
        <v>2.5000000000000001E-2</v>
      </c>
      <c r="H308" s="52"/>
      <c r="I308" s="51"/>
      <c r="J308" s="52">
        <f>SmtRes!CZ80</f>
        <v>643.29</v>
      </c>
      <c r="K308" s="51"/>
      <c r="L308" s="52">
        <f>SmtRes!DG80</f>
        <v>16.079999999999998</v>
      </c>
    </row>
    <row r="309" spans="1:83" ht="28.5" x14ac:dyDescent="0.2">
      <c r="A309" s="48"/>
      <c r="B309" s="48" t="s">
        <v>456</v>
      </c>
      <c r="C309" s="48" t="s">
        <v>700</v>
      </c>
      <c r="D309" s="49" t="s">
        <v>449</v>
      </c>
      <c r="E309" s="50">
        <f>SmtRes!DO80*SmtRes!AT80</f>
        <v>0.02</v>
      </c>
      <c r="F309" s="50">
        <f>ROUND(1.25,7)</f>
        <v>1.25</v>
      </c>
      <c r="G309" s="50">
        <f>ROUND(E309*F309*G300, 7)</f>
        <v>2.5000000000000001E-2</v>
      </c>
      <c r="H309" s="52"/>
      <c r="I309" s="51"/>
      <c r="J309" s="52">
        <f>ROUND(SmtRes!AG80/SmtRes!DO80, 2)</f>
        <v>722.05</v>
      </c>
      <c r="K309" s="51"/>
      <c r="L309" s="52">
        <f>SmtRes!DH80</f>
        <v>18.05</v>
      </c>
      <c r="CE309">
        <v>1</v>
      </c>
    </row>
    <row r="310" spans="1:83" ht="42.75" x14ac:dyDescent="0.2">
      <c r="A310" s="48"/>
      <c r="B310" s="48" t="s">
        <v>477</v>
      </c>
      <c r="C310" s="48" t="s">
        <v>479</v>
      </c>
      <c r="D310" s="49" t="s">
        <v>455</v>
      </c>
      <c r="E310" s="50">
        <v>1.2</v>
      </c>
      <c r="F310" s="50">
        <f>ROUND(1.25,7)</f>
        <v>1.25</v>
      </c>
      <c r="G310" s="50">
        <f>SmtRes!CX81</f>
        <v>1.5</v>
      </c>
      <c r="H310" s="52"/>
      <c r="I310" s="51"/>
      <c r="J310" s="52">
        <f>SmtRes!CZ81</f>
        <v>32.26</v>
      </c>
      <c r="K310" s="51"/>
      <c r="L310" s="52">
        <f>SmtRes!DG81</f>
        <v>48.39</v>
      </c>
    </row>
    <row r="311" spans="1:83" ht="15" x14ac:dyDescent="0.2">
      <c r="A311" s="47"/>
      <c r="B311" s="50">
        <v>4</v>
      </c>
      <c r="C311" s="47" t="s">
        <v>702</v>
      </c>
      <c r="D311" s="49"/>
      <c r="E311" s="54"/>
      <c r="F311" s="50"/>
      <c r="G311" s="50"/>
      <c r="H311" s="50"/>
      <c r="I311" s="50"/>
      <c r="J311" s="50"/>
      <c r="K311" s="50"/>
      <c r="L311" s="55">
        <f>SUM(L312:L316)-SUMIF(CE312:CE316, 1, L312:L316)</f>
        <v>6084.06</v>
      </c>
    </row>
    <row r="312" spans="1:83" ht="42.75" x14ac:dyDescent="0.2">
      <c r="A312" s="48"/>
      <c r="B312" s="48" t="s">
        <v>532</v>
      </c>
      <c r="C312" s="48" t="s">
        <v>534</v>
      </c>
      <c r="D312" s="49" t="s">
        <v>35</v>
      </c>
      <c r="E312" s="50">
        <v>3.0000000000000001E-3</v>
      </c>
      <c r="F312" s="50"/>
      <c r="G312" s="50">
        <f>SmtRes!CX82</f>
        <v>3.0000000000000001E-3</v>
      </c>
      <c r="H312" s="52">
        <f>SmtRes!CZ82</f>
        <v>50110.25</v>
      </c>
      <c r="I312" s="51">
        <f>SmtRes!AI82</f>
        <v>1.25</v>
      </c>
      <c r="J312" s="52">
        <f>ROUND(H312*I312, 2)</f>
        <v>62637.81</v>
      </c>
      <c r="K312" s="51"/>
      <c r="L312" s="52">
        <f>SmtRes!DF82</f>
        <v>187.91</v>
      </c>
    </row>
    <row r="313" spans="1:83" ht="28.5" x14ac:dyDescent="0.2">
      <c r="A313" s="48"/>
      <c r="B313" s="48" t="s">
        <v>457</v>
      </c>
      <c r="C313" s="48" t="s">
        <v>459</v>
      </c>
      <c r="D313" s="49" t="s">
        <v>460</v>
      </c>
      <c r="E313" s="50">
        <v>4.0000000000000001E-3</v>
      </c>
      <c r="F313" s="50"/>
      <c r="G313" s="50">
        <f>SmtRes!CX83</f>
        <v>4.0000000000000001E-3</v>
      </c>
      <c r="H313" s="52">
        <f>SmtRes!CZ83</f>
        <v>13680.39</v>
      </c>
      <c r="I313" s="51">
        <f>SmtRes!AI83</f>
        <v>1.18</v>
      </c>
      <c r="J313" s="52">
        <f>ROUND(H313*I313, 2)</f>
        <v>16142.86</v>
      </c>
      <c r="K313" s="51"/>
      <c r="L313" s="52">
        <f>SmtRes!DF83</f>
        <v>64.569999999999993</v>
      </c>
    </row>
    <row r="314" spans="1:83" ht="57" x14ac:dyDescent="0.2">
      <c r="A314" s="48"/>
      <c r="B314" s="48" t="s">
        <v>480</v>
      </c>
      <c r="C314" s="48" t="s">
        <v>482</v>
      </c>
      <c r="D314" s="49" t="s">
        <v>295</v>
      </c>
      <c r="E314" s="50">
        <v>1</v>
      </c>
      <c r="F314" s="50"/>
      <c r="G314" s="50">
        <f>SmtRes!CX84</f>
        <v>1</v>
      </c>
      <c r="H314" s="52">
        <f>SmtRes!CZ84</f>
        <v>155.63</v>
      </c>
      <c r="I314" s="51">
        <f>SmtRes!AI84</f>
        <v>0.78</v>
      </c>
      <c r="J314" s="52">
        <f>ROUND(H314*I314, 2)</f>
        <v>121.39</v>
      </c>
      <c r="K314" s="51"/>
      <c r="L314" s="52">
        <f>SmtRes!DF84</f>
        <v>121.39</v>
      </c>
    </row>
    <row r="315" spans="1:83" ht="71.25" x14ac:dyDescent="0.2">
      <c r="A315" s="48"/>
      <c r="B315" s="48" t="s">
        <v>535</v>
      </c>
      <c r="C315" s="48" t="s">
        <v>537</v>
      </c>
      <c r="D315" s="49" t="s">
        <v>35</v>
      </c>
      <c r="E315" s="50">
        <v>2.0200000000000001E-3</v>
      </c>
      <c r="F315" s="50"/>
      <c r="G315" s="50">
        <f>SmtRes!CX85</f>
        <v>2.0200000000000001E-3</v>
      </c>
      <c r="H315" s="52">
        <f>SmtRes!CZ85</f>
        <v>135460.68</v>
      </c>
      <c r="I315" s="51">
        <f>SmtRes!AI85</f>
        <v>1.0900000000000001</v>
      </c>
      <c r="J315" s="52">
        <f>ROUND(H315*I315, 2)</f>
        <v>147652.14000000001</v>
      </c>
      <c r="K315" s="51"/>
      <c r="L315" s="52">
        <f>SmtRes!DF85</f>
        <v>298.26</v>
      </c>
    </row>
    <row r="316" spans="1:83" ht="57" x14ac:dyDescent="0.2">
      <c r="A316" s="48"/>
      <c r="B316" s="48" t="s">
        <v>538</v>
      </c>
      <c r="C316" s="48" t="s">
        <v>540</v>
      </c>
      <c r="D316" s="49" t="s">
        <v>30</v>
      </c>
      <c r="E316" s="50">
        <v>1</v>
      </c>
      <c r="F316" s="50"/>
      <c r="G316" s="50">
        <f>SmtRes!CX86</f>
        <v>1</v>
      </c>
      <c r="H316" s="52">
        <f>SmtRes!CZ86</f>
        <v>5411.93</v>
      </c>
      <c r="I316" s="51"/>
      <c r="J316" s="52"/>
      <c r="K316" s="51"/>
      <c r="L316" s="52">
        <f>SmtRes!DF86</f>
        <v>5411.93</v>
      </c>
    </row>
    <row r="317" spans="1:83" ht="28.5" x14ac:dyDescent="0.2">
      <c r="A317" s="48"/>
      <c r="B317" s="48" t="str">
        <f>EtalonRes!I82</f>
        <v>18.5.05.01</v>
      </c>
      <c r="C317" s="48" t="str">
        <f>EtalonRes!K82</f>
        <v>Грязевики стальные для трубопроводов, фланцевые</v>
      </c>
      <c r="D317" s="49" t="str">
        <f>EtalonRes!O82</f>
        <v>ШТ</v>
      </c>
      <c r="E317" s="50">
        <f>EtalonRes!X82</f>
        <v>1</v>
      </c>
      <c r="F317" s="50"/>
      <c r="G317" s="50">
        <f>ROUND(EtalonRes!AG82*Source!I91, 7)</f>
        <v>1</v>
      </c>
      <c r="H317" s="52"/>
      <c r="I317" s="51"/>
      <c r="J317" s="52"/>
      <c r="K317" s="51"/>
      <c r="L317" s="52"/>
    </row>
    <row r="318" spans="1:83" ht="14.25" x14ac:dyDescent="0.2">
      <c r="A318" s="48"/>
      <c r="B318" s="48" t="str">
        <f>EtalonRes!I83</f>
        <v>23.8.03.11</v>
      </c>
      <c r="C318" s="56" t="str">
        <f>EtalonRes!K83</f>
        <v>Фланцы стальные</v>
      </c>
      <c r="D318" s="57" t="str">
        <f>EtalonRes!O83</f>
        <v>ШТ</v>
      </c>
      <c r="E318" s="58">
        <f>EtalonRes!X83</f>
        <v>4</v>
      </c>
      <c r="F318" s="58"/>
      <c r="G318" s="58">
        <f>ROUND(EtalonRes!AG83*Source!I91, 7)</f>
        <v>4</v>
      </c>
      <c r="H318" s="59"/>
      <c r="I318" s="60"/>
      <c r="J318" s="59"/>
      <c r="K318" s="60"/>
      <c r="L318" s="59"/>
    </row>
    <row r="319" spans="1:83" ht="15" x14ac:dyDescent="0.2">
      <c r="A319" s="48"/>
      <c r="B319" s="48"/>
      <c r="C319" s="62" t="s">
        <v>703</v>
      </c>
      <c r="D319" s="49"/>
      <c r="E319" s="50"/>
      <c r="F319" s="50"/>
      <c r="G319" s="50"/>
      <c r="H319" s="52"/>
      <c r="I319" s="51"/>
      <c r="J319" s="52"/>
      <c r="K319" s="51"/>
      <c r="L319" s="52">
        <f>L302+L304+L305+L311</f>
        <v>9104.41</v>
      </c>
    </row>
    <row r="320" spans="1:83" ht="57" x14ac:dyDescent="0.2">
      <c r="A320" s="46" t="s">
        <v>777</v>
      </c>
      <c r="B320" s="48" t="str">
        <f>Source!F92</f>
        <v>23.8.03.11-0154</v>
      </c>
      <c r="C320" s="48" t="str">
        <f>Source!G92</f>
        <v>Фланец стальной плоский приварной с соединительным выступом, марка стали 20, номинальное давление 1,6 МПа, номинальный диаметр 80 мм</v>
      </c>
      <c r="D320" s="49" t="str">
        <f>Source!H92</f>
        <v>ШТ</v>
      </c>
      <c r="E320" s="50">
        <f>SmtRes!AT87</f>
        <v>4</v>
      </c>
      <c r="F320" s="50"/>
      <c r="G320" s="50">
        <f>Source!I92</f>
        <v>4</v>
      </c>
      <c r="H320" s="52">
        <f>Source!AL92+Source!AO92+Source!AM92+Source!AN92</f>
        <v>683.62</v>
      </c>
      <c r="I320" s="51">
        <f>IF(Source!BC92&lt;&gt; 0, Source!BC92, 1)</f>
        <v>1.1100000000000001</v>
      </c>
      <c r="J320" s="52">
        <f>ROUND(H320*I320, 2)</f>
        <v>758.82</v>
      </c>
      <c r="K320" s="51"/>
      <c r="L320" s="52">
        <f>Source!P92</f>
        <v>3035.28</v>
      </c>
      <c r="AD320">
        <f>ROUND((Source!AT92/100)*((ROUND(ROUND(Source!AO92,2)*Source!I92, 2)+ROUND(ROUND(Source!AN92,2)*Source!I92, 2))), 2)</f>
        <v>0</v>
      </c>
      <c r="AE320">
        <f>ROUND((Source!AU92/100)*((ROUND(ROUND(Source!AO92,2)*Source!I92, 2)+ROUND(ROUND(Source!AN92,2)*Source!I92, 2))), 2)</f>
        <v>0</v>
      </c>
      <c r="AN320">
        <f>L320</f>
        <v>3035.28</v>
      </c>
      <c r="AW320">
        <f>L320</f>
        <v>3035.28</v>
      </c>
      <c r="AZ320">
        <f>Source!X92</f>
        <v>0</v>
      </c>
      <c r="BA320">
        <f>Source!Y92</f>
        <v>0</v>
      </c>
      <c r="CD320">
        <v>1</v>
      </c>
    </row>
    <row r="321" spans="1:101" ht="14.25" x14ac:dyDescent="0.2">
      <c r="A321" s="48"/>
      <c r="B321" s="48"/>
      <c r="C321" s="48" t="s">
        <v>706</v>
      </c>
      <c r="D321" s="49"/>
      <c r="E321" s="50"/>
      <c r="F321" s="50"/>
      <c r="G321" s="50"/>
      <c r="H321" s="52"/>
      <c r="I321" s="51"/>
      <c r="J321" s="52"/>
      <c r="K321" s="51"/>
      <c r="L321" s="52">
        <f>SUM(AR300:AR324)+SUM(AS300:AS324)+SUM(AT300:AT324)+SUM(AU300:AU324)+SUM(AV300:AV324)</f>
        <v>2915.1400000000003</v>
      </c>
    </row>
    <row r="322" spans="1:101" ht="71.25" x14ac:dyDescent="0.2">
      <c r="A322" s="48"/>
      <c r="B322" s="48" t="s">
        <v>721</v>
      </c>
      <c r="C322" s="48" t="s">
        <v>722</v>
      </c>
      <c r="D322" s="49" t="s">
        <v>83</v>
      </c>
      <c r="E322" s="50">
        <f>Source!BZ91</f>
        <v>121</v>
      </c>
      <c r="F322" s="50">
        <f>ROUND(0.9,7)</f>
        <v>0.9</v>
      </c>
      <c r="G322" s="50">
        <f>Source!AT91</f>
        <v>108.9</v>
      </c>
      <c r="H322" s="52"/>
      <c r="I322" s="51"/>
      <c r="J322" s="52"/>
      <c r="K322" s="51"/>
      <c r="L322" s="52">
        <f>SUM(AZ300:AZ324)</f>
        <v>3174.59</v>
      </c>
    </row>
    <row r="323" spans="1:101" ht="71.25" x14ac:dyDescent="0.2">
      <c r="A323" s="56"/>
      <c r="B323" s="56" t="s">
        <v>723</v>
      </c>
      <c r="C323" s="56" t="s">
        <v>724</v>
      </c>
      <c r="D323" s="57" t="s">
        <v>83</v>
      </c>
      <c r="E323" s="58">
        <f>Source!CA91</f>
        <v>72</v>
      </c>
      <c r="F323" s="58">
        <f>ROUND(0.85,7)</f>
        <v>0.85</v>
      </c>
      <c r="G323" s="58">
        <f>Source!AU91</f>
        <v>61.2</v>
      </c>
      <c r="H323" s="59"/>
      <c r="I323" s="60"/>
      <c r="J323" s="59"/>
      <c r="K323" s="60"/>
      <c r="L323" s="59">
        <f>SUM(BA300:BA324)</f>
        <v>1784.07</v>
      </c>
    </row>
    <row r="324" spans="1:101" ht="15" x14ac:dyDescent="0.2">
      <c r="C324" s="131" t="s">
        <v>709</v>
      </c>
      <c r="D324" s="131"/>
      <c r="E324" s="131"/>
      <c r="F324" s="131"/>
      <c r="G324" s="131"/>
      <c r="H324" s="131"/>
      <c r="I324" s="132">
        <f>IF(E300&lt;&gt;0,K324/E300, 0)</f>
        <v>17098.349999999999</v>
      </c>
      <c r="J324" s="132"/>
      <c r="K324" s="132">
        <f>L302+L304+L311+L322+L323+L305+SUM(L320:L320)</f>
        <v>17098.349999999999</v>
      </c>
      <c r="L324" s="132"/>
      <c r="AD324">
        <f>ROUND((Source!AT91/100)*((ROUND(SUMIF(SmtRes!AQ77:'SmtRes'!AQ87,"=1",SmtRes!AD77:'SmtRes'!AD87)*Source!I91, 2)+ROUND(SUMIF(SmtRes!AQ77:'SmtRes'!AQ87,"=1",SmtRes!AC77:'SmtRes'!AC87)*Source!I91, 2))), 2)</f>
        <v>2602.4499999999998</v>
      </c>
      <c r="AE324">
        <f>ROUND((Source!AU91/100)*((ROUND(SUMIF(SmtRes!AQ77:'SmtRes'!AQ87,"=1",SmtRes!AD77:'SmtRes'!AD87)*Source!I91, 2)+ROUND(SUMIF(SmtRes!AQ77:'SmtRes'!AQ87,"=1",SmtRes!AC77:'SmtRes'!AC87)*Source!I91, 2))), 2)</f>
        <v>1462.53</v>
      </c>
      <c r="AN324" s="61">
        <f>L302+L304+L311+L322+L323+L305</f>
        <v>14063.07</v>
      </c>
      <c r="AO324" s="61">
        <f>L304</f>
        <v>105.21000000000001</v>
      </c>
      <c r="AQ324" t="s">
        <v>710</v>
      </c>
      <c r="AR324" s="61">
        <f>L302</f>
        <v>2872.84</v>
      </c>
      <c r="AT324" s="61">
        <f>L305</f>
        <v>42.3</v>
      </c>
      <c r="AV324" t="s">
        <v>710</v>
      </c>
      <c r="AW324" s="61">
        <f>L311</f>
        <v>6084.06</v>
      </c>
      <c r="AZ324">
        <f>Source!X91</f>
        <v>3174.59</v>
      </c>
      <c r="BA324">
        <f>Source!Y91</f>
        <v>1784.07</v>
      </c>
      <c r="CD324">
        <v>1</v>
      </c>
    </row>
    <row r="325" spans="1:101" ht="42.75" x14ac:dyDescent="0.2">
      <c r="A325" s="46" t="s">
        <v>213</v>
      </c>
      <c r="B325" s="48" t="s">
        <v>778</v>
      </c>
      <c r="C325" s="48" t="str">
        <f>Source!G93</f>
        <v>Установка грязевиков наружным диаметром патрубков: свыше 89 до 108 мм</v>
      </c>
      <c r="D325" s="49" t="str">
        <f>Source!H93</f>
        <v>ШТ</v>
      </c>
      <c r="E325" s="50">
        <f>Source!K93</f>
        <v>1</v>
      </c>
      <c r="F325" s="50"/>
      <c r="G325" s="50">
        <f>Source!I93</f>
        <v>1</v>
      </c>
      <c r="H325" s="52"/>
      <c r="I325" s="51"/>
      <c r="J325" s="52"/>
      <c r="K325" s="51"/>
      <c r="L325" s="52"/>
    </row>
    <row r="326" spans="1:101" ht="51" x14ac:dyDescent="0.2">
      <c r="B326" s="64" t="s">
        <v>644</v>
      </c>
      <c r="C326" s="130" t="s">
        <v>717</v>
      </c>
      <c r="D326" s="130"/>
      <c r="E326" s="130"/>
      <c r="F326" s="130"/>
      <c r="G326" s="130"/>
      <c r="H326" s="130"/>
      <c r="I326" s="130"/>
      <c r="J326" s="130"/>
      <c r="K326" s="130"/>
      <c r="L326" s="130"/>
      <c r="CW326" s="65" t="s">
        <v>717</v>
      </c>
    </row>
    <row r="327" spans="1:101" ht="15" x14ac:dyDescent="0.2">
      <c r="A327" s="47"/>
      <c r="B327" s="50">
        <v>1</v>
      </c>
      <c r="C327" s="47" t="s">
        <v>698</v>
      </c>
      <c r="D327" s="49" t="s">
        <v>449</v>
      </c>
      <c r="E327" s="54"/>
      <c r="F327" s="50"/>
      <c r="G327" s="50">
        <f>Source!U93</f>
        <v>4.117</v>
      </c>
      <c r="H327" s="50"/>
      <c r="I327" s="50"/>
      <c r="J327" s="50"/>
      <c r="K327" s="50"/>
      <c r="L327" s="55">
        <f>SUM(L328:L328)-SUMIF(CE328:CE328, 1, L328:L328)</f>
        <v>2872.84</v>
      </c>
    </row>
    <row r="328" spans="1:101" ht="14.25" x14ac:dyDescent="0.2">
      <c r="A328" s="48"/>
      <c r="B328" s="48" t="s">
        <v>530</v>
      </c>
      <c r="C328" s="48" t="s">
        <v>531</v>
      </c>
      <c r="D328" s="49" t="s">
        <v>449</v>
      </c>
      <c r="E328" s="50">
        <v>3.58</v>
      </c>
      <c r="F328" s="50">
        <f>ROUND(1.15,7)</f>
        <v>1.1499999999999999</v>
      </c>
      <c r="G328" s="50">
        <f>SmtRes!CX88</f>
        <v>4.117</v>
      </c>
      <c r="H328" s="52"/>
      <c r="I328" s="51"/>
      <c r="J328" s="52">
        <f>SmtRes!CZ88</f>
        <v>697.8</v>
      </c>
      <c r="K328" s="51"/>
      <c r="L328" s="52">
        <f>SmtRes!DI88</f>
        <v>2872.84</v>
      </c>
    </row>
    <row r="329" spans="1:101" ht="15" x14ac:dyDescent="0.2">
      <c r="A329" s="47"/>
      <c r="B329" s="50">
        <v>2</v>
      </c>
      <c r="C329" s="47" t="s">
        <v>699</v>
      </c>
      <c r="D329" s="49"/>
      <c r="E329" s="54"/>
      <c r="F329" s="50"/>
      <c r="G329" s="50"/>
      <c r="H329" s="50"/>
      <c r="I329" s="50"/>
      <c r="J329" s="50"/>
      <c r="K329" s="50"/>
      <c r="L329" s="55">
        <f>SUM(L330:L335)-SUMIF(CE330:CE335, 1, L330:L335)</f>
        <v>105.60999999999999</v>
      </c>
    </row>
    <row r="330" spans="1:101" ht="15" x14ac:dyDescent="0.2">
      <c r="A330" s="47"/>
      <c r="B330" s="50"/>
      <c r="C330" s="47" t="s">
        <v>701</v>
      </c>
      <c r="D330" s="49" t="s">
        <v>449</v>
      </c>
      <c r="E330" s="54"/>
      <c r="F330" s="50"/>
      <c r="G330" s="50">
        <f>Source!V93</f>
        <v>0.05</v>
      </c>
      <c r="H330" s="50"/>
      <c r="I330" s="50"/>
      <c r="J330" s="50"/>
      <c r="K330" s="50"/>
      <c r="L330" s="55">
        <f>SUMIF(CE331:CE335, 1, L331:L335)</f>
        <v>42.3</v>
      </c>
      <c r="CE330">
        <v>1</v>
      </c>
    </row>
    <row r="331" spans="1:101" ht="28.5" x14ac:dyDescent="0.2">
      <c r="A331" s="48"/>
      <c r="B331" s="48" t="s">
        <v>474</v>
      </c>
      <c r="C331" s="48" t="s">
        <v>476</v>
      </c>
      <c r="D331" s="49" t="s">
        <v>455</v>
      </c>
      <c r="E331" s="50">
        <v>0.02</v>
      </c>
      <c r="F331" s="50">
        <f>ROUND(1.25,7)</f>
        <v>1.25</v>
      </c>
      <c r="G331" s="50">
        <f>SmtRes!CX90</f>
        <v>2.5000000000000001E-2</v>
      </c>
      <c r="H331" s="52"/>
      <c r="I331" s="51"/>
      <c r="J331" s="52">
        <f>SmtRes!CZ90</f>
        <v>1629.55</v>
      </c>
      <c r="K331" s="51"/>
      <c r="L331" s="52">
        <f>SmtRes!DG90</f>
        <v>40.74</v>
      </c>
    </row>
    <row r="332" spans="1:101" ht="28.5" x14ac:dyDescent="0.2">
      <c r="A332" s="48"/>
      <c r="B332" s="48" t="s">
        <v>473</v>
      </c>
      <c r="C332" s="48" t="s">
        <v>718</v>
      </c>
      <c r="D332" s="49" t="s">
        <v>449</v>
      </c>
      <c r="E332" s="50">
        <f>SmtRes!DO90*SmtRes!AT90</f>
        <v>0.02</v>
      </c>
      <c r="F332" s="50">
        <f>ROUND(1.25,7)</f>
        <v>1.25</v>
      </c>
      <c r="G332" s="50">
        <f>ROUND(E332*F332*G325, 7)</f>
        <v>2.5000000000000001E-2</v>
      </c>
      <c r="H332" s="52"/>
      <c r="I332" s="51"/>
      <c r="J332" s="52">
        <f>ROUND(SmtRes!AG90/SmtRes!DO90, 2)</f>
        <v>969.91</v>
      </c>
      <c r="K332" s="51"/>
      <c r="L332" s="52">
        <f>SmtRes!DH90</f>
        <v>24.25</v>
      </c>
      <c r="CE332">
        <v>1</v>
      </c>
    </row>
    <row r="333" spans="1:101" ht="28.5" x14ac:dyDescent="0.2">
      <c r="A333" s="48"/>
      <c r="B333" s="48" t="s">
        <v>452</v>
      </c>
      <c r="C333" s="48" t="s">
        <v>454</v>
      </c>
      <c r="D333" s="49" t="s">
        <v>455</v>
      </c>
      <c r="E333" s="50">
        <v>0.02</v>
      </c>
      <c r="F333" s="50">
        <f>ROUND(1.25,7)</f>
        <v>1.25</v>
      </c>
      <c r="G333" s="50">
        <f>SmtRes!CX91</f>
        <v>2.5000000000000001E-2</v>
      </c>
      <c r="H333" s="52"/>
      <c r="I333" s="51"/>
      <c r="J333" s="52">
        <f>SmtRes!CZ91</f>
        <v>643.29</v>
      </c>
      <c r="K333" s="51"/>
      <c r="L333" s="52">
        <f>SmtRes!DG91</f>
        <v>16.079999999999998</v>
      </c>
    </row>
    <row r="334" spans="1:101" ht="28.5" x14ac:dyDescent="0.2">
      <c r="A334" s="48"/>
      <c r="B334" s="48" t="s">
        <v>456</v>
      </c>
      <c r="C334" s="48" t="s">
        <v>700</v>
      </c>
      <c r="D334" s="49" t="s">
        <v>449</v>
      </c>
      <c r="E334" s="50">
        <f>SmtRes!DO91*SmtRes!AT91</f>
        <v>0.02</v>
      </c>
      <c r="F334" s="50">
        <f>ROUND(1.25,7)</f>
        <v>1.25</v>
      </c>
      <c r="G334" s="50">
        <f>ROUND(E334*F334*G325, 7)</f>
        <v>2.5000000000000001E-2</v>
      </c>
      <c r="H334" s="52"/>
      <c r="I334" s="51"/>
      <c r="J334" s="52">
        <f>ROUND(SmtRes!AG91/SmtRes!DO91, 2)</f>
        <v>722.05</v>
      </c>
      <c r="K334" s="51"/>
      <c r="L334" s="52">
        <f>SmtRes!DH91</f>
        <v>18.05</v>
      </c>
      <c r="CE334">
        <v>1</v>
      </c>
    </row>
    <row r="335" spans="1:101" ht="42.75" x14ac:dyDescent="0.2">
      <c r="A335" s="48"/>
      <c r="B335" s="48" t="s">
        <v>477</v>
      </c>
      <c r="C335" s="48" t="s">
        <v>479</v>
      </c>
      <c r="D335" s="49" t="s">
        <v>455</v>
      </c>
      <c r="E335" s="50">
        <v>1.21</v>
      </c>
      <c r="F335" s="50">
        <f>ROUND(1.25,7)</f>
        <v>1.25</v>
      </c>
      <c r="G335" s="50">
        <f>SmtRes!CX92</f>
        <v>1.5125</v>
      </c>
      <c r="H335" s="52"/>
      <c r="I335" s="51"/>
      <c r="J335" s="52">
        <f>SmtRes!CZ92</f>
        <v>32.26</v>
      </c>
      <c r="K335" s="51"/>
      <c r="L335" s="52">
        <f>SmtRes!DG92</f>
        <v>48.79</v>
      </c>
    </row>
    <row r="336" spans="1:101" ht="15" x14ac:dyDescent="0.2">
      <c r="A336" s="47"/>
      <c r="B336" s="50">
        <v>4</v>
      </c>
      <c r="C336" s="47" t="s">
        <v>702</v>
      </c>
      <c r="D336" s="49"/>
      <c r="E336" s="54"/>
      <c r="F336" s="50"/>
      <c r="G336" s="50"/>
      <c r="H336" s="50"/>
      <c r="I336" s="50"/>
      <c r="J336" s="50"/>
      <c r="K336" s="50"/>
      <c r="L336" s="55">
        <f>SUM(L337:L341)-SUMIF(CE337:CE341, 1, L337:L341)</f>
        <v>8156.34</v>
      </c>
    </row>
    <row r="337" spans="1:82" ht="42.75" x14ac:dyDescent="0.2">
      <c r="A337" s="48"/>
      <c r="B337" s="48" t="s">
        <v>532</v>
      </c>
      <c r="C337" s="48" t="s">
        <v>534</v>
      </c>
      <c r="D337" s="49" t="s">
        <v>35</v>
      </c>
      <c r="E337" s="50">
        <v>3.0000000000000001E-3</v>
      </c>
      <c r="F337" s="50"/>
      <c r="G337" s="50">
        <f>SmtRes!CX93</f>
        <v>3.0000000000000001E-3</v>
      </c>
      <c r="H337" s="52">
        <f>SmtRes!CZ93</f>
        <v>50110.25</v>
      </c>
      <c r="I337" s="51">
        <f>SmtRes!AI93</f>
        <v>1.25</v>
      </c>
      <c r="J337" s="52">
        <f>ROUND(H337*I337, 2)</f>
        <v>62637.81</v>
      </c>
      <c r="K337" s="51"/>
      <c r="L337" s="52">
        <f>SmtRes!DF93</f>
        <v>187.91</v>
      </c>
    </row>
    <row r="338" spans="1:82" ht="28.5" x14ac:dyDescent="0.2">
      <c r="A338" s="48"/>
      <c r="B338" s="48" t="s">
        <v>457</v>
      </c>
      <c r="C338" s="48" t="s">
        <v>459</v>
      </c>
      <c r="D338" s="49" t="s">
        <v>460</v>
      </c>
      <c r="E338" s="50">
        <v>4.0000000000000001E-3</v>
      </c>
      <c r="F338" s="50"/>
      <c r="G338" s="50">
        <f>SmtRes!CX94</f>
        <v>4.0000000000000001E-3</v>
      </c>
      <c r="H338" s="52">
        <f>SmtRes!CZ94</f>
        <v>13680.39</v>
      </c>
      <c r="I338" s="51">
        <f>SmtRes!AI94</f>
        <v>1.18</v>
      </c>
      <c r="J338" s="52">
        <f>ROUND(H338*I338, 2)</f>
        <v>16142.86</v>
      </c>
      <c r="K338" s="51"/>
      <c r="L338" s="52">
        <f>SmtRes!DF94</f>
        <v>64.569999999999993</v>
      </c>
    </row>
    <row r="339" spans="1:82" ht="57" x14ac:dyDescent="0.2">
      <c r="A339" s="48"/>
      <c r="B339" s="48" t="s">
        <v>480</v>
      </c>
      <c r="C339" s="48" t="s">
        <v>482</v>
      </c>
      <c r="D339" s="49" t="s">
        <v>295</v>
      </c>
      <c r="E339" s="50">
        <v>1</v>
      </c>
      <c r="F339" s="50"/>
      <c r="G339" s="50">
        <f>SmtRes!CX95</f>
        <v>1</v>
      </c>
      <c r="H339" s="52">
        <f>SmtRes!CZ95</f>
        <v>155.63</v>
      </c>
      <c r="I339" s="51">
        <f>SmtRes!AI95</f>
        <v>0.78</v>
      </c>
      <c r="J339" s="52">
        <f>ROUND(H339*I339, 2)</f>
        <v>121.39</v>
      </c>
      <c r="K339" s="51"/>
      <c r="L339" s="52">
        <f>SmtRes!DF95</f>
        <v>121.39</v>
      </c>
    </row>
    <row r="340" spans="1:82" ht="71.25" x14ac:dyDescent="0.2">
      <c r="A340" s="48"/>
      <c r="B340" s="48" t="s">
        <v>535</v>
      </c>
      <c r="C340" s="48" t="s">
        <v>537</v>
      </c>
      <c r="D340" s="49" t="s">
        <v>35</v>
      </c>
      <c r="E340" s="50">
        <v>2.0200000000000001E-3</v>
      </c>
      <c r="F340" s="50"/>
      <c r="G340" s="50">
        <f>SmtRes!CX96</f>
        <v>2.0200000000000001E-3</v>
      </c>
      <c r="H340" s="52">
        <f>SmtRes!CZ96</f>
        <v>135460.68</v>
      </c>
      <c r="I340" s="51">
        <f>SmtRes!AI96</f>
        <v>1.0900000000000001</v>
      </c>
      <c r="J340" s="52">
        <f>ROUND(H340*I340, 2)</f>
        <v>147652.14000000001</v>
      </c>
      <c r="K340" s="51"/>
      <c r="L340" s="52">
        <f>SmtRes!DF96</f>
        <v>298.26</v>
      </c>
    </row>
    <row r="341" spans="1:82" ht="57" x14ac:dyDescent="0.2">
      <c r="A341" s="48"/>
      <c r="B341" s="48" t="s">
        <v>541</v>
      </c>
      <c r="C341" s="48" t="s">
        <v>543</v>
      </c>
      <c r="D341" s="49" t="s">
        <v>30</v>
      </c>
      <c r="E341" s="50">
        <v>1</v>
      </c>
      <c r="F341" s="50"/>
      <c r="G341" s="50">
        <f>SmtRes!CX97</f>
        <v>1</v>
      </c>
      <c r="H341" s="52">
        <f>SmtRes!CZ97</f>
        <v>7484.21</v>
      </c>
      <c r="I341" s="51"/>
      <c r="J341" s="52"/>
      <c r="K341" s="51"/>
      <c r="L341" s="52">
        <f>SmtRes!DF97</f>
        <v>7484.21</v>
      </c>
    </row>
    <row r="342" spans="1:82" ht="28.5" x14ac:dyDescent="0.2">
      <c r="A342" s="48"/>
      <c r="B342" s="48" t="str">
        <f>EtalonRes!I93</f>
        <v>18.5.05.01</v>
      </c>
      <c r="C342" s="48" t="str">
        <f>EtalonRes!K93</f>
        <v>Грязевики стальные для трубопроводов, фланцевые</v>
      </c>
      <c r="D342" s="49" t="str">
        <f>EtalonRes!O93</f>
        <v>ШТ</v>
      </c>
      <c r="E342" s="50">
        <f>EtalonRes!X93</f>
        <v>1</v>
      </c>
      <c r="F342" s="50"/>
      <c r="G342" s="50">
        <f>ROUND(EtalonRes!AG93*Source!I93, 7)</f>
        <v>1</v>
      </c>
      <c r="H342" s="52"/>
      <c r="I342" s="51"/>
      <c r="J342" s="52"/>
      <c r="K342" s="51"/>
      <c r="L342" s="52"/>
    </row>
    <row r="343" spans="1:82" ht="14.25" x14ac:dyDescent="0.2">
      <c r="A343" s="48"/>
      <c r="B343" s="48" t="str">
        <f>EtalonRes!I94</f>
        <v>23.8.03.11</v>
      </c>
      <c r="C343" s="56" t="str">
        <f>EtalonRes!K94</f>
        <v>Фланцы стальные</v>
      </c>
      <c r="D343" s="57" t="str">
        <f>EtalonRes!O94</f>
        <v>ШТ</v>
      </c>
      <c r="E343" s="58">
        <f>EtalonRes!X94</f>
        <v>4</v>
      </c>
      <c r="F343" s="58"/>
      <c r="G343" s="58">
        <f>ROUND(EtalonRes!AG94*Source!I93, 7)</f>
        <v>4</v>
      </c>
      <c r="H343" s="59"/>
      <c r="I343" s="60"/>
      <c r="J343" s="59"/>
      <c r="K343" s="60"/>
      <c r="L343" s="59"/>
    </row>
    <row r="344" spans="1:82" ht="15" x14ac:dyDescent="0.2">
      <c r="A344" s="48"/>
      <c r="B344" s="48"/>
      <c r="C344" s="62" t="s">
        <v>703</v>
      </c>
      <c r="D344" s="49"/>
      <c r="E344" s="50"/>
      <c r="F344" s="50"/>
      <c r="G344" s="50"/>
      <c r="H344" s="52"/>
      <c r="I344" s="51"/>
      <c r="J344" s="52"/>
      <c r="K344" s="51"/>
      <c r="L344" s="52">
        <f>L327+L329+L330+L336</f>
        <v>11177.09</v>
      </c>
    </row>
    <row r="345" spans="1:82" ht="57" x14ac:dyDescent="0.2">
      <c r="A345" s="46" t="s">
        <v>779</v>
      </c>
      <c r="B345" s="48" t="str">
        <f>Source!F94</f>
        <v>23.8.03.11-0155</v>
      </c>
      <c r="C345" s="48" t="str">
        <f>Source!G94</f>
        <v>Фланец стальной плоский приварной с соединительным выступом, марка стали 20, номинальное давление 1,6 МПа, номинальный диаметр 100 мм</v>
      </c>
      <c r="D345" s="49" t="str">
        <f>Source!H94</f>
        <v>ШТ</v>
      </c>
      <c r="E345" s="50">
        <f>SmtRes!AT98</f>
        <v>4</v>
      </c>
      <c r="F345" s="50"/>
      <c r="G345" s="50">
        <f>Source!I94</f>
        <v>4</v>
      </c>
      <c r="H345" s="52">
        <f>Source!AL94+Source!AO94+Source!AM94+Source!AN94</f>
        <v>815.54</v>
      </c>
      <c r="I345" s="51">
        <f>IF(Source!BC94&lt;&gt; 0, Source!BC94, 1)</f>
        <v>1.1100000000000001</v>
      </c>
      <c r="J345" s="52">
        <f>ROUND(H345*I345, 2)</f>
        <v>905.25</v>
      </c>
      <c r="K345" s="51"/>
      <c r="L345" s="52">
        <f>Source!P94</f>
        <v>3621</v>
      </c>
      <c r="AD345">
        <f>ROUND((Source!AT94/100)*((ROUND(ROUND(Source!AO94,2)*Source!I94, 2)+ROUND(ROUND(Source!AN94,2)*Source!I94, 2))), 2)</f>
        <v>0</v>
      </c>
      <c r="AE345">
        <f>ROUND((Source!AU94/100)*((ROUND(ROUND(Source!AO94,2)*Source!I94, 2)+ROUND(ROUND(Source!AN94,2)*Source!I94, 2))), 2)</f>
        <v>0</v>
      </c>
      <c r="AN345">
        <f>L345</f>
        <v>3621</v>
      </c>
      <c r="AW345">
        <f>L345</f>
        <v>3621</v>
      </c>
      <c r="AZ345">
        <f>Source!X94</f>
        <v>0</v>
      </c>
      <c r="BA345">
        <f>Source!Y94</f>
        <v>0</v>
      </c>
      <c r="CD345">
        <v>1</v>
      </c>
    </row>
    <row r="346" spans="1:82" ht="14.25" x14ac:dyDescent="0.2">
      <c r="A346" s="48"/>
      <c r="B346" s="48"/>
      <c r="C346" s="48" t="s">
        <v>706</v>
      </c>
      <c r="D346" s="49"/>
      <c r="E346" s="50"/>
      <c r="F346" s="50"/>
      <c r="G346" s="50"/>
      <c r="H346" s="52"/>
      <c r="I346" s="51"/>
      <c r="J346" s="52"/>
      <c r="K346" s="51"/>
      <c r="L346" s="52">
        <f>SUM(AR325:AR349)+SUM(AS325:AS349)+SUM(AT325:AT349)+SUM(AU325:AU349)+SUM(AV325:AV349)</f>
        <v>2915.1400000000003</v>
      </c>
    </row>
    <row r="347" spans="1:82" ht="71.25" x14ac:dyDescent="0.2">
      <c r="A347" s="48"/>
      <c r="B347" s="48" t="s">
        <v>721</v>
      </c>
      <c r="C347" s="48" t="s">
        <v>722</v>
      </c>
      <c r="D347" s="49" t="s">
        <v>83</v>
      </c>
      <c r="E347" s="50">
        <f>Source!BZ93</f>
        <v>121</v>
      </c>
      <c r="F347" s="50">
        <f>ROUND(0.9,7)</f>
        <v>0.9</v>
      </c>
      <c r="G347" s="50">
        <f>Source!AT93</f>
        <v>108.9</v>
      </c>
      <c r="H347" s="52"/>
      <c r="I347" s="51"/>
      <c r="J347" s="52"/>
      <c r="K347" s="51"/>
      <c r="L347" s="52">
        <f>SUM(AZ325:AZ349)</f>
        <v>3174.59</v>
      </c>
    </row>
    <row r="348" spans="1:82" ht="71.25" x14ac:dyDescent="0.2">
      <c r="A348" s="56"/>
      <c r="B348" s="56" t="s">
        <v>723</v>
      </c>
      <c r="C348" s="56" t="s">
        <v>724</v>
      </c>
      <c r="D348" s="57" t="s">
        <v>83</v>
      </c>
      <c r="E348" s="58">
        <f>Source!CA93</f>
        <v>72</v>
      </c>
      <c r="F348" s="58">
        <f>ROUND(0.85,7)</f>
        <v>0.85</v>
      </c>
      <c r="G348" s="58">
        <f>Source!AU93</f>
        <v>61.2</v>
      </c>
      <c r="H348" s="59"/>
      <c r="I348" s="60"/>
      <c r="J348" s="59"/>
      <c r="K348" s="60"/>
      <c r="L348" s="59">
        <f>SUM(BA325:BA349)</f>
        <v>1784.07</v>
      </c>
    </row>
    <row r="349" spans="1:82" ht="15" x14ac:dyDescent="0.2">
      <c r="C349" s="131" t="s">
        <v>709</v>
      </c>
      <c r="D349" s="131"/>
      <c r="E349" s="131"/>
      <c r="F349" s="131"/>
      <c r="G349" s="131"/>
      <c r="H349" s="131"/>
      <c r="I349" s="132">
        <f>IF(E325&lt;&gt;0,K349/E325, 0)</f>
        <v>19756.75</v>
      </c>
      <c r="J349" s="132"/>
      <c r="K349" s="132">
        <f>L327+L329+L336+L347+L348+L330+SUM(L345:L345)</f>
        <v>19756.75</v>
      </c>
      <c r="L349" s="132"/>
      <c r="AD349">
        <f>ROUND((Source!AT93/100)*((ROUND(SUMIF(SmtRes!AQ88:'SmtRes'!AQ98,"=1",SmtRes!AD88:'SmtRes'!AD98)*Source!I93, 2)+ROUND(SUMIF(SmtRes!AQ88:'SmtRes'!AQ98,"=1",SmtRes!AC88:'SmtRes'!AC98)*Source!I93, 2))), 2)</f>
        <v>2602.4499999999998</v>
      </c>
      <c r="AE349">
        <f>ROUND((Source!AU93/100)*((ROUND(SUMIF(SmtRes!AQ88:'SmtRes'!AQ98,"=1",SmtRes!AD88:'SmtRes'!AD98)*Source!I93, 2)+ROUND(SUMIF(SmtRes!AQ88:'SmtRes'!AQ98,"=1",SmtRes!AC88:'SmtRes'!AC98)*Source!I93, 2))), 2)</f>
        <v>1462.53</v>
      </c>
      <c r="AN349" s="61">
        <f>L327+L329+L336+L347+L348+L330</f>
        <v>16135.75</v>
      </c>
      <c r="AO349" s="61">
        <f>L329</f>
        <v>105.60999999999999</v>
      </c>
      <c r="AQ349" t="s">
        <v>710</v>
      </c>
      <c r="AR349" s="61">
        <f>L327</f>
        <v>2872.84</v>
      </c>
      <c r="AT349" s="61">
        <f>L330</f>
        <v>42.3</v>
      </c>
      <c r="AV349" t="s">
        <v>710</v>
      </c>
      <c r="AW349" s="61">
        <f>L336</f>
        <v>8156.34</v>
      </c>
      <c r="AZ349">
        <f>Source!X93</f>
        <v>3174.59</v>
      </c>
      <c r="BA349">
        <f>Source!Y93</f>
        <v>1784.07</v>
      </c>
      <c r="CD349">
        <v>1</v>
      </c>
    </row>
    <row r="350" spans="1:82" ht="28.5" x14ac:dyDescent="0.2">
      <c r="A350" s="46" t="s">
        <v>221</v>
      </c>
      <c r="B350" s="48" t="s">
        <v>766</v>
      </c>
      <c r="C350" s="48" t="str">
        <f>Source!G95</f>
        <v>Демонтаж: манометров</v>
      </c>
      <c r="D350" s="49" t="str">
        <f>Source!H95</f>
        <v>100 ШТ</v>
      </c>
      <c r="E350" s="50">
        <f>Source!K95</f>
        <v>0.32</v>
      </c>
      <c r="F350" s="50"/>
      <c r="G350" s="50">
        <f>Source!I95</f>
        <v>0.32</v>
      </c>
      <c r="H350" s="52"/>
      <c r="I350" s="51"/>
      <c r="J350" s="52"/>
      <c r="K350" s="51"/>
      <c r="L350" s="52"/>
    </row>
    <row r="351" spans="1:82" x14ac:dyDescent="0.2">
      <c r="C351" s="53" t="str">
        <f>"Объем: "&amp;Source!I95&amp;"=32/"&amp;"100"</f>
        <v>Объем: 0,32=32/100</v>
      </c>
    </row>
    <row r="352" spans="1:82" ht="15" x14ac:dyDescent="0.2">
      <c r="A352" s="47"/>
      <c r="B352" s="50">
        <v>1</v>
      </c>
      <c r="C352" s="47" t="s">
        <v>698</v>
      </c>
      <c r="D352" s="49" t="s">
        <v>449</v>
      </c>
      <c r="E352" s="54"/>
      <c r="F352" s="50"/>
      <c r="G352" s="50">
        <f>Source!U95</f>
        <v>0.73919999999999997</v>
      </c>
      <c r="H352" s="50"/>
      <c r="I352" s="50"/>
      <c r="J352" s="50"/>
      <c r="K352" s="50"/>
      <c r="L352" s="55">
        <f>SUM(L353:L353)-SUMIF(CE353:CE353, 1, L353:L353)</f>
        <v>473.99</v>
      </c>
    </row>
    <row r="353" spans="1:101" ht="14.25" x14ac:dyDescent="0.2">
      <c r="A353" s="48"/>
      <c r="B353" s="48" t="s">
        <v>464</v>
      </c>
      <c r="C353" s="56" t="s">
        <v>465</v>
      </c>
      <c r="D353" s="57" t="s">
        <v>449</v>
      </c>
      <c r="E353" s="58">
        <v>2.31</v>
      </c>
      <c r="F353" s="58"/>
      <c r="G353" s="58">
        <f>SmtRes!CX99</f>
        <v>0.73919999999999997</v>
      </c>
      <c r="H353" s="59"/>
      <c r="I353" s="60"/>
      <c r="J353" s="59">
        <f>SmtRes!CZ99</f>
        <v>641.22</v>
      </c>
      <c r="K353" s="60"/>
      <c r="L353" s="59">
        <f>SmtRes!DI99</f>
        <v>473.99</v>
      </c>
    </row>
    <row r="354" spans="1:101" ht="15" x14ac:dyDescent="0.2">
      <c r="A354" s="48"/>
      <c r="B354" s="48"/>
      <c r="C354" s="62" t="s">
        <v>703</v>
      </c>
      <c r="D354" s="49"/>
      <c r="E354" s="50"/>
      <c r="F354" s="50"/>
      <c r="G354" s="50"/>
      <c r="H354" s="52"/>
      <c r="I354" s="51"/>
      <c r="J354" s="52"/>
      <c r="K354" s="51"/>
      <c r="L354" s="52">
        <f>L352</f>
        <v>473.99</v>
      </c>
    </row>
    <row r="355" spans="1:101" ht="14.25" x14ac:dyDescent="0.2">
      <c r="A355" s="48"/>
      <c r="B355" s="48"/>
      <c r="C355" s="48" t="s">
        <v>706</v>
      </c>
      <c r="D355" s="49"/>
      <c r="E355" s="50"/>
      <c r="F355" s="50"/>
      <c r="G355" s="50"/>
      <c r="H355" s="52"/>
      <c r="I355" s="51"/>
      <c r="J355" s="52"/>
      <c r="K355" s="51"/>
      <c r="L355" s="52">
        <f>SUM(AR350:AR358)+SUM(AS350:AS358)+SUM(AT350:AT358)+SUM(AU350:AU358)+SUM(AV350:AV358)</f>
        <v>473.99</v>
      </c>
    </row>
    <row r="356" spans="1:101" ht="28.5" x14ac:dyDescent="0.2">
      <c r="A356" s="48"/>
      <c r="B356" s="48" t="s">
        <v>41</v>
      </c>
      <c r="C356" s="48" t="s">
        <v>714</v>
      </c>
      <c r="D356" s="49" t="s">
        <v>83</v>
      </c>
      <c r="E356" s="50">
        <f>Source!BZ95</f>
        <v>87</v>
      </c>
      <c r="F356" s="50"/>
      <c r="G356" s="50">
        <f>Source!AT95</f>
        <v>87</v>
      </c>
      <c r="H356" s="52"/>
      <c r="I356" s="51"/>
      <c r="J356" s="52"/>
      <c r="K356" s="51"/>
      <c r="L356" s="52">
        <f>SUM(AZ350:AZ358)</f>
        <v>412.37</v>
      </c>
    </row>
    <row r="357" spans="1:101" ht="28.5" x14ac:dyDescent="0.2">
      <c r="A357" s="56"/>
      <c r="B357" s="56" t="s">
        <v>42</v>
      </c>
      <c r="C357" s="56" t="s">
        <v>715</v>
      </c>
      <c r="D357" s="57" t="s">
        <v>83</v>
      </c>
      <c r="E357" s="58">
        <f>Source!CA95</f>
        <v>44</v>
      </c>
      <c r="F357" s="58"/>
      <c r="G357" s="58">
        <f>Source!AU95</f>
        <v>44</v>
      </c>
      <c r="H357" s="59"/>
      <c r="I357" s="60"/>
      <c r="J357" s="59"/>
      <c r="K357" s="60"/>
      <c r="L357" s="59">
        <f>SUM(BA350:BA358)</f>
        <v>208.56</v>
      </c>
    </row>
    <row r="358" spans="1:101" ht="15" x14ac:dyDescent="0.2">
      <c r="C358" s="131" t="s">
        <v>709</v>
      </c>
      <c r="D358" s="131"/>
      <c r="E358" s="131"/>
      <c r="F358" s="131"/>
      <c r="G358" s="131"/>
      <c r="H358" s="131"/>
      <c r="I358" s="132">
        <f>IF(E350&lt;&gt;0,K358/E350, 0)</f>
        <v>3421.625</v>
      </c>
      <c r="J358" s="132"/>
      <c r="K358" s="132">
        <f>L352+L356+L357</f>
        <v>1094.92</v>
      </c>
      <c r="L358" s="132"/>
      <c r="AD358">
        <f>ROUND((Source!AT95/100)*((ROUND(SUMIF(SmtRes!AQ99:'SmtRes'!AQ99,"=1",SmtRes!AD99:'SmtRes'!AD99)*Source!I95, 2)+ROUND(SUMIF(SmtRes!AQ99:'SmtRes'!AQ99,"=1",SmtRes!AC99:'SmtRes'!AC99)*Source!I95, 2))), 2)</f>
        <v>178.52</v>
      </c>
      <c r="AE358">
        <f>ROUND((Source!AU95/100)*((ROUND(SUMIF(SmtRes!AQ99:'SmtRes'!AQ99,"=1",SmtRes!AD99:'SmtRes'!AD99)*Source!I95, 2)+ROUND(SUMIF(SmtRes!AQ99:'SmtRes'!AQ99,"=1",SmtRes!AC99:'SmtRes'!AC99)*Source!I95, 2))), 2)</f>
        <v>90.28</v>
      </c>
      <c r="AN358" s="61">
        <f>L352+L356+L357</f>
        <v>1094.92</v>
      </c>
      <c r="AO358">
        <f>0</f>
        <v>0</v>
      </c>
      <c r="AQ358" t="s">
        <v>710</v>
      </c>
      <c r="AR358" s="61">
        <f>L352</f>
        <v>473.99</v>
      </c>
      <c r="AT358">
        <f>0</f>
        <v>0</v>
      </c>
      <c r="AV358" t="s">
        <v>710</v>
      </c>
      <c r="AW358">
        <f>0</f>
        <v>0</v>
      </c>
      <c r="AZ358">
        <f>Source!X95</f>
        <v>412.37</v>
      </c>
      <c r="BA358">
        <f>Source!Y95</f>
        <v>208.56</v>
      </c>
      <c r="CD358">
        <v>1</v>
      </c>
    </row>
    <row r="359" spans="1:101" ht="28.5" x14ac:dyDescent="0.2">
      <c r="A359" s="46" t="s">
        <v>222</v>
      </c>
      <c r="B359" s="48" t="s">
        <v>767</v>
      </c>
      <c r="C359" s="48" t="str">
        <f>Source!G96</f>
        <v>Установка манометров: с трехходовым краном</v>
      </c>
      <c r="D359" s="49" t="str">
        <f>Source!H96</f>
        <v>КОМПЛ</v>
      </c>
      <c r="E359" s="50">
        <f>Source!K96</f>
        <v>32</v>
      </c>
      <c r="F359" s="50"/>
      <c r="G359" s="50">
        <f>Source!I96</f>
        <v>32</v>
      </c>
      <c r="H359" s="52"/>
      <c r="I359" s="51"/>
      <c r="J359" s="52"/>
      <c r="K359" s="51"/>
      <c r="L359" s="52"/>
    </row>
    <row r="360" spans="1:101" ht="51" x14ac:dyDescent="0.2">
      <c r="B360" s="64" t="s">
        <v>644</v>
      </c>
      <c r="C360" s="130" t="s">
        <v>717</v>
      </c>
      <c r="D360" s="130"/>
      <c r="E360" s="130"/>
      <c r="F360" s="130"/>
      <c r="G360" s="130"/>
      <c r="H360" s="130"/>
      <c r="I360" s="130"/>
      <c r="J360" s="130"/>
      <c r="K360" s="130"/>
      <c r="L360" s="130"/>
      <c r="CW360" s="65" t="s">
        <v>717</v>
      </c>
    </row>
    <row r="361" spans="1:101" ht="15" x14ac:dyDescent="0.2">
      <c r="A361" s="47"/>
      <c r="B361" s="50">
        <v>1</v>
      </c>
      <c r="C361" s="47" t="s">
        <v>698</v>
      </c>
      <c r="D361" s="49" t="s">
        <v>449</v>
      </c>
      <c r="E361" s="54"/>
      <c r="F361" s="50"/>
      <c r="G361" s="50">
        <f>Source!U96</f>
        <v>8.0960000000000001</v>
      </c>
      <c r="H361" s="50"/>
      <c r="I361" s="50"/>
      <c r="J361" s="50"/>
      <c r="K361" s="50"/>
      <c r="L361" s="55">
        <f>SUM(L362:L362)-SUMIF(CE362:CE362, 1, L362:L362)</f>
        <v>6020.19</v>
      </c>
    </row>
    <row r="362" spans="1:101" ht="14.25" x14ac:dyDescent="0.2">
      <c r="A362" s="48"/>
      <c r="B362" s="48" t="s">
        <v>525</v>
      </c>
      <c r="C362" s="48" t="s">
        <v>526</v>
      </c>
      <c r="D362" s="49" t="s">
        <v>449</v>
      </c>
      <c r="E362" s="50">
        <v>0.22</v>
      </c>
      <c r="F362" s="50">
        <f>ROUND(1.15,7)</f>
        <v>1.1499999999999999</v>
      </c>
      <c r="G362" s="50">
        <f>SmtRes!CX100</f>
        <v>8.0960000000000001</v>
      </c>
      <c r="H362" s="52"/>
      <c r="I362" s="51"/>
      <c r="J362" s="52">
        <f>SmtRes!CZ100</f>
        <v>743.6</v>
      </c>
      <c r="K362" s="51"/>
      <c r="L362" s="52">
        <f>SmtRes!DI100</f>
        <v>6020.19</v>
      </c>
    </row>
    <row r="363" spans="1:101" ht="15" x14ac:dyDescent="0.2">
      <c r="A363" s="47"/>
      <c r="B363" s="50">
        <v>4</v>
      </c>
      <c r="C363" s="47" t="s">
        <v>702</v>
      </c>
      <c r="D363" s="49"/>
      <c r="E363" s="54"/>
      <c r="F363" s="50"/>
      <c r="G363" s="50"/>
      <c r="H363" s="50"/>
      <c r="I363" s="50"/>
      <c r="J363" s="50"/>
      <c r="K363" s="50"/>
      <c r="L363" s="55">
        <f>SUM(L364:L366)-SUMIF(CE364:CE366, 1, L364:L366)</f>
        <v>149.53</v>
      </c>
    </row>
    <row r="364" spans="1:101" ht="14.25" x14ac:dyDescent="0.2">
      <c r="A364" s="48"/>
      <c r="B364" s="48" t="s">
        <v>508</v>
      </c>
      <c r="C364" s="48" t="s">
        <v>510</v>
      </c>
      <c r="D364" s="49" t="s">
        <v>295</v>
      </c>
      <c r="E364" s="50">
        <v>0.01</v>
      </c>
      <c r="F364" s="50"/>
      <c r="G364" s="50">
        <f>SmtRes!CX101</f>
        <v>0.32</v>
      </c>
      <c r="H364" s="52">
        <f>SmtRes!CZ101</f>
        <v>128.4</v>
      </c>
      <c r="I364" s="51">
        <f>SmtRes!AI101</f>
        <v>1.33</v>
      </c>
      <c r="J364" s="52">
        <f>ROUND(H364*I364, 2)</f>
        <v>170.77</v>
      </c>
      <c r="K364" s="51"/>
      <c r="L364" s="52">
        <f>SmtRes!DF101</f>
        <v>54.65</v>
      </c>
    </row>
    <row r="365" spans="1:101" ht="28.5" x14ac:dyDescent="0.2">
      <c r="A365" s="48"/>
      <c r="B365" s="48" t="s">
        <v>511</v>
      </c>
      <c r="C365" s="48" t="s">
        <v>513</v>
      </c>
      <c r="D365" s="49" t="s">
        <v>295</v>
      </c>
      <c r="E365" s="50">
        <v>0.02</v>
      </c>
      <c r="F365" s="50"/>
      <c r="G365" s="50">
        <f>SmtRes!CX102</f>
        <v>0.64</v>
      </c>
      <c r="H365" s="52">
        <f>SmtRes!CZ102</f>
        <v>79.88</v>
      </c>
      <c r="I365" s="51">
        <f>SmtRes!AI102</f>
        <v>1.4</v>
      </c>
      <c r="J365" s="52">
        <f>ROUND(H365*I365, 2)</f>
        <v>111.83</v>
      </c>
      <c r="K365" s="51"/>
      <c r="L365" s="52">
        <f>SmtRes!DF102</f>
        <v>71.569999999999993</v>
      </c>
    </row>
    <row r="366" spans="1:101" ht="57" x14ac:dyDescent="0.2">
      <c r="A366" s="48"/>
      <c r="B366" s="48" t="s">
        <v>514</v>
      </c>
      <c r="C366" s="56" t="s">
        <v>516</v>
      </c>
      <c r="D366" s="57" t="s">
        <v>35</v>
      </c>
      <c r="E366" s="58">
        <v>1.0000000000000001E-5</v>
      </c>
      <c r="F366" s="58"/>
      <c r="G366" s="58">
        <f>SmtRes!CX103</f>
        <v>3.2000000000000003E-4</v>
      </c>
      <c r="H366" s="59">
        <f>SmtRes!CZ103</f>
        <v>60697.21</v>
      </c>
      <c r="I366" s="60">
        <f>SmtRes!AI103</f>
        <v>1.2</v>
      </c>
      <c r="J366" s="59">
        <f>ROUND(H366*I366, 2)</f>
        <v>72836.649999999994</v>
      </c>
      <c r="K366" s="60"/>
      <c r="L366" s="59">
        <f>SmtRes!DF103</f>
        <v>23.31</v>
      </c>
    </row>
    <row r="367" spans="1:101" ht="15" x14ac:dyDescent="0.2">
      <c r="A367" s="48"/>
      <c r="B367" s="48"/>
      <c r="C367" s="62" t="s">
        <v>703</v>
      </c>
      <c r="D367" s="49"/>
      <c r="E367" s="50"/>
      <c r="F367" s="50"/>
      <c r="G367" s="50"/>
      <c r="H367" s="52"/>
      <c r="I367" s="51"/>
      <c r="J367" s="52"/>
      <c r="K367" s="51"/>
      <c r="L367" s="52">
        <f>L361+L363</f>
        <v>6169.7199999999993</v>
      </c>
    </row>
    <row r="368" spans="1:101" ht="57" x14ac:dyDescent="0.2">
      <c r="A368" s="70" t="s">
        <v>780</v>
      </c>
      <c r="B368" s="71" t="str">
        <f>Source!F97</f>
        <v>63.4.01.02-0020</v>
      </c>
      <c r="C368" s="71" t="s">
        <v>769</v>
      </c>
      <c r="D368" s="72" t="str">
        <f>Source!H97</f>
        <v>ШТ</v>
      </c>
      <c r="E368" s="73">
        <f>SmtRes!AT104</f>
        <v>1</v>
      </c>
      <c r="F368" s="73"/>
      <c r="G368" s="73">
        <f>Source!I97</f>
        <v>32</v>
      </c>
      <c r="H368" s="75">
        <f>Source!AL97+Source!AO97+Source!AM97+Source!AN97</f>
        <v>624.23</v>
      </c>
      <c r="I368" s="74">
        <f>IF(Source!BC97&lt;&gt; 0, Source!BC97, 1)</f>
        <v>1</v>
      </c>
      <c r="J368" s="75">
        <f>ROUND(H368*I368, 2)</f>
        <v>624.23</v>
      </c>
      <c r="K368" s="74"/>
      <c r="L368" s="75">
        <f>Source!P97</f>
        <v>19975.36</v>
      </c>
      <c r="AD368">
        <f>ROUND((Source!AT97/100)*((ROUND(ROUND(Source!AO97,2)*Source!I97, 2)+ROUND(ROUND(Source!AN97,2)*Source!I97, 2))), 2)</f>
        <v>0</v>
      </c>
      <c r="AE368">
        <f>ROUND((Source!AU97/100)*((ROUND(ROUND(Source!AO97,2)*Source!I97, 2)+ROUND(ROUND(Source!AN97,2)*Source!I97, 2))), 2)</f>
        <v>0</v>
      </c>
      <c r="AN368">
        <f>L368</f>
        <v>19975.36</v>
      </c>
      <c r="AW368">
        <f>L368</f>
        <v>19975.36</v>
      </c>
      <c r="AZ368">
        <f>Source!X97</f>
        <v>0</v>
      </c>
      <c r="BA368">
        <f>Source!Y97</f>
        <v>0</v>
      </c>
      <c r="BK368">
        <f>L368</f>
        <v>19975.36</v>
      </c>
      <c r="CD368">
        <v>3</v>
      </c>
    </row>
    <row r="369" spans="1:83" ht="14.25" x14ac:dyDescent="0.2">
      <c r="A369" s="48"/>
      <c r="B369" s="48"/>
      <c r="C369" s="48" t="s">
        <v>706</v>
      </c>
      <c r="D369" s="49"/>
      <c r="E369" s="50"/>
      <c r="F369" s="50"/>
      <c r="G369" s="50"/>
      <c r="H369" s="52"/>
      <c r="I369" s="51"/>
      <c r="J369" s="52"/>
      <c r="K369" s="51"/>
      <c r="L369" s="52">
        <f>SUM(AR359:AR372)+SUM(AS359:AS372)+SUM(AT359:AT372)+SUM(AU359:AU372)+SUM(AV359:AV372)</f>
        <v>6020.19</v>
      </c>
    </row>
    <row r="370" spans="1:83" ht="71.25" x14ac:dyDescent="0.2">
      <c r="A370" s="48"/>
      <c r="B370" s="48" t="s">
        <v>721</v>
      </c>
      <c r="C370" s="48" t="s">
        <v>722</v>
      </c>
      <c r="D370" s="49" t="s">
        <v>83</v>
      </c>
      <c r="E370" s="50">
        <f>Source!BZ96</f>
        <v>121</v>
      </c>
      <c r="F370" s="50">
        <f>ROUND(0.9,7)</f>
        <v>0.9</v>
      </c>
      <c r="G370" s="50">
        <f>Source!AT96</f>
        <v>108.9</v>
      </c>
      <c r="H370" s="52"/>
      <c r="I370" s="51"/>
      <c r="J370" s="52"/>
      <c r="K370" s="51"/>
      <c r="L370" s="52">
        <f>SUM(AZ359:AZ372)</f>
        <v>6555.99</v>
      </c>
    </row>
    <row r="371" spans="1:83" ht="71.25" x14ac:dyDescent="0.2">
      <c r="A371" s="56"/>
      <c r="B371" s="56" t="s">
        <v>723</v>
      </c>
      <c r="C371" s="56" t="s">
        <v>724</v>
      </c>
      <c r="D371" s="57" t="s">
        <v>83</v>
      </c>
      <c r="E371" s="58">
        <f>Source!CA96</f>
        <v>72</v>
      </c>
      <c r="F371" s="58">
        <f>ROUND(0.85,7)</f>
        <v>0.85</v>
      </c>
      <c r="G371" s="58">
        <f>Source!AU96</f>
        <v>61.2</v>
      </c>
      <c r="H371" s="59"/>
      <c r="I371" s="60"/>
      <c r="J371" s="59"/>
      <c r="K371" s="60"/>
      <c r="L371" s="59">
        <f>SUM(BA359:BA372)</f>
        <v>3684.36</v>
      </c>
    </row>
    <row r="372" spans="1:83" ht="15" x14ac:dyDescent="0.2">
      <c r="C372" s="131" t="s">
        <v>709</v>
      </c>
      <c r="D372" s="131"/>
      <c r="E372" s="131"/>
      <c r="F372" s="131"/>
      <c r="G372" s="131"/>
      <c r="H372" s="131"/>
      <c r="I372" s="132">
        <f>IF(E359&lt;&gt;0,K372/E359, 0)</f>
        <v>1137.0446875</v>
      </c>
      <c r="J372" s="132"/>
      <c r="K372" s="132">
        <f>L361+L363+L370+L371+SUM(L368:L368)</f>
        <v>36385.43</v>
      </c>
      <c r="L372" s="132"/>
      <c r="AD372">
        <f>ROUND((Source!AT96/100)*((ROUND(SUMIF(SmtRes!AQ100:'SmtRes'!AQ104,"=1",SmtRes!AD100:'SmtRes'!AD104)*Source!I96, 2)+ROUND(SUMIF(SmtRes!AQ100:'SmtRes'!AQ104,"=1",SmtRes!AC100:'SmtRes'!AC104)*Source!I96, 2))), 2)</f>
        <v>25912.97</v>
      </c>
      <c r="AE372">
        <f>ROUND((Source!AU96/100)*((ROUND(SUMIF(SmtRes!AQ100:'SmtRes'!AQ104,"=1",SmtRes!AD100:'SmtRes'!AD104)*Source!I96, 2)+ROUND(SUMIF(SmtRes!AQ100:'SmtRes'!AQ104,"=1",SmtRes!AC100:'SmtRes'!AC104)*Source!I96, 2))), 2)</f>
        <v>14562.66</v>
      </c>
      <c r="AN372" s="61">
        <f>L361+L363+L370+L371</f>
        <v>16410.07</v>
      </c>
      <c r="AO372">
        <f>0</f>
        <v>0</v>
      </c>
      <c r="AQ372" t="s">
        <v>710</v>
      </c>
      <c r="AR372" s="61">
        <f>L361</f>
        <v>6020.19</v>
      </c>
      <c r="AT372">
        <f>0</f>
        <v>0</v>
      </c>
      <c r="AV372" t="s">
        <v>710</v>
      </c>
      <c r="AW372" s="61">
        <f>L363</f>
        <v>149.53</v>
      </c>
      <c r="AZ372">
        <f>Source!X96</f>
        <v>6555.99</v>
      </c>
      <c r="BA372">
        <f>Source!Y96</f>
        <v>3684.36</v>
      </c>
      <c r="CD372">
        <v>1</v>
      </c>
    </row>
    <row r="373" spans="1:83" ht="42.75" x14ac:dyDescent="0.2">
      <c r="A373" s="46" t="s">
        <v>224</v>
      </c>
      <c r="B373" s="48" t="s">
        <v>781</v>
      </c>
      <c r="C373" s="48" t="str">
        <f>Source!G98</f>
        <v>Смена вентилей и клапанов обратных муфтовых диаметром: свыше 32 до 50 мм</v>
      </c>
      <c r="D373" s="49" t="str">
        <f>Source!H98</f>
        <v>100 ШТ</v>
      </c>
      <c r="E373" s="50">
        <f>Source!K98</f>
        <v>0.03</v>
      </c>
      <c r="F373" s="50"/>
      <c r="G373" s="50">
        <f>Source!I98</f>
        <v>0.03</v>
      </c>
      <c r="H373" s="52"/>
      <c r="I373" s="51"/>
      <c r="J373" s="52"/>
      <c r="K373" s="51"/>
      <c r="L373" s="52"/>
    </row>
    <row r="374" spans="1:83" x14ac:dyDescent="0.2">
      <c r="C374" s="53" t="str">
        <f>"Объем: "&amp;Source!I98&amp;"=3/"&amp;"100"</f>
        <v>Объем: 0,03=3/100</v>
      </c>
    </row>
    <row r="375" spans="1:83" ht="15" x14ac:dyDescent="0.2">
      <c r="A375" s="47"/>
      <c r="B375" s="50">
        <v>1</v>
      </c>
      <c r="C375" s="47" t="s">
        <v>698</v>
      </c>
      <c r="D375" s="49" t="s">
        <v>449</v>
      </c>
      <c r="E375" s="54"/>
      <c r="F375" s="50"/>
      <c r="G375" s="50">
        <f>Source!U98</f>
        <v>3.99</v>
      </c>
      <c r="H375" s="50"/>
      <c r="I375" s="50"/>
      <c r="J375" s="50"/>
      <c r="K375" s="50"/>
      <c r="L375" s="55">
        <f>SUM(L376:L376)-SUMIF(CE376:CE376, 1, L376:L376)</f>
        <v>2719.7</v>
      </c>
    </row>
    <row r="376" spans="1:83" ht="14.25" x14ac:dyDescent="0.2">
      <c r="A376" s="48"/>
      <c r="B376" s="48" t="s">
        <v>447</v>
      </c>
      <c r="C376" s="48" t="s">
        <v>448</v>
      </c>
      <c r="D376" s="49" t="s">
        <v>449</v>
      </c>
      <c r="E376" s="50">
        <v>133</v>
      </c>
      <c r="F376" s="50"/>
      <c r="G376" s="50">
        <f>SmtRes!CX105</f>
        <v>3.99</v>
      </c>
      <c r="H376" s="52"/>
      <c r="I376" s="51"/>
      <c r="J376" s="52">
        <f>SmtRes!CZ105</f>
        <v>681.63</v>
      </c>
      <c r="K376" s="51"/>
      <c r="L376" s="52">
        <f>SmtRes!DI105</f>
        <v>2719.7</v>
      </c>
    </row>
    <row r="377" spans="1:83" ht="15" x14ac:dyDescent="0.2">
      <c r="A377" s="47"/>
      <c r="B377" s="50">
        <v>2</v>
      </c>
      <c r="C377" s="47" t="s">
        <v>699</v>
      </c>
      <c r="D377" s="49"/>
      <c r="E377" s="54"/>
      <c r="F377" s="50"/>
      <c r="G377" s="50"/>
      <c r="H377" s="50"/>
      <c r="I377" s="50"/>
      <c r="J377" s="50"/>
      <c r="K377" s="50"/>
      <c r="L377" s="55">
        <f>SUM(L378:L380)-SUMIF(CE378:CE380, 1, L378:L380)</f>
        <v>5.0199999999999978</v>
      </c>
    </row>
    <row r="378" spans="1:83" ht="15" x14ac:dyDescent="0.2">
      <c r="A378" s="47"/>
      <c r="B378" s="50"/>
      <c r="C378" s="47" t="s">
        <v>701</v>
      </c>
      <c r="D378" s="49" t="s">
        <v>449</v>
      </c>
      <c r="E378" s="54"/>
      <c r="F378" s="50"/>
      <c r="G378" s="50">
        <f>Source!V98</f>
        <v>7.7999999999999996E-3</v>
      </c>
      <c r="H378" s="50"/>
      <c r="I378" s="50"/>
      <c r="J378" s="50"/>
      <c r="K378" s="50"/>
      <c r="L378" s="55">
        <f>SUMIF(CE379:CE380, 1, L379:L380)</f>
        <v>5.63</v>
      </c>
      <c r="CE378">
        <v>1</v>
      </c>
    </row>
    <row r="379" spans="1:83" ht="28.5" x14ac:dyDescent="0.2">
      <c r="A379" s="48"/>
      <c r="B379" s="48" t="s">
        <v>452</v>
      </c>
      <c r="C379" s="48" t="s">
        <v>454</v>
      </c>
      <c r="D379" s="49" t="s">
        <v>455</v>
      </c>
      <c r="E379" s="50">
        <v>0.26</v>
      </c>
      <c r="F379" s="50"/>
      <c r="G379" s="50">
        <f>SmtRes!CX107</f>
        <v>7.7999999999999996E-3</v>
      </c>
      <c r="H379" s="52"/>
      <c r="I379" s="51"/>
      <c r="J379" s="52">
        <f>SmtRes!CZ107</f>
        <v>643.29</v>
      </c>
      <c r="K379" s="51"/>
      <c r="L379" s="52">
        <f>SmtRes!DG107</f>
        <v>5.0199999999999996</v>
      </c>
    </row>
    <row r="380" spans="1:83" ht="28.5" x14ac:dyDescent="0.2">
      <c r="A380" s="48"/>
      <c r="B380" s="48" t="s">
        <v>456</v>
      </c>
      <c r="C380" s="48" t="s">
        <v>700</v>
      </c>
      <c r="D380" s="49" t="s">
        <v>449</v>
      </c>
      <c r="E380" s="50">
        <f>SmtRes!DO107*SmtRes!AT107</f>
        <v>0.26</v>
      </c>
      <c r="F380" s="50"/>
      <c r="G380" s="50">
        <f>ROUND(E380*G373, 7)</f>
        <v>7.7999999999999996E-3</v>
      </c>
      <c r="H380" s="52"/>
      <c r="I380" s="51"/>
      <c r="J380" s="52">
        <f>ROUND(SmtRes!AG107/SmtRes!DO107, 2)</f>
        <v>722.05</v>
      </c>
      <c r="K380" s="51"/>
      <c r="L380" s="52">
        <f>SmtRes!DH107</f>
        <v>5.63</v>
      </c>
      <c r="CE380">
        <v>1</v>
      </c>
    </row>
    <row r="381" spans="1:83" ht="15" x14ac:dyDescent="0.2">
      <c r="A381" s="47"/>
      <c r="B381" s="50">
        <v>4</v>
      </c>
      <c r="C381" s="47" t="s">
        <v>702</v>
      </c>
      <c r="D381" s="49"/>
      <c r="E381" s="54"/>
      <c r="F381" s="50"/>
      <c r="G381" s="50"/>
      <c r="H381" s="50"/>
      <c r="I381" s="50"/>
      <c r="J381" s="50"/>
      <c r="K381" s="50"/>
      <c r="L381" s="55">
        <f>SUM(L382:L384)-SUMIF(CE382:CE384, 1, L382:L384)</f>
        <v>25.77</v>
      </c>
    </row>
    <row r="382" spans="1:83" ht="14.25" x14ac:dyDescent="0.2">
      <c r="A382" s="48"/>
      <c r="B382" s="48" t="s">
        <v>508</v>
      </c>
      <c r="C382" s="48" t="s">
        <v>510</v>
      </c>
      <c r="D382" s="49" t="s">
        <v>295</v>
      </c>
      <c r="E382" s="50">
        <v>1.84</v>
      </c>
      <c r="F382" s="50"/>
      <c r="G382" s="50">
        <f>SmtRes!CX108</f>
        <v>5.5199999999999999E-2</v>
      </c>
      <c r="H382" s="52">
        <f>SmtRes!CZ108</f>
        <v>128.4</v>
      </c>
      <c r="I382" s="51">
        <f>SmtRes!AI108</f>
        <v>1.33</v>
      </c>
      <c r="J382" s="52">
        <f>ROUND(H382*I382, 2)</f>
        <v>170.77</v>
      </c>
      <c r="K382" s="51"/>
      <c r="L382" s="52">
        <f>SmtRes!DF108</f>
        <v>9.43</v>
      </c>
    </row>
    <row r="383" spans="1:83" ht="28.5" x14ac:dyDescent="0.2">
      <c r="A383" s="48"/>
      <c r="B383" s="48" t="s">
        <v>511</v>
      </c>
      <c r="C383" s="48" t="s">
        <v>513</v>
      </c>
      <c r="D383" s="49" t="s">
        <v>295</v>
      </c>
      <c r="E383" s="50">
        <v>3.7</v>
      </c>
      <c r="F383" s="50"/>
      <c r="G383" s="50">
        <f>SmtRes!CX109</f>
        <v>0.111</v>
      </c>
      <c r="H383" s="52">
        <f>SmtRes!CZ109</f>
        <v>79.88</v>
      </c>
      <c r="I383" s="51">
        <f>SmtRes!AI109</f>
        <v>1.4</v>
      </c>
      <c r="J383" s="52">
        <f>ROUND(H383*I383, 2)</f>
        <v>111.83</v>
      </c>
      <c r="K383" s="51"/>
      <c r="L383" s="52">
        <f>SmtRes!DF109</f>
        <v>12.41</v>
      </c>
    </row>
    <row r="384" spans="1:83" ht="57" x14ac:dyDescent="0.2">
      <c r="A384" s="48"/>
      <c r="B384" s="48" t="s">
        <v>514</v>
      </c>
      <c r="C384" s="48" t="s">
        <v>516</v>
      </c>
      <c r="D384" s="49" t="s">
        <v>35</v>
      </c>
      <c r="E384" s="50">
        <v>1.8E-3</v>
      </c>
      <c r="F384" s="50"/>
      <c r="G384" s="50">
        <f>SmtRes!CX110</f>
        <v>5.3999999999999998E-5</v>
      </c>
      <c r="H384" s="52">
        <f>SmtRes!CZ110</f>
        <v>60697.21</v>
      </c>
      <c r="I384" s="51">
        <f>SmtRes!AI110</f>
        <v>1.2</v>
      </c>
      <c r="J384" s="52">
        <f>ROUND(H384*I384, 2)</f>
        <v>72836.649999999994</v>
      </c>
      <c r="K384" s="51"/>
      <c r="L384" s="52">
        <f>SmtRes!DF110</f>
        <v>3.93</v>
      </c>
    </row>
    <row r="385" spans="1:82" ht="14.25" x14ac:dyDescent="0.2">
      <c r="A385" s="48"/>
      <c r="B385" s="48" t="str">
        <f>EtalonRes!I106</f>
        <v>18.1.10.01</v>
      </c>
      <c r="C385" s="56" t="str">
        <f>EtalonRes!K106</f>
        <v>Арматура муфтовая</v>
      </c>
      <c r="D385" s="57" t="str">
        <f>EtalonRes!O106</f>
        <v>ШТ</v>
      </c>
      <c r="E385" s="58">
        <f>EtalonRes!X106</f>
        <v>100</v>
      </c>
      <c r="F385" s="58"/>
      <c r="G385" s="58">
        <f>ROUND(EtalonRes!AG106*Source!I98, 7)</f>
        <v>3</v>
      </c>
      <c r="H385" s="59"/>
      <c r="I385" s="60"/>
      <c r="J385" s="59"/>
      <c r="K385" s="60"/>
      <c r="L385" s="59"/>
    </row>
    <row r="386" spans="1:82" ht="15" x14ac:dyDescent="0.2">
      <c r="A386" s="48"/>
      <c r="B386" s="48"/>
      <c r="C386" s="62" t="s">
        <v>703</v>
      </c>
      <c r="D386" s="49"/>
      <c r="E386" s="50"/>
      <c r="F386" s="50"/>
      <c r="G386" s="50"/>
      <c r="H386" s="52"/>
      <c r="I386" s="51"/>
      <c r="J386" s="52"/>
      <c r="K386" s="51"/>
      <c r="L386" s="52">
        <f>L375+L377+L378+L381</f>
        <v>2756.12</v>
      </c>
    </row>
    <row r="387" spans="1:82" ht="71.25" x14ac:dyDescent="0.2">
      <c r="A387" s="46" t="s">
        <v>782</v>
      </c>
      <c r="B387" s="48" t="str">
        <f>Source!F99</f>
        <v>18.1.04.01-0010</v>
      </c>
      <c r="C387" s="48" t="str">
        <f>Source!G99</f>
        <v>Клапан обратный канализационный ПВХ с запирающим устройством для внутренней и наружной канализации под раструб с резиновым кольцом, диаметр 50 мм</v>
      </c>
      <c r="D387" s="49" t="str">
        <f>Source!H99</f>
        <v>ШТ</v>
      </c>
      <c r="E387" s="50">
        <f>SmtRes!AT111</f>
        <v>100</v>
      </c>
      <c r="F387" s="50"/>
      <c r="G387" s="50">
        <f>Source!I99</f>
        <v>3</v>
      </c>
      <c r="H387" s="52">
        <f>Source!AL99+Source!AO99+Source!AM99+Source!AN99</f>
        <v>1360.23</v>
      </c>
      <c r="I387" s="51">
        <f>IF(Source!BC99&lt;&gt; 0, Source!BC99, 1)</f>
        <v>1.06</v>
      </c>
      <c r="J387" s="52">
        <f>ROUND(H387*I387, 2)</f>
        <v>1441.84</v>
      </c>
      <c r="K387" s="51"/>
      <c r="L387" s="52">
        <f>Source!P99</f>
        <v>4325.5200000000004</v>
      </c>
      <c r="AD387">
        <f>ROUND((Source!AT99/100)*((ROUND(ROUND(Source!AO99,2)*Source!I99, 2)+ROUND(ROUND(Source!AN99,2)*Source!I99, 2))), 2)</f>
        <v>0</v>
      </c>
      <c r="AE387">
        <f>ROUND((Source!AU99/100)*((ROUND(ROUND(Source!AO99,2)*Source!I99, 2)+ROUND(ROUND(Source!AN99,2)*Source!I99, 2))), 2)</f>
        <v>0</v>
      </c>
      <c r="AN387">
        <f>L387</f>
        <v>4325.5200000000004</v>
      </c>
      <c r="AW387">
        <f>L387</f>
        <v>4325.5200000000004</v>
      </c>
      <c r="AZ387">
        <f>Source!X99</f>
        <v>0</v>
      </c>
      <c r="BA387">
        <f>Source!Y99</f>
        <v>0</v>
      </c>
      <c r="CD387">
        <v>1</v>
      </c>
    </row>
    <row r="388" spans="1:82" ht="28.5" x14ac:dyDescent="0.2">
      <c r="A388" s="46" t="s">
        <v>783</v>
      </c>
      <c r="B388" s="48" t="str">
        <f>Source!F100</f>
        <v>999-9899</v>
      </c>
      <c r="C388" s="48" t="str">
        <f>Source!G100</f>
        <v>Строительный мусор и масса возвратных материалов</v>
      </c>
      <c r="D388" s="49" t="str">
        <f>Source!H100</f>
        <v>т</v>
      </c>
      <c r="E388" s="50">
        <f>SmtRes!AT112</f>
        <v>0.24</v>
      </c>
      <c r="F388" s="50"/>
      <c r="G388" s="50">
        <f>Source!I100</f>
        <v>7.1999999999999998E-3</v>
      </c>
      <c r="H388" s="52">
        <f>Source!AL100+Source!AO100+Source!AM100+Source!AN100</f>
        <v>0</v>
      </c>
      <c r="I388" s="51"/>
      <c r="J388" s="52"/>
      <c r="K388" s="51"/>
      <c r="L388" s="52">
        <f>Source!P100</f>
        <v>0</v>
      </c>
      <c r="AD388">
        <f>ROUND((Source!AT100/100)*((ROUND(ROUND(Source!AO100,2)*Source!I100, 2)+ROUND(ROUND(Source!AN100,2)*Source!I100, 2))), 2)</f>
        <v>0</v>
      </c>
      <c r="AE388">
        <f>ROUND((Source!AU100/100)*((ROUND(ROUND(Source!AO100,2)*Source!I100, 2)+ROUND(ROUND(Source!AN100,2)*Source!I100, 2))), 2)</f>
        <v>0</v>
      </c>
      <c r="AN388">
        <f>L388</f>
        <v>0</v>
      </c>
      <c r="AW388">
        <f>L388</f>
        <v>0</v>
      </c>
      <c r="AZ388">
        <f>Source!X100</f>
        <v>0</v>
      </c>
      <c r="BA388">
        <f>Source!Y100</f>
        <v>0</v>
      </c>
      <c r="CD388">
        <v>1</v>
      </c>
    </row>
    <row r="389" spans="1:82" ht="14.25" x14ac:dyDescent="0.2">
      <c r="A389" s="48"/>
      <c r="B389" s="48"/>
      <c r="C389" s="48" t="s">
        <v>706</v>
      </c>
      <c r="D389" s="49"/>
      <c r="E389" s="50"/>
      <c r="F389" s="50"/>
      <c r="G389" s="50"/>
      <c r="H389" s="52"/>
      <c r="I389" s="51"/>
      <c r="J389" s="52"/>
      <c r="K389" s="51"/>
      <c r="L389" s="52">
        <f>SUM(AR373:AR392)+SUM(AS373:AS392)+SUM(AT373:AT392)+SUM(AU373:AU392)+SUM(AV373:AV392)</f>
        <v>2725.33</v>
      </c>
    </row>
    <row r="390" spans="1:82" ht="42.75" x14ac:dyDescent="0.2">
      <c r="A390" s="48"/>
      <c r="B390" s="48" t="s">
        <v>25</v>
      </c>
      <c r="C390" s="48" t="s">
        <v>707</v>
      </c>
      <c r="D390" s="49" t="s">
        <v>83</v>
      </c>
      <c r="E390" s="50">
        <f>Source!BZ98</f>
        <v>103</v>
      </c>
      <c r="F390" s="50"/>
      <c r="G390" s="50">
        <f>Source!AT98</f>
        <v>103</v>
      </c>
      <c r="H390" s="52"/>
      <c r="I390" s="51"/>
      <c r="J390" s="52"/>
      <c r="K390" s="51"/>
      <c r="L390" s="52">
        <f>SUM(AZ373:AZ392)</f>
        <v>2807.09</v>
      </c>
    </row>
    <row r="391" spans="1:82" ht="42.75" x14ac:dyDescent="0.2">
      <c r="A391" s="56"/>
      <c r="B391" s="56" t="s">
        <v>26</v>
      </c>
      <c r="C391" s="56" t="s">
        <v>708</v>
      </c>
      <c r="D391" s="57" t="s">
        <v>83</v>
      </c>
      <c r="E391" s="58">
        <f>Source!CA98</f>
        <v>52</v>
      </c>
      <c r="F391" s="58"/>
      <c r="G391" s="58">
        <f>Source!AU98</f>
        <v>52</v>
      </c>
      <c r="H391" s="59"/>
      <c r="I391" s="60"/>
      <c r="J391" s="59"/>
      <c r="K391" s="60"/>
      <c r="L391" s="59">
        <f>SUM(BA373:BA392)</f>
        <v>1417.17</v>
      </c>
    </row>
    <row r="392" spans="1:82" ht="15" x14ac:dyDescent="0.2">
      <c r="C392" s="131" t="s">
        <v>709</v>
      </c>
      <c r="D392" s="131"/>
      <c r="E392" s="131"/>
      <c r="F392" s="131"/>
      <c r="G392" s="131"/>
      <c r="H392" s="131"/>
      <c r="I392" s="132">
        <f>IF(E373&lt;&gt;0,K392/E373, 0)</f>
        <v>376863.33333333337</v>
      </c>
      <c r="J392" s="132"/>
      <c r="K392" s="132">
        <f>L375+L377+L381+L390+L391+L378+SUM(L387:L388)</f>
        <v>11305.900000000001</v>
      </c>
      <c r="L392" s="132"/>
      <c r="AD392">
        <f>ROUND((Source!AT98/100)*((ROUND(SUMIF(SmtRes!AQ105:'SmtRes'!AQ112,"=1",SmtRes!AD105:'SmtRes'!AD112)*Source!I98, 2)+ROUND(SUMIF(SmtRes!AQ105:'SmtRes'!AQ112,"=1",SmtRes!AC105:'SmtRes'!AC112)*Source!I98, 2))), 2)</f>
        <v>43.37</v>
      </c>
      <c r="AE392">
        <f>ROUND((Source!AU98/100)*((ROUND(SUMIF(SmtRes!AQ105:'SmtRes'!AQ112,"=1",SmtRes!AD105:'SmtRes'!AD112)*Source!I98, 2)+ROUND(SUMIF(SmtRes!AQ105:'SmtRes'!AQ112,"=1",SmtRes!AC105:'SmtRes'!AC112)*Source!I98, 2))), 2)</f>
        <v>21.9</v>
      </c>
      <c r="AN392" s="61">
        <f>L375+L377+L381+L390+L391+L378</f>
        <v>6980.38</v>
      </c>
      <c r="AO392" s="61">
        <f>L377</f>
        <v>5.0199999999999978</v>
      </c>
      <c r="AQ392" t="s">
        <v>710</v>
      </c>
      <c r="AR392" s="61">
        <f>L375</f>
        <v>2719.7</v>
      </c>
      <c r="AT392" s="61">
        <f>L378</f>
        <v>5.63</v>
      </c>
      <c r="AV392" t="s">
        <v>710</v>
      </c>
      <c r="AW392" s="61">
        <f>L381</f>
        <v>25.77</v>
      </c>
      <c r="AZ392">
        <f>Source!X98</f>
        <v>2807.09</v>
      </c>
      <c r="BA392">
        <f>Source!Y98</f>
        <v>1417.17</v>
      </c>
      <c r="CD392">
        <v>1</v>
      </c>
    </row>
    <row r="394" spans="1:82" ht="15" x14ac:dyDescent="0.2">
      <c r="A394" s="67"/>
      <c r="B394" s="68"/>
      <c r="C394" s="134" t="s">
        <v>733</v>
      </c>
      <c r="D394" s="134"/>
      <c r="E394" s="134"/>
      <c r="F394" s="134"/>
      <c r="G394" s="134"/>
      <c r="H394" s="134"/>
      <c r="I394" s="55"/>
      <c r="J394" s="67"/>
      <c r="K394" s="69"/>
      <c r="L394" s="55">
        <f>L396+L397+L403+L407</f>
        <v>76227.030000000013</v>
      </c>
    </row>
    <row r="395" spans="1:82" ht="14.25" x14ac:dyDescent="0.2">
      <c r="A395" s="63"/>
      <c r="B395" s="66"/>
      <c r="C395" s="135" t="s">
        <v>734</v>
      </c>
      <c r="D395" s="136"/>
      <c r="E395" s="136"/>
      <c r="F395" s="136"/>
      <c r="G395" s="136"/>
      <c r="H395" s="136"/>
      <c r="I395" s="52"/>
      <c r="J395" s="63"/>
      <c r="K395" s="50"/>
      <c r="L395" s="52"/>
    </row>
    <row r="396" spans="1:82" ht="14.25" x14ac:dyDescent="0.2">
      <c r="A396" s="63"/>
      <c r="B396" s="66"/>
      <c r="C396" s="136" t="s">
        <v>735</v>
      </c>
      <c r="D396" s="136"/>
      <c r="E396" s="136"/>
      <c r="F396" s="136"/>
      <c r="G396" s="136"/>
      <c r="H396" s="136"/>
      <c r="I396" s="52"/>
      <c r="J396" s="63"/>
      <c r="K396" s="50"/>
      <c r="L396" s="52">
        <f>SUM(AR200:AR392)</f>
        <v>33618.25</v>
      </c>
    </row>
    <row r="397" spans="1:82" ht="14.25" hidden="1" x14ac:dyDescent="0.2">
      <c r="A397" s="63"/>
      <c r="B397" s="66"/>
      <c r="C397" s="136" t="s">
        <v>736</v>
      </c>
      <c r="D397" s="136"/>
      <c r="E397" s="136"/>
      <c r="F397" s="136"/>
      <c r="G397" s="136"/>
      <c r="H397" s="136"/>
      <c r="I397" s="52"/>
      <c r="J397" s="63"/>
      <c r="K397" s="50"/>
      <c r="L397" s="52">
        <f>L399+L402+L401</f>
        <v>456.05</v>
      </c>
    </row>
    <row r="398" spans="1:82" ht="14.25" hidden="1" x14ac:dyDescent="0.2">
      <c r="A398" s="63"/>
      <c r="B398" s="66"/>
      <c r="C398" s="135" t="s">
        <v>737</v>
      </c>
      <c r="D398" s="136"/>
      <c r="E398" s="136"/>
      <c r="F398" s="136"/>
      <c r="G398" s="136"/>
      <c r="H398" s="136"/>
      <c r="I398" s="52"/>
      <c r="J398" s="63"/>
      <c r="K398" s="50"/>
      <c r="L398" s="52"/>
    </row>
    <row r="399" spans="1:82" ht="14.25" x14ac:dyDescent="0.2">
      <c r="A399" s="63"/>
      <c r="B399" s="66"/>
      <c r="C399" s="136" t="s">
        <v>736</v>
      </c>
      <c r="D399" s="136"/>
      <c r="E399" s="136"/>
      <c r="F399" s="136"/>
      <c r="G399" s="136"/>
      <c r="H399" s="136"/>
      <c r="I399" s="52"/>
      <c r="J399" s="63"/>
      <c r="K399" s="50"/>
      <c r="L399" s="52">
        <f>SUM(AO200:AO392)</f>
        <v>306.86</v>
      </c>
    </row>
    <row r="400" spans="1:82" ht="14.25" hidden="1" x14ac:dyDescent="0.2">
      <c r="A400" s="63"/>
      <c r="B400" s="66"/>
      <c r="C400" s="135" t="s">
        <v>738</v>
      </c>
      <c r="D400" s="136"/>
      <c r="E400" s="136"/>
      <c r="F400" s="136"/>
      <c r="G400" s="136"/>
      <c r="H400" s="136"/>
      <c r="I400" s="52"/>
      <c r="J400" s="63"/>
      <c r="K400" s="50"/>
      <c r="L400" s="52"/>
    </row>
    <row r="401" spans="1:12" ht="14.25" x14ac:dyDescent="0.2">
      <c r="A401" s="63"/>
      <c r="B401" s="66"/>
      <c r="C401" s="136" t="s">
        <v>758</v>
      </c>
      <c r="D401" s="136"/>
      <c r="E401" s="136"/>
      <c r="F401" s="136"/>
      <c r="G401" s="136"/>
      <c r="H401" s="136"/>
      <c r="I401" s="52"/>
      <c r="J401" s="63"/>
      <c r="K401" s="50"/>
      <c r="L401" s="52">
        <f>SUM(AT200:AT392)</f>
        <v>149.19</v>
      </c>
    </row>
    <row r="402" spans="1:12" ht="14.25" hidden="1" x14ac:dyDescent="0.2">
      <c r="A402" s="63"/>
      <c r="B402" s="66"/>
      <c r="C402" s="136" t="s">
        <v>739</v>
      </c>
      <c r="D402" s="136"/>
      <c r="E402" s="136"/>
      <c r="F402" s="136"/>
      <c r="G402" s="136"/>
      <c r="H402" s="136"/>
      <c r="I402" s="52"/>
      <c r="J402" s="63"/>
      <c r="K402" s="50"/>
      <c r="L402" s="52">
        <f>SUM(AV200:AV392)</f>
        <v>0</v>
      </c>
    </row>
    <row r="403" spans="1:12" ht="14.25" x14ac:dyDescent="0.2">
      <c r="A403" s="63"/>
      <c r="B403" s="66"/>
      <c r="C403" s="136" t="s">
        <v>740</v>
      </c>
      <c r="D403" s="136"/>
      <c r="E403" s="136"/>
      <c r="F403" s="136"/>
      <c r="G403" s="136"/>
      <c r="H403" s="136"/>
      <c r="I403" s="52"/>
      <c r="J403" s="63"/>
      <c r="K403" s="50"/>
      <c r="L403" s="52">
        <f>L405+L406</f>
        <v>42152.73000000001</v>
      </c>
    </row>
    <row r="404" spans="1:12" ht="14.25" x14ac:dyDescent="0.2">
      <c r="A404" s="63"/>
      <c r="B404" s="66"/>
      <c r="C404" s="135" t="s">
        <v>737</v>
      </c>
      <c r="D404" s="136"/>
      <c r="E404" s="136"/>
      <c r="F404" s="136"/>
      <c r="G404" s="136"/>
      <c r="H404" s="136"/>
      <c r="I404" s="52"/>
      <c r="J404" s="63"/>
      <c r="K404" s="50"/>
      <c r="L404" s="52"/>
    </row>
    <row r="405" spans="1:12" ht="14.25" x14ac:dyDescent="0.2">
      <c r="A405" s="63"/>
      <c r="B405" s="66"/>
      <c r="C405" s="136" t="s">
        <v>741</v>
      </c>
      <c r="D405" s="136"/>
      <c r="E405" s="136"/>
      <c r="F405" s="136"/>
      <c r="G405" s="136"/>
      <c r="H405" s="136"/>
      <c r="I405" s="52"/>
      <c r="J405" s="63"/>
      <c r="K405" s="50"/>
      <c r="L405" s="52">
        <f>SUM(AW200:AW392)-SUM(BK200:BK392)</f>
        <v>42152.73000000001</v>
      </c>
    </row>
    <row r="406" spans="1:12" ht="14.25" hidden="1" x14ac:dyDescent="0.2">
      <c r="A406" s="63"/>
      <c r="B406" s="66"/>
      <c r="C406" s="136" t="s">
        <v>742</v>
      </c>
      <c r="D406" s="136"/>
      <c r="E406" s="136"/>
      <c r="F406" s="136"/>
      <c r="G406" s="136"/>
      <c r="H406" s="136"/>
      <c r="I406" s="52"/>
      <c r="J406" s="63"/>
      <c r="K406" s="50"/>
      <c r="L406" s="52">
        <f>SUM(BC200:BC392)</f>
        <v>0</v>
      </c>
    </row>
    <row r="407" spans="1:12" ht="14.25" hidden="1" x14ac:dyDescent="0.2">
      <c r="A407" s="63"/>
      <c r="B407" s="66"/>
      <c r="C407" s="136" t="s">
        <v>743</v>
      </c>
      <c r="D407" s="136"/>
      <c r="E407" s="136"/>
      <c r="F407" s="136"/>
      <c r="G407" s="136"/>
      <c r="H407" s="136"/>
      <c r="I407" s="52"/>
      <c r="J407" s="63"/>
      <c r="K407" s="50"/>
      <c r="L407" s="52">
        <f>SUM(BB200:BB392)</f>
        <v>0</v>
      </c>
    </row>
    <row r="408" spans="1:12" ht="14.25" x14ac:dyDescent="0.2">
      <c r="A408" s="63"/>
      <c r="B408" s="66"/>
      <c r="C408" s="136" t="s">
        <v>744</v>
      </c>
      <c r="D408" s="136"/>
      <c r="E408" s="136"/>
      <c r="F408" s="136"/>
      <c r="G408" s="136"/>
      <c r="H408" s="136"/>
      <c r="I408" s="52"/>
      <c r="J408" s="63"/>
      <c r="K408" s="50"/>
      <c r="L408" s="52">
        <f>SUM(AR200:AR392)+SUM(AT200:AT392)+SUM(AV200:AV392)</f>
        <v>33767.440000000002</v>
      </c>
    </row>
    <row r="409" spans="1:12" ht="14.25" x14ac:dyDescent="0.2">
      <c r="A409" s="63"/>
      <c r="B409" s="66"/>
      <c r="C409" s="136" t="s">
        <v>745</v>
      </c>
      <c r="D409" s="136"/>
      <c r="E409" s="136"/>
      <c r="F409" s="136"/>
      <c r="G409" s="136"/>
      <c r="H409" s="136"/>
      <c r="I409" s="52"/>
      <c r="J409" s="63"/>
      <c r="K409" s="50"/>
      <c r="L409" s="52">
        <f>SUM(AZ200:AZ392)</f>
        <v>35164.130000000005</v>
      </c>
    </row>
    <row r="410" spans="1:12" ht="14.25" x14ac:dyDescent="0.2">
      <c r="A410" s="63"/>
      <c r="B410" s="66"/>
      <c r="C410" s="136" t="s">
        <v>746</v>
      </c>
      <c r="D410" s="136"/>
      <c r="E410" s="136"/>
      <c r="F410" s="136"/>
      <c r="G410" s="136"/>
      <c r="H410" s="136"/>
      <c r="I410" s="52"/>
      <c r="J410" s="63"/>
      <c r="K410" s="50"/>
      <c r="L410" s="52">
        <f>SUM(BA200:BA392)</f>
        <v>18907.400000000001</v>
      </c>
    </row>
    <row r="411" spans="1:12" ht="14.25" x14ac:dyDescent="0.2">
      <c r="A411" s="63"/>
      <c r="B411" s="66"/>
      <c r="C411" s="136" t="s">
        <v>747</v>
      </c>
      <c r="D411" s="136"/>
      <c r="E411" s="136"/>
      <c r="F411" s="136"/>
      <c r="G411" s="136"/>
      <c r="H411" s="136"/>
      <c r="I411" s="52"/>
      <c r="J411" s="63"/>
      <c r="K411" s="50"/>
      <c r="L411" s="52">
        <f>L413+L414</f>
        <v>30789.77</v>
      </c>
    </row>
    <row r="412" spans="1:12" ht="14.25" x14ac:dyDescent="0.2">
      <c r="A412" s="63"/>
      <c r="B412" s="66"/>
      <c r="C412" s="135" t="s">
        <v>734</v>
      </c>
      <c r="D412" s="136"/>
      <c r="E412" s="136"/>
      <c r="F412" s="136"/>
      <c r="G412" s="136"/>
      <c r="H412" s="136"/>
      <c r="I412" s="52"/>
      <c r="J412" s="63"/>
      <c r="K412" s="50"/>
      <c r="L412" s="52"/>
    </row>
    <row r="413" spans="1:12" ht="14.25" x14ac:dyDescent="0.2">
      <c r="A413" s="63"/>
      <c r="B413" s="66"/>
      <c r="C413" s="136" t="s">
        <v>748</v>
      </c>
      <c r="D413" s="136"/>
      <c r="E413" s="136"/>
      <c r="F413" s="136"/>
      <c r="G413" s="136"/>
      <c r="H413" s="136"/>
      <c r="I413" s="52"/>
      <c r="J413" s="63"/>
      <c r="K413" s="50"/>
      <c r="L413" s="52">
        <f>SUM(BK200:BK392)</f>
        <v>30789.77</v>
      </c>
    </row>
    <row r="414" spans="1:12" ht="14.25" hidden="1" x14ac:dyDescent="0.2">
      <c r="A414" s="63"/>
      <c r="B414" s="66"/>
      <c r="C414" s="136" t="s">
        <v>749</v>
      </c>
      <c r="D414" s="136"/>
      <c r="E414" s="136"/>
      <c r="F414" s="136"/>
      <c r="G414" s="136"/>
      <c r="H414" s="136"/>
      <c r="I414" s="52"/>
      <c r="J414" s="63"/>
      <c r="K414" s="50"/>
      <c r="L414" s="52">
        <f>SUM(BD200:BD392)</f>
        <v>0</v>
      </c>
    </row>
    <row r="415" spans="1:12" ht="14.25" hidden="1" x14ac:dyDescent="0.2">
      <c r="A415" s="63"/>
      <c r="B415" s="66"/>
      <c r="C415" s="136" t="s">
        <v>750</v>
      </c>
      <c r="D415" s="136"/>
      <c r="E415" s="136"/>
      <c r="F415" s="136"/>
      <c r="G415" s="136"/>
      <c r="H415" s="136"/>
      <c r="I415" s="52"/>
      <c r="J415" s="63"/>
      <c r="K415" s="50"/>
      <c r="L415" s="52"/>
    </row>
    <row r="416" spans="1:12" ht="14.25" hidden="1" x14ac:dyDescent="0.2">
      <c r="A416" s="63"/>
      <c r="B416" s="66"/>
      <c r="C416" s="136" t="s">
        <v>750</v>
      </c>
      <c r="D416" s="136"/>
      <c r="E416" s="136"/>
      <c r="F416" s="136"/>
      <c r="G416" s="136"/>
      <c r="H416" s="136"/>
      <c r="I416" s="52"/>
      <c r="J416" s="63"/>
      <c r="K416" s="50"/>
      <c r="L416" s="52">
        <f>SUM(BQ200:BQ392)</f>
        <v>0</v>
      </c>
    </row>
    <row r="417" spans="1:83" ht="14.25" hidden="1" x14ac:dyDescent="0.2">
      <c r="A417" s="63"/>
      <c r="B417" s="66"/>
      <c r="C417" s="136" t="s">
        <v>751</v>
      </c>
      <c r="D417" s="136"/>
      <c r="E417" s="136"/>
      <c r="F417" s="136"/>
      <c r="G417" s="136"/>
      <c r="H417" s="136"/>
      <c r="I417" s="52"/>
      <c r="J417" s="63"/>
      <c r="K417" s="50"/>
      <c r="L417" s="52">
        <f>SUM(BO200:BO392)</f>
        <v>0</v>
      </c>
    </row>
    <row r="418" spans="1:83" ht="15" x14ac:dyDescent="0.2">
      <c r="A418" s="67"/>
      <c r="B418" s="68"/>
      <c r="C418" s="134" t="s">
        <v>752</v>
      </c>
      <c r="D418" s="134"/>
      <c r="E418" s="134"/>
      <c r="F418" s="134"/>
      <c r="G418" s="134"/>
      <c r="H418" s="134"/>
      <c r="I418" s="55"/>
      <c r="J418" s="67"/>
      <c r="K418" s="69"/>
      <c r="L418" s="55">
        <f>L394+L409+L410+L411+L416+L417</f>
        <v>161088.33000000002</v>
      </c>
    </row>
    <row r="419" spans="1:83" ht="14.25" x14ac:dyDescent="0.2">
      <c r="A419" s="63"/>
      <c r="B419" s="66"/>
      <c r="C419" s="135" t="s">
        <v>753</v>
      </c>
      <c r="D419" s="136"/>
      <c r="E419" s="136"/>
      <c r="F419" s="136"/>
      <c r="G419" s="136"/>
      <c r="H419" s="136"/>
      <c r="I419" s="52"/>
      <c r="J419" s="63"/>
      <c r="K419" s="50"/>
      <c r="L419" s="52"/>
    </row>
    <row r="420" spans="1:83" ht="14.25" hidden="1" x14ac:dyDescent="0.2">
      <c r="A420" s="63"/>
      <c r="B420" s="66"/>
      <c r="C420" s="136" t="s">
        <v>754</v>
      </c>
      <c r="D420" s="136"/>
      <c r="E420" s="136"/>
      <c r="F420" s="136"/>
      <c r="G420" s="136"/>
      <c r="H420" s="136"/>
      <c r="I420" s="52"/>
      <c r="J420" s="63"/>
      <c r="K420" s="50"/>
      <c r="L420" s="52">
        <f>SUM(AX200:AX392)</f>
        <v>0</v>
      </c>
    </row>
    <row r="421" spans="1:83" ht="14.25" hidden="1" x14ac:dyDescent="0.2">
      <c r="A421" s="63"/>
      <c r="B421" s="66"/>
      <c r="C421" s="136" t="s">
        <v>755</v>
      </c>
      <c r="D421" s="136"/>
      <c r="E421" s="136"/>
      <c r="F421" s="136"/>
      <c r="G421" s="136"/>
      <c r="H421" s="136"/>
      <c r="I421" s="52"/>
      <c r="J421" s="63"/>
      <c r="K421" s="50"/>
      <c r="L421" s="52">
        <f>SUM(AY200:AY392)</f>
        <v>0</v>
      </c>
    </row>
    <row r="422" spans="1:83" ht="14.25" x14ac:dyDescent="0.2">
      <c r="A422" s="63"/>
      <c r="B422" s="66"/>
      <c r="C422" s="136" t="s">
        <v>756</v>
      </c>
      <c r="D422" s="136"/>
      <c r="E422" s="136"/>
      <c r="F422" s="137"/>
      <c r="G422" s="54">
        <f>Source!F124</f>
        <v>49.1509</v>
      </c>
      <c r="H422" s="63"/>
      <c r="I422" s="63"/>
      <c r="J422" s="63"/>
      <c r="K422" s="63"/>
      <c r="L422" s="63"/>
    </row>
    <row r="423" spans="1:83" ht="14.25" x14ac:dyDescent="0.2">
      <c r="A423" s="63"/>
      <c r="B423" s="66"/>
      <c r="C423" s="136" t="s">
        <v>757</v>
      </c>
      <c r="D423" s="136"/>
      <c r="E423" s="136"/>
      <c r="F423" s="137"/>
      <c r="G423" s="54">
        <f>Source!F125</f>
        <v>0.1903</v>
      </c>
      <c r="H423" s="63"/>
      <c r="I423" s="63"/>
      <c r="J423" s="63"/>
      <c r="K423" s="63"/>
      <c r="L423" s="63"/>
    </row>
    <row r="426" spans="1:83" ht="16.5" x14ac:dyDescent="0.2">
      <c r="A426" s="133" t="s">
        <v>784</v>
      </c>
      <c r="B426" s="133"/>
      <c r="C426" s="133"/>
      <c r="D426" s="133"/>
      <c r="E426" s="133"/>
      <c r="F426" s="133"/>
      <c r="G426" s="133"/>
      <c r="H426" s="133"/>
      <c r="I426" s="133"/>
      <c r="J426" s="133"/>
      <c r="K426" s="133"/>
      <c r="L426" s="133"/>
    </row>
    <row r="427" spans="1:83" ht="28.5" x14ac:dyDescent="0.2">
      <c r="A427" s="46" t="s">
        <v>234</v>
      </c>
      <c r="B427" s="48" t="s">
        <v>785</v>
      </c>
      <c r="C427" s="48" t="str">
        <f>Source!G136</f>
        <v>Ремонт задвижек диаметром: до 100 мм без снятия с места</v>
      </c>
      <c r="D427" s="49" t="str">
        <f>Source!H136</f>
        <v>100 ШТ</v>
      </c>
      <c r="E427" s="50">
        <f>Source!K136</f>
        <v>0.06</v>
      </c>
      <c r="F427" s="50"/>
      <c r="G427" s="50">
        <f>Source!I136</f>
        <v>0.06</v>
      </c>
      <c r="H427" s="52"/>
      <c r="I427" s="51"/>
      <c r="J427" s="52"/>
      <c r="K427" s="51"/>
      <c r="L427" s="52"/>
    </row>
    <row r="428" spans="1:83" x14ac:dyDescent="0.2">
      <c r="C428" s="53" t="str">
        <f>"Объем: "&amp;Source!I136&amp;"=6/"&amp;"100"</f>
        <v>Объем: 0,06=6/100</v>
      </c>
    </row>
    <row r="429" spans="1:83" ht="15" x14ac:dyDescent="0.2">
      <c r="A429" s="47"/>
      <c r="B429" s="50">
        <v>1</v>
      </c>
      <c r="C429" s="47" t="s">
        <v>698</v>
      </c>
      <c r="D429" s="49" t="s">
        <v>449</v>
      </c>
      <c r="E429" s="54"/>
      <c r="F429" s="50"/>
      <c r="G429" s="50">
        <f>Source!U136</f>
        <v>18.143999999999998</v>
      </c>
      <c r="H429" s="50"/>
      <c r="I429" s="50"/>
      <c r="J429" s="50"/>
      <c r="K429" s="50"/>
      <c r="L429" s="55">
        <f>SUM(L430:L430)-SUMIF(CE430:CE430, 1, L430:L430)</f>
        <v>11780.9</v>
      </c>
    </row>
    <row r="430" spans="1:83" ht="14.25" x14ac:dyDescent="0.2">
      <c r="A430" s="48"/>
      <c r="B430" s="48" t="s">
        <v>517</v>
      </c>
      <c r="C430" s="48" t="s">
        <v>518</v>
      </c>
      <c r="D430" s="49" t="s">
        <v>449</v>
      </c>
      <c r="E430" s="50">
        <v>302.39999999999998</v>
      </c>
      <c r="F430" s="50"/>
      <c r="G430" s="50">
        <f>SmtRes!CX113</f>
        <v>18.143999999999998</v>
      </c>
      <c r="H430" s="52"/>
      <c r="I430" s="51"/>
      <c r="J430" s="52">
        <f>SmtRes!CZ113</f>
        <v>649.29999999999995</v>
      </c>
      <c r="K430" s="51"/>
      <c r="L430" s="52">
        <f>SmtRes!DI113</f>
        <v>11780.9</v>
      </c>
    </row>
    <row r="431" spans="1:83" ht="15" x14ac:dyDescent="0.2">
      <c r="A431" s="47"/>
      <c r="B431" s="50">
        <v>2</v>
      </c>
      <c r="C431" s="47" t="s">
        <v>699</v>
      </c>
      <c r="D431" s="49"/>
      <c r="E431" s="54"/>
      <c r="F431" s="50"/>
      <c r="G431" s="50"/>
      <c r="H431" s="50"/>
      <c r="I431" s="50"/>
      <c r="J431" s="50"/>
      <c r="K431" s="50"/>
      <c r="L431" s="55">
        <f>SUM(L432:L434)-SUMIF(CE432:CE434, 1, L432:L434)</f>
        <v>0.39</v>
      </c>
    </row>
    <row r="432" spans="1:83" ht="15" x14ac:dyDescent="0.2">
      <c r="A432" s="47"/>
      <c r="B432" s="50"/>
      <c r="C432" s="47" t="s">
        <v>701</v>
      </c>
      <c r="D432" s="49" t="s">
        <v>449</v>
      </c>
      <c r="E432" s="54"/>
      <c r="F432" s="50"/>
      <c r="G432" s="50">
        <f>Source!V136</f>
        <v>5.9999999999999995E-4</v>
      </c>
      <c r="H432" s="50"/>
      <c r="I432" s="50"/>
      <c r="J432" s="50"/>
      <c r="K432" s="50"/>
      <c r="L432" s="55">
        <f>SUMIF(CE433:CE434, 1, L433:L434)</f>
        <v>0.43</v>
      </c>
      <c r="CE432">
        <v>1</v>
      </c>
    </row>
    <row r="433" spans="1:101" ht="28.5" x14ac:dyDescent="0.2">
      <c r="A433" s="48"/>
      <c r="B433" s="48" t="s">
        <v>452</v>
      </c>
      <c r="C433" s="48" t="s">
        <v>454</v>
      </c>
      <c r="D433" s="49" t="s">
        <v>455</v>
      </c>
      <c r="E433" s="50">
        <v>0.01</v>
      </c>
      <c r="F433" s="50"/>
      <c r="G433" s="50">
        <f>SmtRes!CX115</f>
        <v>5.9999999999999995E-4</v>
      </c>
      <c r="H433" s="52"/>
      <c r="I433" s="51"/>
      <c r="J433" s="52">
        <f>SmtRes!CZ115</f>
        <v>643.29</v>
      </c>
      <c r="K433" s="51"/>
      <c r="L433" s="52">
        <f>SmtRes!DG115</f>
        <v>0.39</v>
      </c>
    </row>
    <row r="434" spans="1:101" ht="28.5" x14ac:dyDescent="0.2">
      <c r="A434" s="48"/>
      <c r="B434" s="48" t="s">
        <v>456</v>
      </c>
      <c r="C434" s="48" t="s">
        <v>700</v>
      </c>
      <c r="D434" s="49" t="s">
        <v>449</v>
      </c>
      <c r="E434" s="50">
        <f>SmtRes!DO115*SmtRes!AT115</f>
        <v>0.01</v>
      </c>
      <c r="F434" s="50"/>
      <c r="G434" s="50">
        <f>ROUND(E434*G427, 7)</f>
        <v>5.9999999999999995E-4</v>
      </c>
      <c r="H434" s="52"/>
      <c r="I434" s="51"/>
      <c r="J434" s="52">
        <f>ROUND(SmtRes!AG115/SmtRes!DO115, 2)</f>
        <v>722.05</v>
      </c>
      <c r="K434" s="51"/>
      <c r="L434" s="52">
        <f>SmtRes!DH115</f>
        <v>0.43</v>
      </c>
      <c r="CE434">
        <v>1</v>
      </c>
    </row>
    <row r="435" spans="1:101" ht="15" x14ac:dyDescent="0.2">
      <c r="A435" s="47"/>
      <c r="B435" s="50">
        <v>4</v>
      </c>
      <c r="C435" s="47" t="s">
        <v>702</v>
      </c>
      <c r="D435" s="49"/>
      <c r="E435" s="54"/>
      <c r="F435" s="50"/>
      <c r="G435" s="50"/>
      <c r="H435" s="50"/>
      <c r="I435" s="50"/>
      <c r="J435" s="50"/>
      <c r="K435" s="50"/>
      <c r="L435" s="55">
        <f>SUM(L436:L438)-SUMIF(CE436:CE438, 1, L436:L438)</f>
        <v>345.49</v>
      </c>
    </row>
    <row r="436" spans="1:101" ht="28.5" x14ac:dyDescent="0.2">
      <c r="A436" s="48"/>
      <c r="B436" s="48" t="s">
        <v>544</v>
      </c>
      <c r="C436" s="48" t="s">
        <v>546</v>
      </c>
      <c r="D436" s="49" t="s">
        <v>295</v>
      </c>
      <c r="E436" s="50">
        <v>25.2</v>
      </c>
      <c r="F436" s="50"/>
      <c r="G436" s="50">
        <f>SmtRes!CX116</f>
        <v>1.512</v>
      </c>
      <c r="H436" s="52">
        <f>SmtRes!CZ116</f>
        <v>137.59</v>
      </c>
      <c r="I436" s="51">
        <f>SmtRes!AI116</f>
        <v>1.18</v>
      </c>
      <c r="J436" s="52">
        <f>ROUND(H436*I436, 2)</f>
        <v>162.36000000000001</v>
      </c>
      <c r="K436" s="51"/>
      <c r="L436" s="52">
        <f>SmtRes!DF116</f>
        <v>245.49</v>
      </c>
    </row>
    <row r="437" spans="1:101" ht="14.25" x14ac:dyDescent="0.2">
      <c r="A437" s="48"/>
      <c r="B437" s="48" t="s">
        <v>547</v>
      </c>
      <c r="C437" s="48" t="s">
        <v>549</v>
      </c>
      <c r="D437" s="49" t="s">
        <v>295</v>
      </c>
      <c r="E437" s="50">
        <v>7.8</v>
      </c>
      <c r="F437" s="50"/>
      <c r="G437" s="50">
        <f>SmtRes!CX117</f>
        <v>0.46800000000000003</v>
      </c>
      <c r="H437" s="52">
        <f>SmtRes!CZ117</f>
        <v>58.53</v>
      </c>
      <c r="I437" s="51">
        <f>SmtRes!AI117</f>
        <v>1.6</v>
      </c>
      <c r="J437" s="52">
        <f>ROUND(H437*I437, 2)</f>
        <v>93.65</v>
      </c>
      <c r="K437" s="51"/>
      <c r="L437" s="52">
        <f>SmtRes!DF117</f>
        <v>43.83</v>
      </c>
    </row>
    <row r="438" spans="1:101" ht="14.25" x14ac:dyDescent="0.2">
      <c r="A438" s="48"/>
      <c r="B438" s="48" t="s">
        <v>550</v>
      </c>
      <c r="C438" s="56" t="s">
        <v>552</v>
      </c>
      <c r="D438" s="57" t="s">
        <v>295</v>
      </c>
      <c r="E438" s="58">
        <v>3.5</v>
      </c>
      <c r="F438" s="58"/>
      <c r="G438" s="58">
        <f>SmtRes!CX118</f>
        <v>0.21</v>
      </c>
      <c r="H438" s="59">
        <f>SmtRes!CZ118</f>
        <v>303.95</v>
      </c>
      <c r="I438" s="60">
        <f>SmtRes!AI118</f>
        <v>0.88</v>
      </c>
      <c r="J438" s="59">
        <f>ROUND(H438*I438, 2)</f>
        <v>267.48</v>
      </c>
      <c r="K438" s="60"/>
      <c r="L438" s="59">
        <f>SmtRes!DF118</f>
        <v>56.17</v>
      </c>
    </row>
    <row r="439" spans="1:101" ht="15" x14ac:dyDescent="0.2">
      <c r="A439" s="48"/>
      <c r="B439" s="48"/>
      <c r="C439" s="62" t="s">
        <v>703</v>
      </c>
      <c r="D439" s="49"/>
      <c r="E439" s="50"/>
      <c r="F439" s="50"/>
      <c r="G439" s="50"/>
      <c r="H439" s="52"/>
      <c r="I439" s="51"/>
      <c r="J439" s="52"/>
      <c r="K439" s="51"/>
      <c r="L439" s="52">
        <f>L429+L431+L432+L435</f>
        <v>12127.21</v>
      </c>
    </row>
    <row r="440" spans="1:101" ht="14.25" x14ac:dyDescent="0.2">
      <c r="A440" s="48"/>
      <c r="B440" s="48"/>
      <c r="C440" s="48" t="s">
        <v>706</v>
      </c>
      <c r="D440" s="49"/>
      <c r="E440" s="50"/>
      <c r="F440" s="50"/>
      <c r="G440" s="50"/>
      <c r="H440" s="52"/>
      <c r="I440" s="51"/>
      <c r="J440" s="52"/>
      <c r="K440" s="51"/>
      <c r="L440" s="52">
        <f>SUM(AR427:AR443)+SUM(AS427:AS443)+SUM(AT427:AT443)+SUM(AU427:AU443)+SUM(AV427:AV443)</f>
        <v>11781.33</v>
      </c>
    </row>
    <row r="441" spans="1:101" ht="42.75" x14ac:dyDescent="0.2">
      <c r="A441" s="48"/>
      <c r="B441" s="48" t="s">
        <v>25</v>
      </c>
      <c r="C441" s="48" t="s">
        <v>707</v>
      </c>
      <c r="D441" s="49" t="s">
        <v>83</v>
      </c>
      <c r="E441" s="50">
        <f>Source!BZ136</f>
        <v>103</v>
      </c>
      <c r="F441" s="50"/>
      <c r="G441" s="50">
        <f>Source!AT136</f>
        <v>103</v>
      </c>
      <c r="H441" s="52"/>
      <c r="I441" s="51"/>
      <c r="J441" s="52"/>
      <c r="K441" s="51"/>
      <c r="L441" s="52">
        <f>SUM(AZ427:AZ443)</f>
        <v>12134.77</v>
      </c>
    </row>
    <row r="442" spans="1:101" ht="42.75" x14ac:dyDescent="0.2">
      <c r="A442" s="56"/>
      <c r="B442" s="56" t="s">
        <v>26</v>
      </c>
      <c r="C442" s="56" t="s">
        <v>708</v>
      </c>
      <c r="D442" s="57" t="s">
        <v>83</v>
      </c>
      <c r="E442" s="58">
        <f>Source!CA136</f>
        <v>52</v>
      </c>
      <c r="F442" s="58"/>
      <c r="G442" s="58">
        <f>Source!AU136</f>
        <v>52</v>
      </c>
      <c r="H442" s="59"/>
      <c r="I442" s="60"/>
      <c r="J442" s="59"/>
      <c r="K442" s="60"/>
      <c r="L442" s="59">
        <f>SUM(BA427:BA443)</f>
        <v>6126.29</v>
      </c>
    </row>
    <row r="443" spans="1:101" ht="15" x14ac:dyDescent="0.2">
      <c r="C443" s="131" t="s">
        <v>709</v>
      </c>
      <c r="D443" s="131"/>
      <c r="E443" s="131"/>
      <c r="F443" s="131"/>
      <c r="G443" s="131"/>
      <c r="H443" s="131"/>
      <c r="I443" s="132">
        <f>IF(E427&lt;&gt;0,K443/E427, 0)</f>
        <v>506471.16666666669</v>
      </c>
      <c r="J443" s="132"/>
      <c r="K443" s="132">
        <f>L429+L431+L435+L441+L442+L432</f>
        <v>30388.27</v>
      </c>
      <c r="L443" s="132"/>
      <c r="AD443">
        <f>ROUND((Source!AT136/100)*((ROUND(SUMIF(SmtRes!AQ113:'SmtRes'!AQ118,"=1",SmtRes!AD113:'SmtRes'!AD118)*Source!I136, 2)+ROUND(SUMIF(SmtRes!AQ113:'SmtRes'!AQ118,"=1",SmtRes!AC113:'SmtRes'!AC118)*Source!I136, 2))), 2)</f>
        <v>84.75</v>
      </c>
      <c r="AE443">
        <f>ROUND((Source!AU136/100)*((ROUND(SUMIF(SmtRes!AQ113:'SmtRes'!AQ118,"=1",SmtRes!AD113:'SmtRes'!AD118)*Source!I136, 2)+ROUND(SUMIF(SmtRes!AQ113:'SmtRes'!AQ118,"=1",SmtRes!AC113:'SmtRes'!AC118)*Source!I136, 2))), 2)</f>
        <v>42.79</v>
      </c>
      <c r="AN443" s="61">
        <f>L429+L431+L435+L441+L442+L432</f>
        <v>30388.27</v>
      </c>
      <c r="AO443" s="61">
        <f>L431</f>
        <v>0.39</v>
      </c>
      <c r="AQ443" t="s">
        <v>710</v>
      </c>
      <c r="AR443" s="61">
        <f>L429</f>
        <v>11780.9</v>
      </c>
      <c r="AT443" s="61">
        <f>L432</f>
        <v>0.43</v>
      </c>
      <c r="AV443" t="s">
        <v>710</v>
      </c>
      <c r="AW443" s="61">
        <f>L435</f>
        <v>345.49</v>
      </c>
      <c r="AZ443">
        <f>Source!X136</f>
        <v>12134.77</v>
      </c>
      <c r="BA443">
        <f>Source!Y136</f>
        <v>6126.29</v>
      </c>
      <c r="CD443">
        <v>1</v>
      </c>
    </row>
    <row r="444" spans="1:101" ht="57" x14ac:dyDescent="0.2">
      <c r="A444" s="46" t="s">
        <v>238</v>
      </c>
      <c r="B444" s="48" t="s">
        <v>786</v>
      </c>
      <c r="C444" s="48" t="str">
        <f>Source!G137</f>
        <v>Гидравлическое испытание трубопроводов систем отопления, водопровода и горячего водоснабжения диаметром: до 50 мм</v>
      </c>
      <c r="D444" s="49" t="str">
        <f>Source!H137</f>
        <v>100 м</v>
      </c>
      <c r="E444" s="50">
        <f>Source!K137</f>
        <v>0.3</v>
      </c>
      <c r="F444" s="50"/>
      <c r="G444" s="50">
        <f>Source!I137</f>
        <v>0.3</v>
      </c>
      <c r="H444" s="52"/>
      <c r="I444" s="51"/>
      <c r="J444" s="52"/>
      <c r="K444" s="51"/>
      <c r="L444" s="52"/>
    </row>
    <row r="445" spans="1:101" ht="51" x14ac:dyDescent="0.2">
      <c r="B445" s="64" t="s">
        <v>644</v>
      </c>
      <c r="C445" s="130" t="s">
        <v>717</v>
      </c>
      <c r="D445" s="130"/>
      <c r="E445" s="130"/>
      <c r="F445" s="130"/>
      <c r="G445" s="130"/>
      <c r="H445" s="130"/>
      <c r="I445" s="130"/>
      <c r="J445" s="130"/>
      <c r="K445" s="130"/>
      <c r="L445" s="130"/>
      <c r="CW445" s="65" t="s">
        <v>717</v>
      </c>
    </row>
    <row r="446" spans="1:101" x14ac:dyDescent="0.2">
      <c r="C446" s="53" t="str">
        <f>"Объем: "&amp;Source!I137&amp;"=30/"&amp;"100"</f>
        <v>Объем: 0,3=30/100</v>
      </c>
    </row>
    <row r="447" spans="1:101" ht="15" x14ac:dyDescent="0.2">
      <c r="A447" s="47"/>
      <c r="B447" s="50">
        <v>1</v>
      </c>
      <c r="C447" s="47" t="s">
        <v>698</v>
      </c>
      <c r="D447" s="49" t="s">
        <v>449</v>
      </c>
      <c r="E447" s="54"/>
      <c r="F447" s="50"/>
      <c r="G447" s="50">
        <f>Source!U137</f>
        <v>1.72845</v>
      </c>
      <c r="H447" s="50"/>
      <c r="I447" s="50"/>
      <c r="J447" s="50"/>
      <c r="K447" s="50"/>
      <c r="L447" s="55">
        <f>SUM(L448:L448)-SUMIF(CE448:CE448, 1, L448:L448)</f>
        <v>1506.93</v>
      </c>
    </row>
    <row r="448" spans="1:101" ht="14.25" x14ac:dyDescent="0.2">
      <c r="A448" s="48"/>
      <c r="B448" s="48" t="s">
        <v>500</v>
      </c>
      <c r="C448" s="48" t="s">
        <v>501</v>
      </c>
      <c r="D448" s="49" t="s">
        <v>449</v>
      </c>
      <c r="E448" s="50">
        <v>5.01</v>
      </c>
      <c r="F448" s="50">
        <f>ROUND(1.15,7)</f>
        <v>1.1499999999999999</v>
      </c>
      <c r="G448" s="50">
        <f>SmtRes!CX119</f>
        <v>1.72845</v>
      </c>
      <c r="H448" s="52"/>
      <c r="I448" s="51"/>
      <c r="J448" s="52">
        <f>SmtRes!CZ119</f>
        <v>871.84</v>
      </c>
      <c r="K448" s="51"/>
      <c r="L448" s="52">
        <f>SmtRes!DI119</f>
        <v>1506.93</v>
      </c>
    </row>
    <row r="449" spans="1:101" ht="15" x14ac:dyDescent="0.2">
      <c r="A449" s="47"/>
      <c r="B449" s="50">
        <v>2</v>
      </c>
      <c r="C449" s="47" t="s">
        <v>699</v>
      </c>
      <c r="D449" s="49"/>
      <c r="E449" s="54"/>
      <c r="F449" s="50"/>
      <c r="G449" s="50"/>
      <c r="H449" s="50"/>
      <c r="I449" s="50"/>
      <c r="J449" s="50"/>
      <c r="K449" s="50"/>
      <c r="L449" s="55">
        <f>SUM(L450:L451)-SUMIF(CE450:CE451, 1, L450:L451)</f>
        <v>11.37</v>
      </c>
    </row>
    <row r="450" spans="1:101" ht="15" hidden="1" x14ac:dyDescent="0.2">
      <c r="A450" s="47"/>
      <c r="B450" s="50"/>
      <c r="C450" s="47" t="s">
        <v>701</v>
      </c>
      <c r="D450" s="49" t="s">
        <v>449</v>
      </c>
      <c r="E450" s="54"/>
      <c r="F450" s="50"/>
      <c r="G450" s="50">
        <f>Source!V137</f>
        <v>0</v>
      </c>
      <c r="H450" s="50"/>
      <c r="I450" s="50"/>
      <c r="J450" s="50"/>
      <c r="K450" s="50"/>
      <c r="L450" s="55">
        <f>SUMIF(CE451:CE451, 1, L451:L451)</f>
        <v>0</v>
      </c>
      <c r="CE450">
        <v>1</v>
      </c>
    </row>
    <row r="451" spans="1:101" ht="57" x14ac:dyDescent="0.2">
      <c r="A451" s="48"/>
      <c r="B451" s="48" t="s">
        <v>502</v>
      </c>
      <c r="C451" s="48" t="s">
        <v>504</v>
      </c>
      <c r="D451" s="49" t="s">
        <v>455</v>
      </c>
      <c r="E451" s="50">
        <v>1.5</v>
      </c>
      <c r="F451" s="50">
        <f>ROUND(1.25,7)</f>
        <v>1.25</v>
      </c>
      <c r="G451" s="50">
        <f>SmtRes!CX120</f>
        <v>0.5625</v>
      </c>
      <c r="H451" s="52">
        <f>SmtRes!CZ120</f>
        <v>14.13</v>
      </c>
      <c r="I451" s="51">
        <f>SmtRes!AJ120</f>
        <v>1.43</v>
      </c>
      <c r="J451" s="52">
        <f>ROUND(H451*I451, 2)</f>
        <v>20.21</v>
      </c>
      <c r="K451" s="51"/>
      <c r="L451" s="52">
        <f>SmtRes!DG120</f>
        <v>11.37</v>
      </c>
    </row>
    <row r="452" spans="1:101" ht="15" x14ac:dyDescent="0.2">
      <c r="A452" s="47"/>
      <c r="B452" s="50">
        <v>4</v>
      </c>
      <c r="C452" s="47" t="s">
        <v>702</v>
      </c>
      <c r="D452" s="49"/>
      <c r="E452" s="54"/>
      <c r="F452" s="50"/>
      <c r="G452" s="50"/>
      <c r="H452" s="50"/>
      <c r="I452" s="50"/>
      <c r="J452" s="50"/>
      <c r="K452" s="50"/>
      <c r="L452" s="55">
        <f>SUM(L453:L456)-SUMIF(CE453:CE456, 1, L453:L456)</f>
        <v>19.53</v>
      </c>
    </row>
    <row r="453" spans="1:101" ht="14.25" x14ac:dyDescent="0.2">
      <c r="A453" s="48"/>
      <c r="B453" s="48" t="s">
        <v>505</v>
      </c>
      <c r="C453" s="48" t="s">
        <v>507</v>
      </c>
      <c r="D453" s="49" t="s">
        <v>309</v>
      </c>
      <c r="E453" s="50">
        <v>1</v>
      </c>
      <c r="F453" s="50"/>
      <c r="G453" s="50">
        <f>SmtRes!CX121</f>
        <v>0.3</v>
      </c>
      <c r="H453" s="52">
        <f>SmtRes!CZ121</f>
        <v>35.71</v>
      </c>
      <c r="I453" s="51">
        <f>SmtRes!AI121</f>
        <v>1.53</v>
      </c>
      <c r="J453" s="52">
        <f>ROUND(H453*I453, 2)</f>
        <v>54.64</v>
      </c>
      <c r="K453" s="51"/>
      <c r="L453" s="52">
        <f>SmtRes!DF121</f>
        <v>16.39</v>
      </c>
    </row>
    <row r="454" spans="1:101" ht="14.25" x14ac:dyDescent="0.2">
      <c r="A454" s="48"/>
      <c r="B454" s="48" t="s">
        <v>508</v>
      </c>
      <c r="C454" s="48" t="s">
        <v>510</v>
      </c>
      <c r="D454" s="49" t="s">
        <v>295</v>
      </c>
      <c r="E454" s="50">
        <v>0.02</v>
      </c>
      <c r="F454" s="50"/>
      <c r="G454" s="50">
        <f>SmtRes!CX122</f>
        <v>6.0000000000000001E-3</v>
      </c>
      <c r="H454" s="52">
        <f>SmtRes!CZ122</f>
        <v>128.4</v>
      </c>
      <c r="I454" s="51">
        <f>SmtRes!AI122</f>
        <v>1.33</v>
      </c>
      <c r="J454" s="52">
        <f>ROUND(H454*I454, 2)</f>
        <v>170.77</v>
      </c>
      <c r="K454" s="51"/>
      <c r="L454" s="52">
        <f>SmtRes!DF122</f>
        <v>1.02</v>
      </c>
    </row>
    <row r="455" spans="1:101" ht="28.5" x14ac:dyDescent="0.2">
      <c r="A455" s="48"/>
      <c r="B455" s="48" t="s">
        <v>511</v>
      </c>
      <c r="C455" s="48" t="s">
        <v>513</v>
      </c>
      <c r="D455" s="49" t="s">
        <v>295</v>
      </c>
      <c r="E455" s="50">
        <v>0.05</v>
      </c>
      <c r="F455" s="50"/>
      <c r="G455" s="50">
        <f>SmtRes!CX123</f>
        <v>1.4999999999999999E-2</v>
      </c>
      <c r="H455" s="52">
        <f>SmtRes!CZ123</f>
        <v>79.88</v>
      </c>
      <c r="I455" s="51">
        <f>SmtRes!AI123</f>
        <v>1.4</v>
      </c>
      <c r="J455" s="52">
        <f>ROUND(H455*I455, 2)</f>
        <v>111.83</v>
      </c>
      <c r="K455" s="51"/>
      <c r="L455" s="52">
        <f>SmtRes!DF123</f>
        <v>1.68</v>
      </c>
    </row>
    <row r="456" spans="1:101" ht="57" x14ac:dyDescent="0.2">
      <c r="A456" s="48"/>
      <c r="B456" s="48" t="s">
        <v>514</v>
      </c>
      <c r="C456" s="56" t="s">
        <v>516</v>
      </c>
      <c r="D456" s="57" t="s">
        <v>35</v>
      </c>
      <c r="E456" s="58">
        <v>2.0000000000000002E-5</v>
      </c>
      <c r="F456" s="58"/>
      <c r="G456" s="58">
        <f>SmtRes!CX124</f>
        <v>6.0000000000000002E-6</v>
      </c>
      <c r="H456" s="59">
        <f>SmtRes!CZ124</f>
        <v>60697.21</v>
      </c>
      <c r="I456" s="60">
        <f>SmtRes!AI124</f>
        <v>1.2</v>
      </c>
      <c r="J456" s="59">
        <f>ROUND(H456*I456, 2)</f>
        <v>72836.649999999994</v>
      </c>
      <c r="K456" s="60"/>
      <c r="L456" s="59">
        <f>SmtRes!DF124</f>
        <v>0.44</v>
      </c>
    </row>
    <row r="457" spans="1:101" ht="15" x14ac:dyDescent="0.2">
      <c r="A457" s="48"/>
      <c r="B457" s="48"/>
      <c r="C457" s="62" t="s">
        <v>703</v>
      </c>
      <c r="D457" s="49"/>
      <c r="E457" s="50"/>
      <c r="F457" s="50"/>
      <c r="G457" s="50"/>
      <c r="H457" s="52"/>
      <c r="I457" s="51"/>
      <c r="J457" s="52"/>
      <c r="K457" s="51"/>
      <c r="L457" s="52">
        <f>L447+L449+L450+L452</f>
        <v>1537.83</v>
      </c>
    </row>
    <row r="458" spans="1:101" ht="14.25" x14ac:dyDescent="0.2">
      <c r="A458" s="48"/>
      <c r="B458" s="48"/>
      <c r="C458" s="48" t="s">
        <v>706</v>
      </c>
      <c r="D458" s="49"/>
      <c r="E458" s="50"/>
      <c r="F458" s="50"/>
      <c r="G458" s="50"/>
      <c r="H458" s="52"/>
      <c r="I458" s="51"/>
      <c r="J458" s="52"/>
      <c r="K458" s="51"/>
      <c r="L458" s="52">
        <f>SUM(AR444:AR461)+SUM(AS444:AS461)+SUM(AT444:AT461)+SUM(AU444:AU461)+SUM(AV444:AV461)</f>
        <v>1506.93</v>
      </c>
    </row>
    <row r="459" spans="1:101" ht="71.25" x14ac:dyDescent="0.2">
      <c r="A459" s="48"/>
      <c r="B459" s="48" t="s">
        <v>721</v>
      </c>
      <c r="C459" s="48" t="s">
        <v>722</v>
      </c>
      <c r="D459" s="49" t="s">
        <v>83</v>
      </c>
      <c r="E459" s="50">
        <f>Source!BZ137</f>
        <v>121</v>
      </c>
      <c r="F459" s="50">
        <f>ROUND(0.9,7)</f>
        <v>0.9</v>
      </c>
      <c r="G459" s="50">
        <f>Source!AT137</f>
        <v>108.9</v>
      </c>
      <c r="H459" s="52"/>
      <c r="I459" s="51"/>
      <c r="J459" s="52"/>
      <c r="K459" s="51"/>
      <c r="L459" s="52">
        <f>SUM(AZ444:AZ461)</f>
        <v>1641.05</v>
      </c>
    </row>
    <row r="460" spans="1:101" ht="71.25" x14ac:dyDescent="0.2">
      <c r="A460" s="56"/>
      <c r="B460" s="56" t="s">
        <v>723</v>
      </c>
      <c r="C460" s="56" t="s">
        <v>724</v>
      </c>
      <c r="D460" s="57" t="s">
        <v>83</v>
      </c>
      <c r="E460" s="58">
        <f>Source!CA137</f>
        <v>72</v>
      </c>
      <c r="F460" s="58">
        <f>ROUND(0.85,7)</f>
        <v>0.85</v>
      </c>
      <c r="G460" s="58">
        <f>Source!AU137</f>
        <v>61.2</v>
      </c>
      <c r="H460" s="59"/>
      <c r="I460" s="60"/>
      <c r="J460" s="59"/>
      <c r="K460" s="60"/>
      <c r="L460" s="59">
        <f>SUM(BA444:BA461)</f>
        <v>922.24</v>
      </c>
    </row>
    <row r="461" spans="1:101" ht="15" x14ac:dyDescent="0.2">
      <c r="C461" s="131" t="s">
        <v>709</v>
      </c>
      <c r="D461" s="131"/>
      <c r="E461" s="131"/>
      <c r="F461" s="131"/>
      <c r="G461" s="131"/>
      <c r="H461" s="131"/>
      <c r="I461" s="132">
        <f>IF(E444&lt;&gt;0,K461/E444, 0)</f>
        <v>13670.4</v>
      </c>
      <c r="J461" s="132"/>
      <c r="K461" s="132">
        <f>L447+L449+L452+L459+L460+L450</f>
        <v>4101.12</v>
      </c>
      <c r="L461" s="132"/>
      <c r="AD461">
        <f>ROUND((Source!AT137/100)*((ROUND(SUMIF(SmtRes!AQ119:'SmtRes'!AQ124,"=1",SmtRes!AD119:'SmtRes'!AD124)*Source!I137, 2)+ROUND(SUMIF(SmtRes!AQ119:'SmtRes'!AQ124,"=1",SmtRes!AC119:'SmtRes'!AC124)*Source!I137, 2))), 2)</f>
        <v>284.83</v>
      </c>
      <c r="AE461">
        <f>ROUND((Source!AU137/100)*((ROUND(SUMIF(SmtRes!AQ119:'SmtRes'!AQ124,"=1",SmtRes!AD119:'SmtRes'!AD124)*Source!I137, 2)+ROUND(SUMIF(SmtRes!AQ119:'SmtRes'!AQ124,"=1",SmtRes!AC119:'SmtRes'!AC124)*Source!I137, 2))), 2)</f>
        <v>160.07</v>
      </c>
      <c r="AN461" s="61">
        <f>L447+L449+L452+L459+L460+L450</f>
        <v>4101.12</v>
      </c>
      <c r="AO461" s="61">
        <f>L449</f>
        <v>11.37</v>
      </c>
      <c r="AQ461" t="s">
        <v>710</v>
      </c>
      <c r="AR461" s="61">
        <f>L447</f>
        <v>1506.93</v>
      </c>
      <c r="AT461" s="61">
        <f>L450</f>
        <v>0</v>
      </c>
      <c r="AV461" t="s">
        <v>710</v>
      </c>
      <c r="AW461" s="61">
        <f>L452</f>
        <v>19.53</v>
      </c>
      <c r="AZ461">
        <f>Source!X137</f>
        <v>1641.05</v>
      </c>
      <c r="BA461">
        <f>Source!Y137</f>
        <v>922.24</v>
      </c>
      <c r="CD461">
        <v>1</v>
      </c>
    </row>
    <row r="462" spans="1:101" ht="57" x14ac:dyDescent="0.2">
      <c r="A462" s="46" t="s">
        <v>242</v>
      </c>
      <c r="B462" s="48" t="s">
        <v>732</v>
      </c>
      <c r="C462" s="48" t="str">
        <f>Source!G138</f>
        <v>Гидравлическое испытание трубопроводов систем отопления, водопровода и горячего водоснабжения диаметром: до 100 мм</v>
      </c>
      <c r="D462" s="49" t="str">
        <f>Source!H138</f>
        <v>100 м</v>
      </c>
      <c r="E462" s="50">
        <f>Source!K138</f>
        <v>0.65</v>
      </c>
      <c r="F462" s="50"/>
      <c r="G462" s="50">
        <f>Source!I138</f>
        <v>0.65</v>
      </c>
      <c r="H462" s="52"/>
      <c r="I462" s="51"/>
      <c r="J462" s="52"/>
      <c r="K462" s="51"/>
      <c r="L462" s="52"/>
    </row>
    <row r="463" spans="1:101" ht="51" x14ac:dyDescent="0.2">
      <c r="B463" s="64" t="s">
        <v>644</v>
      </c>
      <c r="C463" s="130" t="s">
        <v>717</v>
      </c>
      <c r="D463" s="130"/>
      <c r="E463" s="130"/>
      <c r="F463" s="130"/>
      <c r="G463" s="130"/>
      <c r="H463" s="130"/>
      <c r="I463" s="130"/>
      <c r="J463" s="130"/>
      <c r="K463" s="130"/>
      <c r="L463" s="130"/>
      <c r="CW463" s="65" t="s">
        <v>717</v>
      </c>
    </row>
    <row r="464" spans="1:101" x14ac:dyDescent="0.2">
      <c r="C464" s="53" t="str">
        <f>"Объем: "&amp;Source!I138&amp;"=65/"&amp;"100"</f>
        <v>Объем: 0,65=65/100</v>
      </c>
    </row>
    <row r="465" spans="1:83" ht="15" x14ac:dyDescent="0.2">
      <c r="A465" s="47"/>
      <c r="B465" s="50">
        <v>1</v>
      </c>
      <c r="C465" s="47" t="s">
        <v>698</v>
      </c>
      <c r="D465" s="49" t="s">
        <v>449</v>
      </c>
      <c r="E465" s="54"/>
      <c r="F465" s="50"/>
      <c r="G465" s="50">
        <f>Source!U138</f>
        <v>3.7449750000000002</v>
      </c>
      <c r="H465" s="50"/>
      <c r="I465" s="50"/>
      <c r="J465" s="50"/>
      <c r="K465" s="50"/>
      <c r="L465" s="55">
        <f>SUM(L466:L466)-SUMIF(CE466:CE466, 1, L466:L466)</f>
        <v>3265.02</v>
      </c>
    </row>
    <row r="466" spans="1:83" ht="14.25" x14ac:dyDescent="0.2">
      <c r="A466" s="48"/>
      <c r="B466" s="48" t="s">
        <v>500</v>
      </c>
      <c r="C466" s="48" t="s">
        <v>501</v>
      </c>
      <c r="D466" s="49" t="s">
        <v>449</v>
      </c>
      <c r="E466" s="50">
        <v>5.01</v>
      </c>
      <c r="F466" s="50">
        <f>ROUND(1.15,7)</f>
        <v>1.1499999999999999</v>
      </c>
      <c r="G466" s="50">
        <f>SmtRes!CX125</f>
        <v>3.7449750000000002</v>
      </c>
      <c r="H466" s="52"/>
      <c r="I466" s="51"/>
      <c r="J466" s="52">
        <f>SmtRes!CZ125</f>
        <v>871.84</v>
      </c>
      <c r="K466" s="51"/>
      <c r="L466" s="52">
        <f>SmtRes!DI125</f>
        <v>3265.02</v>
      </c>
    </row>
    <row r="467" spans="1:83" ht="15" x14ac:dyDescent="0.2">
      <c r="A467" s="47"/>
      <c r="B467" s="50">
        <v>2</v>
      </c>
      <c r="C467" s="47" t="s">
        <v>699</v>
      </c>
      <c r="D467" s="49"/>
      <c r="E467" s="54"/>
      <c r="F467" s="50"/>
      <c r="G467" s="50"/>
      <c r="H467" s="50"/>
      <c r="I467" s="50"/>
      <c r="J467" s="50"/>
      <c r="K467" s="50"/>
      <c r="L467" s="55">
        <f>SUM(L468:L469)-SUMIF(CE468:CE469, 1, L468:L469)</f>
        <v>24.63</v>
      </c>
    </row>
    <row r="468" spans="1:83" ht="15" hidden="1" x14ac:dyDescent="0.2">
      <c r="A468" s="47"/>
      <c r="B468" s="50"/>
      <c r="C468" s="47" t="s">
        <v>701</v>
      </c>
      <c r="D468" s="49" t="s">
        <v>449</v>
      </c>
      <c r="E468" s="54"/>
      <c r="F468" s="50"/>
      <c r="G468" s="50">
        <f>Source!V138</f>
        <v>0</v>
      </c>
      <c r="H468" s="50"/>
      <c r="I468" s="50"/>
      <c r="J468" s="50"/>
      <c r="K468" s="50"/>
      <c r="L468" s="55">
        <f>SUMIF(CE469:CE469, 1, L469:L469)</f>
        <v>0</v>
      </c>
      <c r="CE468">
        <v>1</v>
      </c>
    </row>
    <row r="469" spans="1:83" ht="57" x14ac:dyDescent="0.2">
      <c r="A469" s="48"/>
      <c r="B469" s="48" t="s">
        <v>502</v>
      </c>
      <c r="C469" s="48" t="s">
        <v>504</v>
      </c>
      <c r="D469" s="49" t="s">
        <v>455</v>
      </c>
      <c r="E469" s="50">
        <v>1.5</v>
      </c>
      <c r="F469" s="50">
        <f>ROUND(1.25,7)</f>
        <v>1.25</v>
      </c>
      <c r="G469" s="50">
        <f>SmtRes!CX126</f>
        <v>1.21875</v>
      </c>
      <c r="H469" s="52">
        <f>SmtRes!CZ126</f>
        <v>14.13</v>
      </c>
      <c r="I469" s="51">
        <f>SmtRes!AJ126</f>
        <v>1.43</v>
      </c>
      <c r="J469" s="52">
        <f>ROUND(H469*I469, 2)</f>
        <v>20.21</v>
      </c>
      <c r="K469" s="51"/>
      <c r="L469" s="52">
        <f>SmtRes!DG126</f>
        <v>24.63</v>
      </c>
    </row>
    <row r="470" spans="1:83" ht="15" x14ac:dyDescent="0.2">
      <c r="A470" s="47"/>
      <c r="B470" s="50">
        <v>4</v>
      </c>
      <c r="C470" s="47" t="s">
        <v>702</v>
      </c>
      <c r="D470" s="49"/>
      <c r="E470" s="54"/>
      <c r="F470" s="50"/>
      <c r="G470" s="50"/>
      <c r="H470" s="50"/>
      <c r="I470" s="50"/>
      <c r="J470" s="50"/>
      <c r="K470" s="50"/>
      <c r="L470" s="55">
        <f>SUM(L471:L474)-SUMIF(CE471:CE474, 1, L471:L474)</f>
        <v>141.76</v>
      </c>
    </row>
    <row r="471" spans="1:83" ht="14.25" x14ac:dyDescent="0.2">
      <c r="A471" s="48"/>
      <c r="B471" s="48" t="s">
        <v>505</v>
      </c>
      <c r="C471" s="48" t="s">
        <v>507</v>
      </c>
      <c r="D471" s="49" t="s">
        <v>309</v>
      </c>
      <c r="E471" s="50">
        <v>3.8</v>
      </c>
      <c r="F471" s="50"/>
      <c r="G471" s="50">
        <f>SmtRes!CX127</f>
        <v>2.4700000000000002</v>
      </c>
      <c r="H471" s="52">
        <f>SmtRes!CZ127</f>
        <v>35.71</v>
      </c>
      <c r="I471" s="51">
        <f>SmtRes!AI127</f>
        <v>1.53</v>
      </c>
      <c r="J471" s="52">
        <f>ROUND(H471*I471, 2)</f>
        <v>54.64</v>
      </c>
      <c r="K471" s="51"/>
      <c r="L471" s="52">
        <f>SmtRes!DF127</f>
        <v>134.96</v>
      </c>
    </row>
    <row r="472" spans="1:83" ht="14.25" x14ac:dyDescent="0.2">
      <c r="A472" s="48"/>
      <c r="B472" s="48" t="s">
        <v>508</v>
      </c>
      <c r="C472" s="48" t="s">
        <v>510</v>
      </c>
      <c r="D472" s="49" t="s">
        <v>295</v>
      </c>
      <c r="E472" s="50">
        <v>0.02</v>
      </c>
      <c r="F472" s="50"/>
      <c r="G472" s="50">
        <f>SmtRes!CX128</f>
        <v>1.2999999999999999E-2</v>
      </c>
      <c r="H472" s="52">
        <f>SmtRes!CZ128</f>
        <v>128.4</v>
      </c>
      <c r="I472" s="51">
        <f>SmtRes!AI128</f>
        <v>1.33</v>
      </c>
      <c r="J472" s="52">
        <f>ROUND(H472*I472, 2)</f>
        <v>170.77</v>
      </c>
      <c r="K472" s="51"/>
      <c r="L472" s="52">
        <f>SmtRes!DF128</f>
        <v>2.2200000000000002</v>
      </c>
    </row>
    <row r="473" spans="1:83" ht="28.5" x14ac:dyDescent="0.2">
      <c r="A473" s="48"/>
      <c r="B473" s="48" t="s">
        <v>511</v>
      </c>
      <c r="C473" s="48" t="s">
        <v>513</v>
      </c>
      <c r="D473" s="49" t="s">
        <v>295</v>
      </c>
      <c r="E473" s="50">
        <v>0.05</v>
      </c>
      <c r="F473" s="50"/>
      <c r="G473" s="50">
        <f>SmtRes!CX129</f>
        <v>3.2500000000000001E-2</v>
      </c>
      <c r="H473" s="52">
        <f>SmtRes!CZ129</f>
        <v>79.88</v>
      </c>
      <c r="I473" s="51">
        <f>SmtRes!AI129</f>
        <v>1.4</v>
      </c>
      <c r="J473" s="52">
        <f>ROUND(H473*I473, 2)</f>
        <v>111.83</v>
      </c>
      <c r="K473" s="51"/>
      <c r="L473" s="52">
        <f>SmtRes!DF129</f>
        <v>3.63</v>
      </c>
    </row>
    <row r="474" spans="1:83" ht="57" x14ac:dyDescent="0.2">
      <c r="A474" s="48"/>
      <c r="B474" s="48" t="s">
        <v>514</v>
      </c>
      <c r="C474" s="56" t="s">
        <v>516</v>
      </c>
      <c r="D474" s="57" t="s">
        <v>35</v>
      </c>
      <c r="E474" s="58">
        <v>2.0000000000000002E-5</v>
      </c>
      <c r="F474" s="58"/>
      <c r="G474" s="58">
        <f>SmtRes!CX130</f>
        <v>1.2999999999999999E-5</v>
      </c>
      <c r="H474" s="59">
        <f>SmtRes!CZ130</f>
        <v>60697.21</v>
      </c>
      <c r="I474" s="60">
        <f>SmtRes!AI130</f>
        <v>1.2</v>
      </c>
      <c r="J474" s="59">
        <f>ROUND(H474*I474, 2)</f>
        <v>72836.649999999994</v>
      </c>
      <c r="K474" s="60"/>
      <c r="L474" s="59">
        <f>SmtRes!DF130</f>
        <v>0.95</v>
      </c>
    </row>
    <row r="475" spans="1:83" ht="15" x14ac:dyDescent="0.2">
      <c r="A475" s="48"/>
      <c r="B475" s="48"/>
      <c r="C475" s="62" t="s">
        <v>703</v>
      </c>
      <c r="D475" s="49"/>
      <c r="E475" s="50"/>
      <c r="F475" s="50"/>
      <c r="G475" s="50"/>
      <c r="H475" s="52"/>
      <c r="I475" s="51"/>
      <c r="J475" s="52"/>
      <c r="K475" s="51"/>
      <c r="L475" s="52">
        <f>L465+L467+L468+L470</f>
        <v>3431.41</v>
      </c>
    </row>
    <row r="476" spans="1:83" ht="14.25" x14ac:dyDescent="0.2">
      <c r="A476" s="48"/>
      <c r="B476" s="48"/>
      <c r="C476" s="48" t="s">
        <v>706</v>
      </c>
      <c r="D476" s="49"/>
      <c r="E476" s="50"/>
      <c r="F476" s="50"/>
      <c r="G476" s="50"/>
      <c r="H476" s="52"/>
      <c r="I476" s="51"/>
      <c r="J476" s="52"/>
      <c r="K476" s="51"/>
      <c r="L476" s="52">
        <f>SUM(AR462:AR479)+SUM(AS462:AS479)+SUM(AT462:AT479)+SUM(AU462:AU479)+SUM(AV462:AV479)</f>
        <v>3265.02</v>
      </c>
    </row>
    <row r="477" spans="1:83" ht="71.25" x14ac:dyDescent="0.2">
      <c r="A477" s="48"/>
      <c r="B477" s="48" t="s">
        <v>721</v>
      </c>
      <c r="C477" s="48" t="s">
        <v>722</v>
      </c>
      <c r="D477" s="49" t="s">
        <v>83</v>
      </c>
      <c r="E477" s="50">
        <f>Source!BZ138</f>
        <v>121</v>
      </c>
      <c r="F477" s="50">
        <f>ROUND(0.9,7)</f>
        <v>0.9</v>
      </c>
      <c r="G477" s="50">
        <f>Source!AT138</f>
        <v>108.9</v>
      </c>
      <c r="H477" s="52"/>
      <c r="I477" s="51"/>
      <c r="J477" s="52"/>
      <c r="K477" s="51"/>
      <c r="L477" s="52">
        <f>SUM(AZ462:AZ479)</f>
        <v>3555.61</v>
      </c>
    </row>
    <row r="478" spans="1:83" ht="71.25" x14ac:dyDescent="0.2">
      <c r="A478" s="56"/>
      <c r="B478" s="56" t="s">
        <v>723</v>
      </c>
      <c r="C478" s="56" t="s">
        <v>724</v>
      </c>
      <c r="D478" s="57" t="s">
        <v>83</v>
      </c>
      <c r="E478" s="58">
        <f>Source!CA138</f>
        <v>72</v>
      </c>
      <c r="F478" s="58">
        <f>ROUND(0.85,7)</f>
        <v>0.85</v>
      </c>
      <c r="G478" s="58">
        <f>Source!AU138</f>
        <v>61.2</v>
      </c>
      <c r="H478" s="59"/>
      <c r="I478" s="60"/>
      <c r="J478" s="59"/>
      <c r="K478" s="60"/>
      <c r="L478" s="59">
        <f>SUM(BA462:BA479)</f>
        <v>1998.19</v>
      </c>
    </row>
    <row r="479" spans="1:83" ht="15" x14ac:dyDescent="0.2">
      <c r="C479" s="131" t="s">
        <v>709</v>
      </c>
      <c r="D479" s="131"/>
      <c r="E479" s="131"/>
      <c r="F479" s="131"/>
      <c r="G479" s="131"/>
      <c r="H479" s="131"/>
      <c r="I479" s="132">
        <f>IF(E462&lt;&gt;0,K479/E462, 0)</f>
        <v>13823.400000000001</v>
      </c>
      <c r="J479" s="132"/>
      <c r="K479" s="132">
        <f>L465+L467+L470+L477+L478+L468</f>
        <v>8985.2100000000009</v>
      </c>
      <c r="L479" s="132"/>
      <c r="AD479">
        <f>ROUND((Source!AT138/100)*((ROUND(SUMIF(SmtRes!AQ125:'SmtRes'!AQ130,"=1",SmtRes!AD125:'SmtRes'!AD130)*Source!I138, 2)+ROUND(SUMIF(SmtRes!AQ125:'SmtRes'!AQ130,"=1",SmtRes!AC125:'SmtRes'!AC130)*Source!I138, 2))), 2)</f>
        <v>617.14</v>
      </c>
      <c r="AE479">
        <f>ROUND((Source!AU138/100)*((ROUND(SUMIF(SmtRes!AQ125:'SmtRes'!AQ130,"=1",SmtRes!AD125:'SmtRes'!AD130)*Source!I138, 2)+ROUND(SUMIF(SmtRes!AQ125:'SmtRes'!AQ130,"=1",SmtRes!AC125:'SmtRes'!AC130)*Source!I138, 2))), 2)</f>
        <v>346.82</v>
      </c>
      <c r="AN479" s="61">
        <f>L465+L467+L470+L477+L478+L468</f>
        <v>8985.2100000000009</v>
      </c>
      <c r="AO479" s="61">
        <f>L467</f>
        <v>24.63</v>
      </c>
      <c r="AQ479" t="s">
        <v>710</v>
      </c>
      <c r="AR479" s="61">
        <f>L465</f>
        <v>3265.02</v>
      </c>
      <c r="AT479" s="61">
        <f>L468</f>
        <v>0</v>
      </c>
      <c r="AV479" t="s">
        <v>710</v>
      </c>
      <c r="AW479" s="61">
        <f>L470</f>
        <v>141.76</v>
      </c>
      <c r="AZ479">
        <f>Source!X138</f>
        <v>3555.61</v>
      </c>
      <c r="BA479">
        <f>Source!Y138</f>
        <v>1998.19</v>
      </c>
      <c r="CD479">
        <v>1</v>
      </c>
    </row>
    <row r="480" spans="1:83" ht="28.5" x14ac:dyDescent="0.2">
      <c r="A480" s="46" t="s">
        <v>244</v>
      </c>
      <c r="B480" s="48" t="s">
        <v>767</v>
      </c>
      <c r="C480" s="48" t="str">
        <f>Source!G139</f>
        <v>Установка манометров: с трехходовым краном</v>
      </c>
      <c r="D480" s="49" t="str">
        <f>Source!H139</f>
        <v>КОМПЛ</v>
      </c>
      <c r="E480" s="50">
        <f>Source!K139</f>
        <v>12</v>
      </c>
      <c r="F480" s="50"/>
      <c r="G480" s="50">
        <f>Source!I139</f>
        <v>12</v>
      </c>
      <c r="H480" s="52"/>
      <c r="I480" s="51"/>
      <c r="J480" s="52"/>
      <c r="K480" s="51"/>
      <c r="L480" s="52"/>
    </row>
    <row r="481" spans="1:101" ht="51" x14ac:dyDescent="0.2">
      <c r="B481" s="64" t="s">
        <v>644</v>
      </c>
      <c r="C481" s="130" t="s">
        <v>717</v>
      </c>
      <c r="D481" s="130"/>
      <c r="E481" s="130"/>
      <c r="F481" s="130"/>
      <c r="G481" s="130"/>
      <c r="H481" s="130"/>
      <c r="I481" s="130"/>
      <c r="J481" s="130"/>
      <c r="K481" s="130"/>
      <c r="L481" s="130"/>
      <c r="CW481" s="65" t="s">
        <v>717</v>
      </c>
    </row>
    <row r="482" spans="1:101" ht="15" x14ac:dyDescent="0.2">
      <c r="A482" s="47"/>
      <c r="B482" s="50">
        <v>1</v>
      </c>
      <c r="C482" s="47" t="s">
        <v>698</v>
      </c>
      <c r="D482" s="49" t="s">
        <v>449</v>
      </c>
      <c r="E482" s="54"/>
      <c r="F482" s="50"/>
      <c r="G482" s="50">
        <f>Source!U139</f>
        <v>3.036</v>
      </c>
      <c r="H482" s="50"/>
      <c r="I482" s="50"/>
      <c r="J482" s="50"/>
      <c r="K482" s="50"/>
      <c r="L482" s="55">
        <f>SUM(L483:L483)-SUMIF(CE483:CE483, 1, L483:L483)</f>
        <v>2257.5700000000002</v>
      </c>
    </row>
    <row r="483" spans="1:101" ht="14.25" x14ac:dyDescent="0.2">
      <c r="A483" s="48"/>
      <c r="B483" s="48" t="s">
        <v>525</v>
      </c>
      <c r="C483" s="48" t="s">
        <v>526</v>
      </c>
      <c r="D483" s="49" t="s">
        <v>449</v>
      </c>
      <c r="E483" s="50">
        <v>0.22</v>
      </c>
      <c r="F483" s="50">
        <f>ROUND(1.15,7)</f>
        <v>1.1499999999999999</v>
      </c>
      <c r="G483" s="50">
        <f>SmtRes!CX131</f>
        <v>3.036</v>
      </c>
      <c r="H483" s="52"/>
      <c r="I483" s="51"/>
      <c r="J483" s="52">
        <f>SmtRes!CZ131</f>
        <v>743.6</v>
      </c>
      <c r="K483" s="51"/>
      <c r="L483" s="52">
        <f>SmtRes!DI131</f>
        <v>2257.5700000000002</v>
      </c>
    </row>
    <row r="484" spans="1:101" ht="15" x14ac:dyDescent="0.2">
      <c r="A484" s="47"/>
      <c r="B484" s="50">
        <v>4</v>
      </c>
      <c r="C484" s="47" t="s">
        <v>702</v>
      </c>
      <c r="D484" s="49"/>
      <c r="E484" s="54"/>
      <c r="F484" s="50"/>
      <c r="G484" s="50"/>
      <c r="H484" s="50"/>
      <c r="I484" s="50"/>
      <c r="J484" s="50"/>
      <c r="K484" s="50"/>
      <c r="L484" s="55">
        <f>SUM(L485:L487)-SUMIF(CE485:CE487, 1, L485:L487)</f>
        <v>56.07</v>
      </c>
    </row>
    <row r="485" spans="1:101" ht="14.25" x14ac:dyDescent="0.2">
      <c r="A485" s="48"/>
      <c r="B485" s="48" t="s">
        <v>508</v>
      </c>
      <c r="C485" s="48" t="s">
        <v>510</v>
      </c>
      <c r="D485" s="49" t="s">
        <v>295</v>
      </c>
      <c r="E485" s="50">
        <v>0.01</v>
      </c>
      <c r="F485" s="50"/>
      <c r="G485" s="50">
        <f>SmtRes!CX132</f>
        <v>0.12</v>
      </c>
      <c r="H485" s="52">
        <f>SmtRes!CZ132</f>
        <v>128.4</v>
      </c>
      <c r="I485" s="51">
        <f>SmtRes!AI132</f>
        <v>1.33</v>
      </c>
      <c r="J485" s="52">
        <f>ROUND(H485*I485, 2)</f>
        <v>170.77</v>
      </c>
      <c r="K485" s="51"/>
      <c r="L485" s="52">
        <f>SmtRes!DF132</f>
        <v>20.49</v>
      </c>
    </row>
    <row r="486" spans="1:101" ht="28.5" x14ac:dyDescent="0.2">
      <c r="A486" s="48"/>
      <c r="B486" s="48" t="s">
        <v>511</v>
      </c>
      <c r="C486" s="48" t="s">
        <v>513</v>
      </c>
      <c r="D486" s="49" t="s">
        <v>295</v>
      </c>
      <c r="E486" s="50">
        <v>0.02</v>
      </c>
      <c r="F486" s="50"/>
      <c r="G486" s="50">
        <f>SmtRes!CX133</f>
        <v>0.24</v>
      </c>
      <c r="H486" s="52">
        <f>SmtRes!CZ133</f>
        <v>79.88</v>
      </c>
      <c r="I486" s="51">
        <f>SmtRes!AI133</f>
        <v>1.4</v>
      </c>
      <c r="J486" s="52">
        <f>ROUND(H486*I486, 2)</f>
        <v>111.83</v>
      </c>
      <c r="K486" s="51"/>
      <c r="L486" s="52">
        <f>SmtRes!DF133</f>
        <v>26.84</v>
      </c>
    </row>
    <row r="487" spans="1:101" ht="57" x14ac:dyDescent="0.2">
      <c r="A487" s="48"/>
      <c r="B487" s="48" t="s">
        <v>514</v>
      </c>
      <c r="C487" s="56" t="s">
        <v>516</v>
      </c>
      <c r="D487" s="57" t="s">
        <v>35</v>
      </c>
      <c r="E487" s="58">
        <v>1.0000000000000001E-5</v>
      </c>
      <c r="F487" s="58"/>
      <c r="G487" s="58">
        <f>SmtRes!CX134</f>
        <v>1.2E-4</v>
      </c>
      <c r="H487" s="59">
        <f>SmtRes!CZ134</f>
        <v>60697.21</v>
      </c>
      <c r="I487" s="60">
        <f>SmtRes!AI134</f>
        <v>1.2</v>
      </c>
      <c r="J487" s="59">
        <f>ROUND(H487*I487, 2)</f>
        <v>72836.649999999994</v>
      </c>
      <c r="K487" s="60"/>
      <c r="L487" s="59">
        <f>SmtRes!DF134</f>
        <v>8.74</v>
      </c>
    </row>
    <row r="488" spans="1:101" ht="15" x14ac:dyDescent="0.2">
      <c r="A488" s="48"/>
      <c r="B488" s="48"/>
      <c r="C488" s="62" t="s">
        <v>703</v>
      </c>
      <c r="D488" s="49"/>
      <c r="E488" s="50"/>
      <c r="F488" s="50"/>
      <c r="G488" s="50"/>
      <c r="H488" s="52"/>
      <c r="I488" s="51"/>
      <c r="J488" s="52"/>
      <c r="K488" s="51"/>
      <c r="L488" s="52">
        <f>L482+L484</f>
        <v>2313.6400000000003</v>
      </c>
    </row>
    <row r="489" spans="1:101" ht="57" x14ac:dyDescent="0.2">
      <c r="A489" s="70" t="s">
        <v>787</v>
      </c>
      <c r="B489" s="71" t="str">
        <f>Source!F140</f>
        <v>63.4.01.02-0020</v>
      </c>
      <c r="C489" s="71" t="s">
        <v>769</v>
      </c>
      <c r="D489" s="72" t="str">
        <f>Source!H140</f>
        <v>ШТ</v>
      </c>
      <c r="E489" s="73">
        <f>SmtRes!AT135</f>
        <v>1</v>
      </c>
      <c r="F489" s="73"/>
      <c r="G489" s="73">
        <f>Source!I140</f>
        <v>12</v>
      </c>
      <c r="H489" s="75">
        <f>Source!AL140+Source!AO140+Source!AM140+Source!AN140</f>
        <v>624.23</v>
      </c>
      <c r="I489" s="74">
        <f>IF(Source!BC140&lt;&gt; 0, Source!BC140, 1)</f>
        <v>1</v>
      </c>
      <c r="J489" s="75">
        <f>ROUND(H489*I489, 2)</f>
        <v>624.23</v>
      </c>
      <c r="K489" s="74"/>
      <c r="L489" s="75">
        <f>Source!P140</f>
        <v>7490.76</v>
      </c>
      <c r="AD489">
        <f>ROUND((Source!AT140/100)*((ROUND(ROUND(Source!AO140,2)*Source!I140, 2)+ROUND(ROUND(Source!AN140,2)*Source!I140, 2))), 2)</f>
        <v>0</v>
      </c>
      <c r="AE489">
        <f>ROUND((Source!AU140/100)*((ROUND(ROUND(Source!AO140,2)*Source!I140, 2)+ROUND(ROUND(Source!AN140,2)*Source!I140, 2))), 2)</f>
        <v>0</v>
      </c>
      <c r="AN489">
        <f>L489</f>
        <v>7490.76</v>
      </c>
      <c r="AW489">
        <f>L489</f>
        <v>7490.76</v>
      </c>
      <c r="AZ489">
        <f>Source!X140</f>
        <v>0</v>
      </c>
      <c r="BA489">
        <f>Source!Y140</f>
        <v>0</v>
      </c>
      <c r="BK489">
        <f>L489</f>
        <v>7490.76</v>
      </c>
      <c r="CD489">
        <v>3</v>
      </c>
    </row>
    <row r="490" spans="1:101" ht="14.25" x14ac:dyDescent="0.2">
      <c r="A490" s="48"/>
      <c r="B490" s="48"/>
      <c r="C490" s="48" t="s">
        <v>706</v>
      </c>
      <c r="D490" s="49"/>
      <c r="E490" s="50"/>
      <c r="F490" s="50"/>
      <c r="G490" s="50"/>
      <c r="H490" s="52"/>
      <c r="I490" s="51"/>
      <c r="J490" s="52"/>
      <c r="K490" s="51"/>
      <c r="L490" s="52">
        <f>SUM(AR480:AR493)+SUM(AS480:AS493)+SUM(AT480:AT493)+SUM(AU480:AU493)+SUM(AV480:AV493)</f>
        <v>2257.5700000000002</v>
      </c>
    </row>
    <row r="491" spans="1:101" ht="71.25" x14ac:dyDescent="0.2">
      <c r="A491" s="48"/>
      <c r="B491" s="48" t="s">
        <v>721</v>
      </c>
      <c r="C491" s="48" t="s">
        <v>722</v>
      </c>
      <c r="D491" s="49" t="s">
        <v>83</v>
      </c>
      <c r="E491" s="50">
        <f>Source!BZ139</f>
        <v>121</v>
      </c>
      <c r="F491" s="50">
        <f>ROUND(0.9,7)</f>
        <v>0.9</v>
      </c>
      <c r="G491" s="50">
        <f>Source!AT139</f>
        <v>108.9</v>
      </c>
      <c r="H491" s="52"/>
      <c r="I491" s="51"/>
      <c r="J491" s="52"/>
      <c r="K491" s="51"/>
      <c r="L491" s="52">
        <f>SUM(AZ480:AZ493)</f>
        <v>2458.4899999999998</v>
      </c>
    </row>
    <row r="492" spans="1:101" ht="71.25" x14ac:dyDescent="0.2">
      <c r="A492" s="56"/>
      <c r="B492" s="56" t="s">
        <v>723</v>
      </c>
      <c r="C492" s="56" t="s">
        <v>724</v>
      </c>
      <c r="D492" s="57" t="s">
        <v>83</v>
      </c>
      <c r="E492" s="58">
        <f>Source!CA139</f>
        <v>72</v>
      </c>
      <c r="F492" s="58">
        <f>ROUND(0.85,7)</f>
        <v>0.85</v>
      </c>
      <c r="G492" s="58">
        <f>Source!AU139</f>
        <v>61.2</v>
      </c>
      <c r="H492" s="59"/>
      <c r="I492" s="60"/>
      <c r="J492" s="59"/>
      <c r="K492" s="60"/>
      <c r="L492" s="59">
        <f>SUM(BA480:BA493)</f>
        <v>1381.63</v>
      </c>
    </row>
    <row r="493" spans="1:101" ht="15" x14ac:dyDescent="0.2">
      <c r="C493" s="131" t="s">
        <v>709</v>
      </c>
      <c r="D493" s="131"/>
      <c r="E493" s="131"/>
      <c r="F493" s="131"/>
      <c r="G493" s="131"/>
      <c r="H493" s="131"/>
      <c r="I493" s="132">
        <f>IF(E480&lt;&gt;0,K493/E480, 0)</f>
        <v>1137.0433333333333</v>
      </c>
      <c r="J493" s="132"/>
      <c r="K493" s="132">
        <f>L482+L484+L491+L492+SUM(L489:L489)</f>
        <v>13644.52</v>
      </c>
      <c r="L493" s="132"/>
      <c r="AD493">
        <f>ROUND((Source!AT139/100)*((ROUND(SUMIF(SmtRes!AQ131:'SmtRes'!AQ135,"=1",SmtRes!AD131:'SmtRes'!AD135)*Source!I139, 2)+ROUND(SUMIF(SmtRes!AQ131:'SmtRes'!AQ135,"=1",SmtRes!AC131:'SmtRes'!AC135)*Source!I139, 2))), 2)</f>
        <v>9717.36</v>
      </c>
      <c r="AE493">
        <f>ROUND((Source!AU139/100)*((ROUND(SUMIF(SmtRes!AQ131:'SmtRes'!AQ135,"=1",SmtRes!AD131:'SmtRes'!AD135)*Source!I139, 2)+ROUND(SUMIF(SmtRes!AQ131:'SmtRes'!AQ135,"=1",SmtRes!AC131:'SmtRes'!AC135)*Source!I139, 2))), 2)</f>
        <v>5461</v>
      </c>
      <c r="AN493" s="61">
        <f>L482+L484+L491+L492</f>
        <v>6153.76</v>
      </c>
      <c r="AO493">
        <f>0</f>
        <v>0</v>
      </c>
      <c r="AQ493" t="s">
        <v>710</v>
      </c>
      <c r="AR493" s="61">
        <f>L482</f>
        <v>2257.5700000000002</v>
      </c>
      <c r="AT493">
        <f>0</f>
        <v>0</v>
      </c>
      <c r="AV493" t="s">
        <v>710</v>
      </c>
      <c r="AW493" s="61">
        <f>L484</f>
        <v>56.07</v>
      </c>
      <c r="AZ493">
        <f>Source!X139</f>
        <v>2458.4899999999998</v>
      </c>
      <c r="BA493">
        <f>Source!Y139</f>
        <v>1381.63</v>
      </c>
      <c r="CD493">
        <v>1</v>
      </c>
    </row>
    <row r="494" spans="1:101" ht="28.5" x14ac:dyDescent="0.2">
      <c r="A494" s="46" t="s">
        <v>246</v>
      </c>
      <c r="B494" s="48" t="s">
        <v>788</v>
      </c>
      <c r="C494" s="48" t="str">
        <f>Source!G141</f>
        <v>Смена внутренних трубопроводов из стальных труб диаметром: до 40 мм</v>
      </c>
      <c r="D494" s="49" t="str">
        <f>Source!H141</f>
        <v>100 м</v>
      </c>
      <c r="E494" s="50">
        <f>Source!K141</f>
        <v>0.12</v>
      </c>
      <c r="F494" s="50"/>
      <c r="G494" s="50">
        <f>Source!I141</f>
        <v>0.12</v>
      </c>
      <c r="H494" s="52"/>
      <c r="I494" s="51"/>
      <c r="J494" s="52"/>
      <c r="K494" s="51"/>
      <c r="L494" s="52"/>
    </row>
    <row r="495" spans="1:101" x14ac:dyDescent="0.2">
      <c r="C495" s="53" t="str">
        <f>"Объем: "&amp;Source!I141&amp;"=12/"&amp;"100"</f>
        <v>Объем: 0,12=12/100</v>
      </c>
    </row>
    <row r="496" spans="1:101" ht="15" x14ac:dyDescent="0.2">
      <c r="A496" s="47"/>
      <c r="B496" s="50">
        <v>1</v>
      </c>
      <c r="C496" s="47" t="s">
        <v>698</v>
      </c>
      <c r="D496" s="49" t="s">
        <v>449</v>
      </c>
      <c r="E496" s="54"/>
      <c r="F496" s="50"/>
      <c r="G496" s="50">
        <f>Source!U141</f>
        <v>14.568</v>
      </c>
      <c r="H496" s="50"/>
      <c r="I496" s="50"/>
      <c r="J496" s="50"/>
      <c r="K496" s="50"/>
      <c r="L496" s="55">
        <f>SUM(L497:L497)-SUMIF(CE497:CE497, 1, L497:L497)</f>
        <v>10518.82</v>
      </c>
    </row>
    <row r="497" spans="1:83" ht="14.25" x14ac:dyDescent="0.2">
      <c r="A497" s="48"/>
      <c r="B497" s="48" t="s">
        <v>486</v>
      </c>
      <c r="C497" s="48" t="s">
        <v>487</v>
      </c>
      <c r="D497" s="49" t="s">
        <v>449</v>
      </c>
      <c r="E497" s="50">
        <v>121.4</v>
      </c>
      <c r="F497" s="50"/>
      <c r="G497" s="50">
        <f>SmtRes!CX136</f>
        <v>14.568</v>
      </c>
      <c r="H497" s="52"/>
      <c r="I497" s="51"/>
      <c r="J497" s="52">
        <f>SmtRes!CZ136</f>
        <v>722.05</v>
      </c>
      <c r="K497" s="51"/>
      <c r="L497" s="52">
        <f>SmtRes!DI136</f>
        <v>10518.82</v>
      </c>
    </row>
    <row r="498" spans="1:83" ht="15" x14ac:dyDescent="0.2">
      <c r="A498" s="47"/>
      <c r="B498" s="50">
        <v>2</v>
      </c>
      <c r="C498" s="47" t="s">
        <v>699</v>
      </c>
      <c r="D498" s="49"/>
      <c r="E498" s="54"/>
      <c r="F498" s="50"/>
      <c r="G498" s="50"/>
      <c r="H498" s="50"/>
      <c r="I498" s="50"/>
      <c r="J498" s="50"/>
      <c r="K498" s="50"/>
      <c r="L498" s="55">
        <f>SUM(L499:L505)-SUMIF(CE499:CE505, 1, L499:L505)</f>
        <v>37.360000000000014</v>
      </c>
    </row>
    <row r="499" spans="1:83" ht="15" x14ac:dyDescent="0.2">
      <c r="A499" s="47"/>
      <c r="B499" s="50"/>
      <c r="C499" s="47" t="s">
        <v>701</v>
      </c>
      <c r="D499" s="49" t="s">
        <v>449</v>
      </c>
      <c r="E499" s="54"/>
      <c r="F499" s="50"/>
      <c r="G499" s="50">
        <f>Source!V141</f>
        <v>5.04E-2</v>
      </c>
      <c r="H499" s="50"/>
      <c r="I499" s="50"/>
      <c r="J499" s="50"/>
      <c r="K499" s="50"/>
      <c r="L499" s="55">
        <f>SUMIF(CE500:CE505, 1, L500:L505)</f>
        <v>34.36</v>
      </c>
      <c r="CE499">
        <v>1</v>
      </c>
    </row>
    <row r="500" spans="1:83" ht="42.75" x14ac:dyDescent="0.2">
      <c r="A500" s="48"/>
      <c r="B500" s="48" t="s">
        <v>466</v>
      </c>
      <c r="C500" s="48" t="s">
        <v>468</v>
      </c>
      <c r="D500" s="49" t="s">
        <v>455</v>
      </c>
      <c r="E500" s="50">
        <v>0.21</v>
      </c>
      <c r="F500" s="50"/>
      <c r="G500" s="50">
        <f>SmtRes!CX138</f>
        <v>2.52E-2</v>
      </c>
      <c r="H500" s="52">
        <f>SmtRes!CZ138</f>
        <v>37.32</v>
      </c>
      <c r="I500" s="51">
        <f>SmtRes!AJ138</f>
        <v>1.54</v>
      </c>
      <c r="J500" s="52">
        <f>ROUND(H500*I500, 2)</f>
        <v>57.47</v>
      </c>
      <c r="K500" s="51"/>
      <c r="L500" s="52">
        <f>SmtRes!DG138</f>
        <v>1.45</v>
      </c>
    </row>
    <row r="501" spans="1:83" ht="28.5" x14ac:dyDescent="0.2">
      <c r="A501" s="48"/>
      <c r="B501" s="48" t="s">
        <v>469</v>
      </c>
      <c r="C501" s="48" t="s">
        <v>712</v>
      </c>
      <c r="D501" s="49" t="s">
        <v>449</v>
      </c>
      <c r="E501" s="50">
        <f>SmtRes!DO138*SmtRes!AT138</f>
        <v>0.21</v>
      </c>
      <c r="F501" s="50"/>
      <c r="G501" s="50">
        <f>ROUND(E501*G494, 7)</f>
        <v>2.52E-2</v>
      </c>
      <c r="H501" s="52"/>
      <c r="I501" s="51"/>
      <c r="J501" s="52">
        <f>ROUND(SmtRes!AG138/SmtRes!DO138, 2)</f>
        <v>641.22</v>
      </c>
      <c r="K501" s="51"/>
      <c r="L501" s="52">
        <f>SmtRes!DH138</f>
        <v>16.16</v>
      </c>
      <c r="CE501">
        <v>1</v>
      </c>
    </row>
    <row r="502" spans="1:83" ht="28.5" x14ac:dyDescent="0.2">
      <c r="A502" s="48"/>
      <c r="B502" s="48" t="s">
        <v>452</v>
      </c>
      <c r="C502" s="48" t="s">
        <v>454</v>
      </c>
      <c r="D502" s="49" t="s">
        <v>455</v>
      </c>
      <c r="E502" s="50">
        <v>0.21</v>
      </c>
      <c r="F502" s="50"/>
      <c r="G502" s="50">
        <f>SmtRes!CX139</f>
        <v>2.52E-2</v>
      </c>
      <c r="H502" s="52"/>
      <c r="I502" s="51"/>
      <c r="J502" s="52">
        <f>SmtRes!CZ139</f>
        <v>643.29</v>
      </c>
      <c r="K502" s="51"/>
      <c r="L502" s="52">
        <f>SmtRes!DG139</f>
        <v>16.21</v>
      </c>
    </row>
    <row r="503" spans="1:83" ht="28.5" x14ac:dyDescent="0.2">
      <c r="A503" s="48"/>
      <c r="B503" s="48" t="s">
        <v>456</v>
      </c>
      <c r="C503" s="48" t="s">
        <v>700</v>
      </c>
      <c r="D503" s="49" t="s">
        <v>449</v>
      </c>
      <c r="E503" s="50">
        <f>SmtRes!DO139*SmtRes!AT139</f>
        <v>0.21</v>
      </c>
      <c r="F503" s="50"/>
      <c r="G503" s="50">
        <f>ROUND(E503*G494, 7)</f>
        <v>2.52E-2</v>
      </c>
      <c r="H503" s="52"/>
      <c r="I503" s="51"/>
      <c r="J503" s="52">
        <f>ROUND(SmtRes!AG139/SmtRes!DO139, 2)</f>
        <v>722.05</v>
      </c>
      <c r="K503" s="51"/>
      <c r="L503" s="52">
        <f>SmtRes!DH139</f>
        <v>18.2</v>
      </c>
      <c r="CE503">
        <v>1</v>
      </c>
    </row>
    <row r="504" spans="1:83" ht="14.25" x14ac:dyDescent="0.2">
      <c r="A504" s="48"/>
      <c r="B504" s="48" t="s">
        <v>553</v>
      </c>
      <c r="C504" s="48" t="s">
        <v>555</v>
      </c>
      <c r="D504" s="49" t="s">
        <v>455</v>
      </c>
      <c r="E504" s="50">
        <v>3.07</v>
      </c>
      <c r="F504" s="50"/>
      <c r="G504" s="50">
        <f>SmtRes!CX140</f>
        <v>0.36840000000000001</v>
      </c>
      <c r="H504" s="52">
        <f>SmtRes!CZ140</f>
        <v>4.3499999999999996</v>
      </c>
      <c r="I504" s="51">
        <f>SmtRes!AJ140</f>
        <v>1.23</v>
      </c>
      <c r="J504" s="52">
        <f>ROUND(H504*I504, 2)</f>
        <v>5.35</v>
      </c>
      <c r="K504" s="51"/>
      <c r="L504" s="52">
        <f>SmtRes!DG140</f>
        <v>1.97</v>
      </c>
    </row>
    <row r="505" spans="1:83" ht="42.75" x14ac:dyDescent="0.2">
      <c r="A505" s="48"/>
      <c r="B505" s="48" t="s">
        <v>477</v>
      </c>
      <c r="C505" s="48" t="s">
        <v>479</v>
      </c>
      <c r="D505" s="49" t="s">
        <v>455</v>
      </c>
      <c r="E505" s="50">
        <v>4.58</v>
      </c>
      <c r="F505" s="50"/>
      <c r="G505" s="50">
        <f>SmtRes!CX141</f>
        <v>0.54959999999999998</v>
      </c>
      <c r="H505" s="52"/>
      <c r="I505" s="51"/>
      <c r="J505" s="52">
        <f>SmtRes!CZ141</f>
        <v>32.26</v>
      </c>
      <c r="K505" s="51"/>
      <c r="L505" s="52">
        <f>SmtRes!DG141</f>
        <v>17.73</v>
      </c>
    </row>
    <row r="506" spans="1:83" ht="15" x14ac:dyDescent="0.2">
      <c r="A506" s="47"/>
      <c r="B506" s="50">
        <v>4</v>
      </c>
      <c r="C506" s="47" t="s">
        <v>702</v>
      </c>
      <c r="D506" s="49"/>
      <c r="E506" s="54"/>
      <c r="F506" s="50"/>
      <c r="G506" s="50"/>
      <c r="H506" s="50"/>
      <c r="I506" s="50"/>
      <c r="J506" s="50"/>
      <c r="K506" s="50"/>
      <c r="L506" s="55">
        <f>SUM(L507:L513)-SUMIF(CE507:CE513, 1, L507:L513)</f>
        <v>55.9</v>
      </c>
    </row>
    <row r="507" spans="1:83" ht="14.25" x14ac:dyDescent="0.2">
      <c r="A507" s="48"/>
      <c r="B507" s="48" t="s">
        <v>488</v>
      </c>
      <c r="C507" s="48" t="s">
        <v>490</v>
      </c>
      <c r="D507" s="49" t="s">
        <v>309</v>
      </c>
      <c r="E507" s="50">
        <v>0.23</v>
      </c>
      <c r="F507" s="50"/>
      <c r="G507" s="50">
        <f>SmtRes!CX142</f>
        <v>2.76E-2</v>
      </c>
      <c r="H507" s="52">
        <f>SmtRes!CZ142</f>
        <v>340.41</v>
      </c>
      <c r="I507" s="51">
        <f>SmtRes!AI142</f>
        <v>1.5</v>
      </c>
      <c r="J507" s="52">
        <f t="shared" ref="J507:J513" si="1">ROUND(H507*I507, 2)</f>
        <v>510.62</v>
      </c>
      <c r="K507" s="51"/>
      <c r="L507" s="52">
        <f>SmtRes!DF142</f>
        <v>14.09</v>
      </c>
    </row>
    <row r="508" spans="1:83" ht="14.25" x14ac:dyDescent="0.2">
      <c r="A508" s="48"/>
      <c r="B508" s="48" t="s">
        <v>491</v>
      </c>
      <c r="C508" s="48" t="s">
        <v>493</v>
      </c>
      <c r="D508" s="49" t="s">
        <v>309</v>
      </c>
      <c r="E508" s="50">
        <v>0.51</v>
      </c>
      <c r="F508" s="50"/>
      <c r="G508" s="50">
        <f>SmtRes!CX143</f>
        <v>6.1199999999999997E-2</v>
      </c>
      <c r="H508" s="52">
        <f>SmtRes!CZ143</f>
        <v>114.64</v>
      </c>
      <c r="I508" s="51">
        <f>SmtRes!AI143</f>
        <v>0.85</v>
      </c>
      <c r="J508" s="52">
        <f t="shared" si="1"/>
        <v>97.44</v>
      </c>
      <c r="K508" s="51"/>
      <c r="L508" s="52">
        <f>SmtRes!DF143</f>
        <v>5.96</v>
      </c>
    </row>
    <row r="509" spans="1:83" ht="14.25" x14ac:dyDescent="0.2">
      <c r="A509" s="48"/>
      <c r="B509" s="48" t="s">
        <v>508</v>
      </c>
      <c r="C509" s="48" t="s">
        <v>510</v>
      </c>
      <c r="D509" s="49" t="s">
        <v>295</v>
      </c>
      <c r="E509" s="50">
        <v>0.05</v>
      </c>
      <c r="F509" s="50"/>
      <c r="G509" s="50">
        <f>SmtRes!CX144</f>
        <v>6.0000000000000001E-3</v>
      </c>
      <c r="H509" s="52">
        <f>SmtRes!CZ144</f>
        <v>128.4</v>
      </c>
      <c r="I509" s="51">
        <f>SmtRes!AI144</f>
        <v>1.33</v>
      </c>
      <c r="J509" s="52">
        <f t="shared" si="1"/>
        <v>170.77</v>
      </c>
      <c r="K509" s="51"/>
      <c r="L509" s="52">
        <f>SmtRes!DF144</f>
        <v>1.02</v>
      </c>
    </row>
    <row r="510" spans="1:83" ht="28.5" x14ac:dyDescent="0.2">
      <c r="A510" s="48"/>
      <c r="B510" s="48" t="s">
        <v>556</v>
      </c>
      <c r="C510" s="48" t="s">
        <v>558</v>
      </c>
      <c r="D510" s="49" t="s">
        <v>35</v>
      </c>
      <c r="E510" s="50">
        <v>4.0000000000000002E-4</v>
      </c>
      <c r="F510" s="50"/>
      <c r="G510" s="50">
        <f>SmtRes!CX145</f>
        <v>4.8000000000000001E-5</v>
      </c>
      <c r="H510" s="52">
        <f>SmtRes!CZ145</f>
        <v>97282.880000000005</v>
      </c>
      <c r="I510" s="51">
        <f>SmtRes!AI145</f>
        <v>1.1200000000000001</v>
      </c>
      <c r="J510" s="52">
        <f t="shared" si="1"/>
        <v>108956.83</v>
      </c>
      <c r="K510" s="51"/>
      <c r="L510" s="52">
        <f>SmtRes!DF145</f>
        <v>5.23</v>
      </c>
    </row>
    <row r="511" spans="1:83" ht="57" x14ac:dyDescent="0.2">
      <c r="A511" s="48"/>
      <c r="B511" s="48" t="s">
        <v>480</v>
      </c>
      <c r="C511" s="48" t="s">
        <v>482</v>
      </c>
      <c r="D511" s="49" t="s">
        <v>295</v>
      </c>
      <c r="E511" s="50">
        <v>1.9</v>
      </c>
      <c r="F511" s="50"/>
      <c r="G511" s="50">
        <f>SmtRes!CX146</f>
        <v>0.22800000000000001</v>
      </c>
      <c r="H511" s="52">
        <f>SmtRes!CZ146</f>
        <v>155.63</v>
      </c>
      <c r="I511" s="51">
        <f>SmtRes!AI146</f>
        <v>0.78</v>
      </c>
      <c r="J511" s="52">
        <f t="shared" si="1"/>
        <v>121.39</v>
      </c>
      <c r="K511" s="51"/>
      <c r="L511" s="52">
        <f>SmtRes!DF146</f>
        <v>27.68</v>
      </c>
    </row>
    <row r="512" spans="1:83" ht="28.5" x14ac:dyDescent="0.2">
      <c r="A512" s="48"/>
      <c r="B512" s="48" t="s">
        <v>511</v>
      </c>
      <c r="C512" s="48" t="s">
        <v>513</v>
      </c>
      <c r="D512" s="49" t="s">
        <v>295</v>
      </c>
      <c r="E512" s="50">
        <v>0.11</v>
      </c>
      <c r="F512" s="50"/>
      <c r="G512" s="50">
        <f>SmtRes!CX147</f>
        <v>1.32E-2</v>
      </c>
      <c r="H512" s="52">
        <f>SmtRes!CZ147</f>
        <v>79.88</v>
      </c>
      <c r="I512" s="51">
        <f>SmtRes!AI147</f>
        <v>1.4</v>
      </c>
      <c r="J512" s="52">
        <f t="shared" si="1"/>
        <v>111.83</v>
      </c>
      <c r="K512" s="51"/>
      <c r="L512" s="52">
        <f>SmtRes!DF147</f>
        <v>1.48</v>
      </c>
    </row>
    <row r="513" spans="1:82" ht="57" x14ac:dyDescent="0.2">
      <c r="A513" s="48"/>
      <c r="B513" s="48" t="s">
        <v>514</v>
      </c>
      <c r="C513" s="48" t="s">
        <v>516</v>
      </c>
      <c r="D513" s="49" t="s">
        <v>35</v>
      </c>
      <c r="E513" s="50">
        <v>5.0000000000000002E-5</v>
      </c>
      <c r="F513" s="50"/>
      <c r="G513" s="50">
        <f>SmtRes!CX148</f>
        <v>6.0000000000000002E-6</v>
      </c>
      <c r="H513" s="52">
        <f>SmtRes!CZ148</f>
        <v>60697.21</v>
      </c>
      <c r="I513" s="51">
        <f>SmtRes!AI148</f>
        <v>1.2</v>
      </c>
      <c r="J513" s="52">
        <f t="shared" si="1"/>
        <v>72836.649999999994</v>
      </c>
      <c r="K513" s="51"/>
      <c r="L513" s="52">
        <f>SmtRes!DF148</f>
        <v>0.44</v>
      </c>
    </row>
    <row r="514" spans="1:82" ht="14.25" x14ac:dyDescent="0.2">
      <c r="A514" s="48"/>
      <c r="B514" s="48" t="str">
        <f>EtalonRes!I143</f>
        <v>18.1.09.06</v>
      </c>
      <c r="C514" s="48" t="str">
        <f>EtalonRes!K143</f>
        <v>Арматура трубопроводная муфтовая</v>
      </c>
      <c r="D514" s="49" t="str">
        <f>EtalonRes!O143</f>
        <v>ШТ</v>
      </c>
      <c r="E514" s="50">
        <f>EtalonRes!X143</f>
        <v>0</v>
      </c>
      <c r="F514" s="50"/>
      <c r="G514" s="50">
        <f>ROUND(EtalonRes!AG143*Source!I141, 7)</f>
        <v>0</v>
      </c>
      <c r="H514" s="52"/>
      <c r="I514" s="51"/>
      <c r="J514" s="52"/>
      <c r="K514" s="51"/>
      <c r="L514" s="52"/>
    </row>
    <row r="515" spans="1:82" ht="14.25" x14ac:dyDescent="0.2">
      <c r="A515" s="48"/>
      <c r="B515" s="48" t="str">
        <f>EtalonRes!I144</f>
        <v>18.2.07.01</v>
      </c>
      <c r="C515" s="48" t="str">
        <f>EtalonRes!K144</f>
        <v>Трубопроводы с гильзами</v>
      </c>
      <c r="D515" s="49" t="str">
        <f>EtalonRes!O144</f>
        <v>м</v>
      </c>
      <c r="E515" s="50">
        <f>EtalonRes!X144</f>
        <v>100</v>
      </c>
      <c r="F515" s="50"/>
      <c r="G515" s="50">
        <f>ROUND(EtalonRes!AG144*Source!I141, 7)</f>
        <v>12</v>
      </c>
      <c r="H515" s="52"/>
      <c r="I515" s="51"/>
      <c r="J515" s="52"/>
      <c r="K515" s="51"/>
      <c r="L515" s="52"/>
    </row>
    <row r="516" spans="1:82" ht="14.25" x14ac:dyDescent="0.2">
      <c r="A516" s="48"/>
      <c r="B516" s="48" t="str">
        <f>EtalonRes!I145</f>
        <v>23.1.02.07</v>
      </c>
      <c r="C516" s="56" t="str">
        <f>EtalonRes!K145</f>
        <v>Крепления</v>
      </c>
      <c r="D516" s="57" t="str">
        <f>EtalonRes!O145</f>
        <v>кг</v>
      </c>
      <c r="E516" s="58">
        <f>EtalonRes!X145</f>
        <v>0</v>
      </c>
      <c r="F516" s="58"/>
      <c r="G516" s="58">
        <f>ROUND(EtalonRes!AG145*Source!I141, 7)</f>
        <v>0</v>
      </c>
      <c r="H516" s="59"/>
      <c r="I516" s="60"/>
      <c r="J516" s="59"/>
      <c r="K516" s="60"/>
      <c r="L516" s="59"/>
    </row>
    <row r="517" spans="1:82" ht="15" x14ac:dyDescent="0.2">
      <c r="A517" s="48"/>
      <c r="B517" s="48"/>
      <c r="C517" s="62" t="s">
        <v>703</v>
      </c>
      <c r="D517" s="49"/>
      <c r="E517" s="50"/>
      <c r="F517" s="50"/>
      <c r="G517" s="50"/>
      <c r="H517" s="52"/>
      <c r="I517" s="51"/>
      <c r="J517" s="52"/>
      <c r="K517" s="51"/>
      <c r="L517" s="52">
        <f>L496+L498+L499+L506</f>
        <v>10646.44</v>
      </c>
    </row>
    <row r="518" spans="1:82" ht="57" x14ac:dyDescent="0.2">
      <c r="A518" s="46" t="s">
        <v>789</v>
      </c>
      <c r="B518" s="48" t="str">
        <f>Source!F142</f>
        <v>23.3.06.05-0005</v>
      </c>
      <c r="C518" s="48" t="str">
        <f>Source!G142</f>
        <v>Трубы стальные сварные неоцинкованные водогазопроводные с резьбой, обыкновенные, номинальный диаметр 40 мм, толщина стенки 3,5 мм</v>
      </c>
      <c r="D518" s="49" t="str">
        <f>Source!H142</f>
        <v>м</v>
      </c>
      <c r="E518" s="50">
        <f>SmtRes!AT149</f>
        <v>100</v>
      </c>
      <c r="F518" s="50"/>
      <c r="G518" s="50">
        <f>Source!I142</f>
        <v>12</v>
      </c>
      <c r="H518" s="52">
        <f>Source!AL142+Source!AO142+Source!AM142+Source!AN142</f>
        <v>238.1</v>
      </c>
      <c r="I518" s="51">
        <f>IF(Source!BC142&lt;&gt; 0, Source!BC142, 1)</f>
        <v>0.8</v>
      </c>
      <c r="J518" s="52">
        <f>ROUND(H518*I518, 2)</f>
        <v>190.48</v>
      </c>
      <c r="K518" s="51"/>
      <c r="L518" s="52">
        <f>Source!P142</f>
        <v>2285.7600000000002</v>
      </c>
      <c r="AD518">
        <f>ROUND((Source!AT142/100)*((ROUND(ROUND(Source!AO142,2)*Source!I142, 2)+ROUND(ROUND(Source!AN142,2)*Source!I142, 2))), 2)</f>
        <v>0</v>
      </c>
      <c r="AE518">
        <f>ROUND((Source!AU142/100)*((ROUND(ROUND(Source!AO142,2)*Source!I142, 2)+ROUND(ROUND(Source!AN142,2)*Source!I142, 2))), 2)</f>
        <v>0</v>
      </c>
      <c r="AN518">
        <f>L518</f>
        <v>2285.7600000000002</v>
      </c>
      <c r="AW518">
        <f>L518</f>
        <v>2285.7600000000002</v>
      </c>
      <c r="AZ518">
        <f>Source!X142</f>
        <v>0</v>
      </c>
      <c r="BA518">
        <f>Source!Y142</f>
        <v>0</v>
      </c>
      <c r="CD518">
        <v>1</v>
      </c>
    </row>
    <row r="519" spans="1:82" ht="71.25" x14ac:dyDescent="0.2">
      <c r="A519" s="46" t="s">
        <v>790</v>
      </c>
      <c r="B519" s="48" t="str">
        <f>Source!F143</f>
        <v>24.1.02.01-0006</v>
      </c>
      <c r="C519" s="48" t="str">
        <f>Source!G143</f>
        <v>Хомут металлический оцинкованный с одним быстродействующим замком и резиновым профилем для крепления трубопроводов, гайка крепления М8, диаметр от 40 до 45 мм</v>
      </c>
      <c r="D519" s="49" t="str">
        <f>Source!H143</f>
        <v>ШТ</v>
      </c>
      <c r="E519" s="50">
        <f>SmtRes!AT150</f>
        <v>100</v>
      </c>
      <c r="F519" s="50"/>
      <c r="G519" s="50">
        <f>Source!I143</f>
        <v>12</v>
      </c>
      <c r="H519" s="52">
        <f>Source!AL143+Source!AO143+Source!AM143+Source!AN143</f>
        <v>56.2</v>
      </c>
      <c r="I519" s="51">
        <f>IF(Source!BC143&lt;&gt; 0, Source!BC143, 1)</f>
        <v>1.24</v>
      </c>
      <c r="J519" s="52">
        <f>ROUND(H519*I519, 2)</f>
        <v>69.69</v>
      </c>
      <c r="K519" s="51"/>
      <c r="L519" s="52">
        <f>Source!P143</f>
        <v>836.28</v>
      </c>
      <c r="AD519">
        <f>ROUND((Source!AT143/100)*((ROUND(ROUND(Source!AO143,2)*Source!I143, 2)+ROUND(ROUND(Source!AN143,2)*Source!I143, 2))), 2)</f>
        <v>0</v>
      </c>
      <c r="AE519">
        <f>ROUND((Source!AU143/100)*((ROUND(ROUND(Source!AO143,2)*Source!I143, 2)+ROUND(ROUND(Source!AN143,2)*Source!I143, 2))), 2)</f>
        <v>0</v>
      </c>
      <c r="AN519">
        <f>L519</f>
        <v>836.28</v>
      </c>
      <c r="AW519">
        <f>L519</f>
        <v>836.28</v>
      </c>
      <c r="AZ519">
        <f>Source!X143</f>
        <v>0</v>
      </c>
      <c r="BA519">
        <f>Source!Y143</f>
        <v>0</v>
      </c>
      <c r="CD519">
        <v>1</v>
      </c>
    </row>
    <row r="520" spans="1:82" ht="14.25" x14ac:dyDescent="0.2">
      <c r="A520" s="48"/>
      <c r="B520" s="48"/>
      <c r="C520" s="48" t="s">
        <v>706</v>
      </c>
      <c r="D520" s="49"/>
      <c r="E520" s="50"/>
      <c r="F520" s="50"/>
      <c r="G520" s="50"/>
      <c r="H520" s="52"/>
      <c r="I520" s="51"/>
      <c r="J520" s="52"/>
      <c r="K520" s="51"/>
      <c r="L520" s="52">
        <f>SUM(AR494:AR523)+SUM(AS494:AS523)+SUM(AT494:AT523)+SUM(AU494:AU523)+SUM(AV494:AV523)</f>
        <v>10553.18</v>
      </c>
    </row>
    <row r="521" spans="1:82" ht="42.75" x14ac:dyDescent="0.2">
      <c r="A521" s="48"/>
      <c r="B521" s="48" t="s">
        <v>25</v>
      </c>
      <c r="C521" s="48" t="s">
        <v>707</v>
      </c>
      <c r="D521" s="49" t="s">
        <v>83</v>
      </c>
      <c r="E521" s="50">
        <f>Source!BZ141</f>
        <v>103</v>
      </c>
      <c r="F521" s="50"/>
      <c r="G521" s="50">
        <f>Source!AT141</f>
        <v>103</v>
      </c>
      <c r="H521" s="52"/>
      <c r="I521" s="51"/>
      <c r="J521" s="52"/>
      <c r="K521" s="51"/>
      <c r="L521" s="52">
        <f>SUM(AZ494:AZ523)</f>
        <v>10869.78</v>
      </c>
    </row>
    <row r="522" spans="1:82" ht="42.75" x14ac:dyDescent="0.2">
      <c r="A522" s="56"/>
      <c r="B522" s="56" t="s">
        <v>26</v>
      </c>
      <c r="C522" s="56" t="s">
        <v>708</v>
      </c>
      <c r="D522" s="57" t="s">
        <v>83</v>
      </c>
      <c r="E522" s="58">
        <f>Source!CA141</f>
        <v>52</v>
      </c>
      <c r="F522" s="58"/>
      <c r="G522" s="58">
        <f>Source!AU141</f>
        <v>52</v>
      </c>
      <c r="H522" s="59"/>
      <c r="I522" s="60"/>
      <c r="J522" s="59"/>
      <c r="K522" s="60"/>
      <c r="L522" s="59">
        <f>SUM(BA494:BA523)</f>
        <v>5487.65</v>
      </c>
    </row>
    <row r="523" spans="1:82" ht="15" x14ac:dyDescent="0.2">
      <c r="C523" s="131" t="s">
        <v>709</v>
      </c>
      <c r="D523" s="131"/>
      <c r="E523" s="131"/>
      <c r="F523" s="131"/>
      <c r="G523" s="131"/>
      <c r="H523" s="131"/>
      <c r="I523" s="132">
        <f>IF(E494&lt;&gt;0,K523/E494, 0)</f>
        <v>251049.25000000003</v>
      </c>
      <c r="J523" s="132"/>
      <c r="K523" s="132">
        <f>L496+L498+L506+L521+L522+L499+SUM(L518:L519)</f>
        <v>30125.910000000003</v>
      </c>
      <c r="L523" s="132"/>
      <c r="AD523">
        <f>ROUND((Source!AT141/100)*((ROUND(SUMIF(SmtRes!AQ136:'SmtRes'!AQ150,"=1",SmtRes!AD136:'SmtRes'!AD150)*Source!I141, 2)+ROUND(SUMIF(SmtRes!AQ136:'SmtRes'!AQ150,"=1",SmtRes!AC136:'SmtRes'!AC150)*Source!I141, 2))), 2)</f>
        <v>257.75</v>
      </c>
      <c r="AE523">
        <f>ROUND((Source!AU141/100)*((ROUND(SUMIF(SmtRes!AQ136:'SmtRes'!AQ150,"=1",SmtRes!AD136:'SmtRes'!AD150)*Source!I141, 2)+ROUND(SUMIF(SmtRes!AQ136:'SmtRes'!AQ150,"=1",SmtRes!AC136:'SmtRes'!AC150)*Source!I141, 2))), 2)</f>
        <v>130.12</v>
      </c>
      <c r="AN523" s="61">
        <f>L496+L498+L506+L521+L522+L499</f>
        <v>27003.870000000003</v>
      </c>
      <c r="AO523" s="61">
        <f>L498</f>
        <v>37.360000000000014</v>
      </c>
      <c r="AQ523" t="s">
        <v>710</v>
      </c>
      <c r="AR523" s="61">
        <f>L496</f>
        <v>10518.82</v>
      </c>
      <c r="AT523" s="61">
        <f>L499</f>
        <v>34.36</v>
      </c>
      <c r="AV523" t="s">
        <v>710</v>
      </c>
      <c r="AW523" s="61">
        <f>L506</f>
        <v>55.9</v>
      </c>
      <c r="AZ523">
        <f>Source!X141</f>
        <v>10869.78</v>
      </c>
      <c r="BA523">
        <f>Source!Y141</f>
        <v>5487.65</v>
      </c>
      <c r="CD523">
        <v>1</v>
      </c>
    </row>
    <row r="524" spans="1:82" ht="28.5" x14ac:dyDescent="0.2">
      <c r="A524" s="46" t="s">
        <v>259</v>
      </c>
      <c r="B524" s="48" t="s">
        <v>791</v>
      </c>
      <c r="C524" s="48" t="str">
        <f>Source!G144</f>
        <v>Смена внутренних трубопроводов из стальных труб диаметром: до 100 мм</v>
      </c>
      <c r="D524" s="49" t="str">
        <f>Source!H144</f>
        <v>100 м</v>
      </c>
      <c r="E524" s="50">
        <f>Source!K144</f>
        <v>0.09</v>
      </c>
      <c r="F524" s="50"/>
      <c r="G524" s="50">
        <f>Source!I144</f>
        <v>0.09</v>
      </c>
      <c r="H524" s="52"/>
      <c r="I524" s="51"/>
      <c r="J524" s="52"/>
      <c r="K524" s="51"/>
      <c r="L524" s="52"/>
    </row>
    <row r="525" spans="1:82" x14ac:dyDescent="0.2">
      <c r="C525" s="53" t="str">
        <f>"Объем: "&amp;Source!I144&amp;"=9/"&amp;"100"</f>
        <v>Объем: 0,09=9/100</v>
      </c>
    </row>
    <row r="526" spans="1:82" ht="15" x14ac:dyDescent="0.2">
      <c r="A526" s="47"/>
      <c r="B526" s="50">
        <v>1</v>
      </c>
      <c r="C526" s="47" t="s">
        <v>698</v>
      </c>
      <c r="D526" s="49" t="s">
        <v>449</v>
      </c>
      <c r="E526" s="54"/>
      <c r="F526" s="50"/>
      <c r="G526" s="50">
        <f>Source!U144</f>
        <v>19.835999999999999</v>
      </c>
      <c r="H526" s="50"/>
      <c r="I526" s="50"/>
      <c r="J526" s="50"/>
      <c r="K526" s="50"/>
      <c r="L526" s="55">
        <f>SUM(L527:L527)-SUMIF(CE527:CE527, 1, L527:L527)</f>
        <v>14322.58</v>
      </c>
    </row>
    <row r="527" spans="1:82" ht="14.25" x14ac:dyDescent="0.2">
      <c r="A527" s="48"/>
      <c r="B527" s="48" t="s">
        <v>486</v>
      </c>
      <c r="C527" s="48" t="s">
        <v>487</v>
      </c>
      <c r="D527" s="49" t="s">
        <v>449</v>
      </c>
      <c r="E527" s="50">
        <v>220.4</v>
      </c>
      <c r="F527" s="50"/>
      <c r="G527" s="50">
        <f>SmtRes!CX151</f>
        <v>19.835999999999999</v>
      </c>
      <c r="H527" s="52"/>
      <c r="I527" s="51"/>
      <c r="J527" s="52">
        <f>SmtRes!CZ151</f>
        <v>722.05</v>
      </c>
      <c r="K527" s="51"/>
      <c r="L527" s="52">
        <f>SmtRes!DI151</f>
        <v>14322.58</v>
      </c>
    </row>
    <row r="528" spans="1:82" ht="15" x14ac:dyDescent="0.2">
      <c r="A528" s="47"/>
      <c r="B528" s="50">
        <v>2</v>
      </c>
      <c r="C528" s="47" t="s">
        <v>699</v>
      </c>
      <c r="D528" s="49"/>
      <c r="E528" s="54"/>
      <c r="F528" s="50"/>
      <c r="G528" s="50"/>
      <c r="H528" s="50"/>
      <c r="I528" s="50"/>
      <c r="J528" s="50"/>
      <c r="K528" s="50"/>
      <c r="L528" s="55">
        <f>SUM(L529:L535)-SUMIF(CE529:CE535, 1, L529:L535)</f>
        <v>135.81</v>
      </c>
    </row>
    <row r="529" spans="1:83" ht="15" x14ac:dyDescent="0.2">
      <c r="A529" s="47"/>
      <c r="B529" s="50"/>
      <c r="C529" s="47" t="s">
        <v>701</v>
      </c>
      <c r="D529" s="49" t="s">
        <v>449</v>
      </c>
      <c r="E529" s="54"/>
      <c r="F529" s="50"/>
      <c r="G529" s="50">
        <f>Source!V144</f>
        <v>0.1206</v>
      </c>
      <c r="H529" s="50"/>
      <c r="I529" s="50"/>
      <c r="J529" s="50"/>
      <c r="K529" s="50"/>
      <c r="L529" s="55">
        <f>SUMIF(CE530:CE535, 1, L530:L535)</f>
        <v>82.210000000000008</v>
      </c>
      <c r="CE529">
        <v>1</v>
      </c>
    </row>
    <row r="530" spans="1:83" ht="42.75" x14ac:dyDescent="0.2">
      <c r="A530" s="48"/>
      <c r="B530" s="48" t="s">
        <v>466</v>
      </c>
      <c r="C530" s="48" t="s">
        <v>468</v>
      </c>
      <c r="D530" s="49" t="s">
        <v>455</v>
      </c>
      <c r="E530" s="50">
        <v>0.67</v>
      </c>
      <c r="F530" s="50"/>
      <c r="G530" s="50">
        <f>SmtRes!CX153</f>
        <v>6.0299999999999999E-2</v>
      </c>
      <c r="H530" s="52">
        <f>SmtRes!CZ153</f>
        <v>37.32</v>
      </c>
      <c r="I530" s="51">
        <f>SmtRes!AJ153</f>
        <v>1.54</v>
      </c>
      <c r="J530" s="52">
        <f>ROUND(H530*I530, 2)</f>
        <v>57.47</v>
      </c>
      <c r="K530" s="51"/>
      <c r="L530" s="52">
        <f>SmtRes!DG153</f>
        <v>3.47</v>
      </c>
    </row>
    <row r="531" spans="1:83" ht="28.5" x14ac:dyDescent="0.2">
      <c r="A531" s="48"/>
      <c r="B531" s="48" t="s">
        <v>469</v>
      </c>
      <c r="C531" s="48" t="s">
        <v>712</v>
      </c>
      <c r="D531" s="49" t="s">
        <v>449</v>
      </c>
      <c r="E531" s="50">
        <f>SmtRes!DO153*SmtRes!AT153</f>
        <v>0.67</v>
      </c>
      <c r="F531" s="50"/>
      <c r="G531" s="50">
        <f>ROUND(E531*G524, 7)</f>
        <v>6.0299999999999999E-2</v>
      </c>
      <c r="H531" s="52"/>
      <c r="I531" s="51"/>
      <c r="J531" s="52">
        <f>ROUND(SmtRes!AG153/SmtRes!DO153, 2)</f>
        <v>641.22</v>
      </c>
      <c r="K531" s="51"/>
      <c r="L531" s="52">
        <f>SmtRes!DH153</f>
        <v>38.67</v>
      </c>
      <c r="CE531">
        <v>1</v>
      </c>
    </row>
    <row r="532" spans="1:83" ht="28.5" x14ac:dyDescent="0.2">
      <c r="A532" s="48"/>
      <c r="B532" s="48" t="s">
        <v>452</v>
      </c>
      <c r="C532" s="48" t="s">
        <v>454</v>
      </c>
      <c r="D532" s="49" t="s">
        <v>455</v>
      </c>
      <c r="E532" s="50">
        <v>0.67</v>
      </c>
      <c r="F532" s="50"/>
      <c r="G532" s="50">
        <f>SmtRes!CX154</f>
        <v>6.0299999999999999E-2</v>
      </c>
      <c r="H532" s="52"/>
      <c r="I532" s="51"/>
      <c r="J532" s="52">
        <f>SmtRes!CZ154</f>
        <v>643.29</v>
      </c>
      <c r="K532" s="51"/>
      <c r="L532" s="52">
        <f>SmtRes!DG154</f>
        <v>38.79</v>
      </c>
    </row>
    <row r="533" spans="1:83" ht="28.5" x14ac:dyDescent="0.2">
      <c r="A533" s="48"/>
      <c r="B533" s="48" t="s">
        <v>456</v>
      </c>
      <c r="C533" s="48" t="s">
        <v>700</v>
      </c>
      <c r="D533" s="49" t="s">
        <v>449</v>
      </c>
      <c r="E533" s="50">
        <f>SmtRes!DO154*SmtRes!AT154</f>
        <v>0.67</v>
      </c>
      <c r="F533" s="50"/>
      <c r="G533" s="50">
        <f>ROUND(E533*G524, 7)</f>
        <v>6.0299999999999999E-2</v>
      </c>
      <c r="H533" s="52"/>
      <c r="I533" s="51"/>
      <c r="J533" s="52">
        <f>ROUND(SmtRes!AG154/SmtRes!DO154, 2)</f>
        <v>722.05</v>
      </c>
      <c r="K533" s="51"/>
      <c r="L533" s="52">
        <f>SmtRes!DH154</f>
        <v>43.54</v>
      </c>
      <c r="CE533">
        <v>1</v>
      </c>
    </row>
    <row r="534" spans="1:83" ht="14.25" x14ac:dyDescent="0.2">
      <c r="A534" s="48"/>
      <c r="B534" s="48" t="s">
        <v>553</v>
      </c>
      <c r="C534" s="48" t="s">
        <v>555</v>
      </c>
      <c r="D534" s="49" t="s">
        <v>455</v>
      </c>
      <c r="E534" s="50">
        <v>12.8</v>
      </c>
      <c r="F534" s="50"/>
      <c r="G534" s="50">
        <f>SmtRes!CX155</f>
        <v>1.1519999999999999</v>
      </c>
      <c r="H534" s="52">
        <f>SmtRes!CZ155</f>
        <v>4.3499999999999996</v>
      </c>
      <c r="I534" s="51">
        <f>SmtRes!AJ155</f>
        <v>1.23</v>
      </c>
      <c r="J534" s="52">
        <f>ROUND(H534*I534, 2)</f>
        <v>5.35</v>
      </c>
      <c r="K534" s="51"/>
      <c r="L534" s="52">
        <f>SmtRes!DG155</f>
        <v>6.16</v>
      </c>
    </row>
    <row r="535" spans="1:83" ht="42.75" x14ac:dyDescent="0.2">
      <c r="A535" s="48"/>
      <c r="B535" s="48" t="s">
        <v>477</v>
      </c>
      <c r="C535" s="48" t="s">
        <v>479</v>
      </c>
      <c r="D535" s="49" t="s">
        <v>455</v>
      </c>
      <c r="E535" s="50">
        <v>30.1</v>
      </c>
      <c r="F535" s="50"/>
      <c r="G535" s="50">
        <f>SmtRes!CX156</f>
        <v>2.7090000000000001</v>
      </c>
      <c r="H535" s="52"/>
      <c r="I535" s="51"/>
      <c r="J535" s="52">
        <f>SmtRes!CZ156</f>
        <v>32.26</v>
      </c>
      <c r="K535" s="51"/>
      <c r="L535" s="52">
        <f>SmtRes!DG156</f>
        <v>87.39</v>
      </c>
    </row>
    <row r="536" spans="1:83" ht="15" x14ac:dyDescent="0.2">
      <c r="A536" s="47"/>
      <c r="B536" s="50">
        <v>4</v>
      </c>
      <c r="C536" s="47" t="s">
        <v>702</v>
      </c>
      <c r="D536" s="49"/>
      <c r="E536" s="54"/>
      <c r="F536" s="50"/>
      <c r="G536" s="50"/>
      <c r="H536" s="50"/>
      <c r="I536" s="50"/>
      <c r="J536" s="50"/>
      <c r="K536" s="50"/>
      <c r="L536" s="55">
        <f>SUM(L537:L540)-SUMIF(CE537:CE540, 1, L537:L540)</f>
        <v>247</v>
      </c>
    </row>
    <row r="537" spans="1:83" ht="14.25" x14ac:dyDescent="0.2">
      <c r="A537" s="48"/>
      <c r="B537" s="48" t="s">
        <v>488</v>
      </c>
      <c r="C537" s="48" t="s">
        <v>490</v>
      </c>
      <c r="D537" s="49" t="s">
        <v>309</v>
      </c>
      <c r="E537" s="50">
        <v>2.79</v>
      </c>
      <c r="F537" s="50"/>
      <c r="G537" s="50">
        <f>SmtRes!CX157</f>
        <v>0.25109999999999999</v>
      </c>
      <c r="H537" s="52">
        <f>SmtRes!CZ157</f>
        <v>340.41</v>
      </c>
      <c r="I537" s="51">
        <f>SmtRes!AI157</f>
        <v>1.5</v>
      </c>
      <c r="J537" s="52">
        <f>ROUND(H537*I537, 2)</f>
        <v>510.62</v>
      </c>
      <c r="K537" s="51"/>
      <c r="L537" s="52">
        <f>SmtRes!DF157</f>
        <v>128.22</v>
      </c>
    </row>
    <row r="538" spans="1:83" ht="14.25" x14ac:dyDescent="0.2">
      <c r="A538" s="48"/>
      <c r="B538" s="48" t="s">
        <v>491</v>
      </c>
      <c r="C538" s="48" t="s">
        <v>493</v>
      </c>
      <c r="D538" s="49" t="s">
        <v>309</v>
      </c>
      <c r="E538" s="50">
        <v>3.37</v>
      </c>
      <c r="F538" s="50"/>
      <c r="G538" s="50">
        <f>SmtRes!CX158</f>
        <v>0.30330000000000001</v>
      </c>
      <c r="H538" s="52">
        <f>SmtRes!CZ158</f>
        <v>114.64</v>
      </c>
      <c r="I538" s="51">
        <f>SmtRes!AI158</f>
        <v>0.85</v>
      </c>
      <c r="J538" s="52">
        <f>ROUND(H538*I538, 2)</f>
        <v>97.44</v>
      </c>
      <c r="K538" s="51"/>
      <c r="L538" s="52">
        <f>SmtRes!DF158</f>
        <v>29.55</v>
      </c>
    </row>
    <row r="539" spans="1:83" ht="28.5" x14ac:dyDescent="0.2">
      <c r="A539" s="48"/>
      <c r="B539" s="48" t="s">
        <v>556</v>
      </c>
      <c r="C539" s="48" t="s">
        <v>558</v>
      </c>
      <c r="D539" s="49" t="s">
        <v>35</v>
      </c>
      <c r="E539" s="50">
        <v>1.2999999999999999E-3</v>
      </c>
      <c r="F539" s="50"/>
      <c r="G539" s="50">
        <f>SmtRes!CX159</f>
        <v>1.17E-4</v>
      </c>
      <c r="H539" s="52">
        <f>SmtRes!CZ159</f>
        <v>97282.880000000005</v>
      </c>
      <c r="I539" s="51">
        <f>SmtRes!AI159</f>
        <v>1.1200000000000001</v>
      </c>
      <c r="J539" s="52">
        <f>ROUND(H539*I539, 2)</f>
        <v>108956.83</v>
      </c>
      <c r="K539" s="51"/>
      <c r="L539" s="52">
        <f>SmtRes!DF159</f>
        <v>12.75</v>
      </c>
    </row>
    <row r="540" spans="1:83" ht="57" x14ac:dyDescent="0.2">
      <c r="A540" s="48"/>
      <c r="B540" s="48" t="s">
        <v>480</v>
      </c>
      <c r="C540" s="48" t="s">
        <v>482</v>
      </c>
      <c r="D540" s="49" t="s">
        <v>295</v>
      </c>
      <c r="E540" s="50">
        <v>7</v>
      </c>
      <c r="F540" s="50"/>
      <c r="G540" s="50">
        <f>SmtRes!CX160</f>
        <v>0.63</v>
      </c>
      <c r="H540" s="52">
        <f>SmtRes!CZ160</f>
        <v>155.63</v>
      </c>
      <c r="I540" s="51">
        <f>SmtRes!AI160</f>
        <v>0.78</v>
      </c>
      <c r="J540" s="52">
        <f>ROUND(H540*I540, 2)</f>
        <v>121.39</v>
      </c>
      <c r="K540" s="51"/>
      <c r="L540" s="52">
        <f>SmtRes!DF160</f>
        <v>76.48</v>
      </c>
    </row>
    <row r="541" spans="1:83" ht="14.25" x14ac:dyDescent="0.2">
      <c r="A541" s="48"/>
      <c r="B541" s="48" t="str">
        <f>EtalonRes!I156</f>
        <v>18.1.09.06</v>
      </c>
      <c r="C541" s="48" t="str">
        <f>EtalonRes!K156</f>
        <v>Арматура трубопроводная муфтовая</v>
      </c>
      <c r="D541" s="49" t="str">
        <f>EtalonRes!O156</f>
        <v>ШТ</v>
      </c>
      <c r="E541" s="50">
        <f>EtalonRes!X156</f>
        <v>0</v>
      </c>
      <c r="F541" s="50"/>
      <c r="G541" s="50">
        <f>ROUND(EtalonRes!AG156*Source!I144, 7)</f>
        <v>0</v>
      </c>
      <c r="H541" s="52"/>
      <c r="I541" s="51"/>
      <c r="J541" s="52"/>
      <c r="K541" s="51"/>
      <c r="L541" s="52"/>
    </row>
    <row r="542" spans="1:83" ht="14.25" x14ac:dyDescent="0.2">
      <c r="A542" s="48"/>
      <c r="B542" s="48" t="str">
        <f>EtalonRes!I157</f>
        <v>18.2.07.01</v>
      </c>
      <c r="C542" s="48" t="str">
        <f>EtalonRes!K157</f>
        <v>Трубопроводы с гильзами</v>
      </c>
      <c r="D542" s="49" t="str">
        <f>EtalonRes!O157</f>
        <v>м</v>
      </c>
      <c r="E542" s="50">
        <f>EtalonRes!X157</f>
        <v>100</v>
      </c>
      <c r="F542" s="50"/>
      <c r="G542" s="50">
        <f>ROUND(EtalonRes!AG157*Source!I144, 7)</f>
        <v>9</v>
      </c>
      <c r="H542" s="52"/>
      <c r="I542" s="51"/>
      <c r="J542" s="52"/>
      <c r="K542" s="51"/>
      <c r="L542" s="52"/>
    </row>
    <row r="543" spans="1:83" ht="14.25" x14ac:dyDescent="0.2">
      <c r="A543" s="48"/>
      <c r="B543" s="48" t="str">
        <f>EtalonRes!I158</f>
        <v>23.1.02.07</v>
      </c>
      <c r="C543" s="56" t="str">
        <f>EtalonRes!K158</f>
        <v>Крепления</v>
      </c>
      <c r="D543" s="57" t="str">
        <f>EtalonRes!O158</f>
        <v>кг</v>
      </c>
      <c r="E543" s="58">
        <f>EtalonRes!X158</f>
        <v>0</v>
      </c>
      <c r="F543" s="58"/>
      <c r="G543" s="58">
        <f>ROUND(EtalonRes!AG158*Source!I144, 7)</f>
        <v>0</v>
      </c>
      <c r="H543" s="59"/>
      <c r="I543" s="60"/>
      <c r="J543" s="59"/>
      <c r="K543" s="60"/>
      <c r="L543" s="59"/>
    </row>
    <row r="544" spans="1:83" ht="15" x14ac:dyDescent="0.2">
      <c r="A544" s="48"/>
      <c r="B544" s="48"/>
      <c r="C544" s="62" t="s">
        <v>703</v>
      </c>
      <c r="D544" s="49"/>
      <c r="E544" s="50"/>
      <c r="F544" s="50"/>
      <c r="G544" s="50"/>
      <c r="H544" s="52"/>
      <c r="I544" s="51"/>
      <c r="J544" s="52"/>
      <c r="K544" s="51"/>
      <c r="L544" s="52">
        <f>L526+L528+L529+L536</f>
        <v>14787.599999999999</v>
      </c>
    </row>
    <row r="545" spans="1:83" ht="57" x14ac:dyDescent="0.2">
      <c r="A545" s="46" t="s">
        <v>792</v>
      </c>
      <c r="B545" s="48" t="str">
        <f>Source!F145</f>
        <v>23.3.06.04-0015</v>
      </c>
      <c r="C545" s="48" t="str">
        <f>Source!G145</f>
        <v>Трубы стальные сварные неоцинкованные водогазопроводные с резьбой, легкие, номинальный диаметр 100 мм, толщина стенки 4 мм</v>
      </c>
      <c r="D545" s="49" t="str">
        <f>Source!H145</f>
        <v>м</v>
      </c>
      <c r="E545" s="50">
        <f>SmtRes!AT161</f>
        <v>100</v>
      </c>
      <c r="F545" s="50"/>
      <c r="G545" s="50">
        <f>Source!I145</f>
        <v>9</v>
      </c>
      <c r="H545" s="52">
        <f>Source!AL145+Source!AO145+Source!AM145+Source!AN145</f>
        <v>718.86</v>
      </c>
      <c r="I545" s="51">
        <f>IF(Source!BC145&lt;&gt; 0, Source!BC145, 1)</f>
        <v>0.8</v>
      </c>
      <c r="J545" s="52">
        <f>ROUND(H545*I545, 2)</f>
        <v>575.09</v>
      </c>
      <c r="K545" s="51"/>
      <c r="L545" s="52">
        <f>Source!P145</f>
        <v>5175.8100000000004</v>
      </c>
      <c r="AD545">
        <f>ROUND((Source!AT145/100)*((ROUND(ROUND(Source!AO145,2)*Source!I145, 2)+ROUND(ROUND(Source!AN145,2)*Source!I145, 2))), 2)</f>
        <v>0</v>
      </c>
      <c r="AE545">
        <f>ROUND((Source!AU145/100)*((ROUND(ROUND(Source!AO145,2)*Source!I145, 2)+ROUND(ROUND(Source!AN145,2)*Source!I145, 2))), 2)</f>
        <v>0</v>
      </c>
      <c r="AN545">
        <f>L545</f>
        <v>5175.8100000000004</v>
      </c>
      <c r="AW545">
        <f>L545</f>
        <v>5175.8100000000004</v>
      </c>
      <c r="AZ545">
        <f>Source!X145</f>
        <v>0</v>
      </c>
      <c r="BA545">
        <f>Source!Y145</f>
        <v>0</v>
      </c>
      <c r="CD545">
        <v>1</v>
      </c>
    </row>
    <row r="546" spans="1:83" ht="85.5" x14ac:dyDescent="0.2">
      <c r="A546" s="46" t="s">
        <v>793</v>
      </c>
      <c r="B546" s="48" t="str">
        <f>Source!F146</f>
        <v>24.1.02.01-0023</v>
      </c>
      <c r="C546" s="48" t="str">
        <f>Source!G146</f>
        <v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v>
      </c>
      <c r="D546" s="49" t="str">
        <f>Source!H146</f>
        <v>ШТ</v>
      </c>
      <c r="E546" s="50">
        <f>SmtRes!AT162</f>
        <v>100</v>
      </c>
      <c r="F546" s="50"/>
      <c r="G546" s="50">
        <f>Source!I146</f>
        <v>9</v>
      </c>
      <c r="H546" s="52">
        <f>Source!AL146+Source!AO146+Source!AM146+Source!AN146</f>
        <v>145.05000000000001</v>
      </c>
      <c r="I546" s="51">
        <f>IF(Source!BC146&lt;&gt; 0, Source!BC146, 1)</f>
        <v>1.24</v>
      </c>
      <c r="J546" s="52">
        <f>ROUND(H546*I546, 2)</f>
        <v>179.86</v>
      </c>
      <c r="K546" s="51"/>
      <c r="L546" s="52">
        <f>Source!P146</f>
        <v>1618.74</v>
      </c>
      <c r="AD546">
        <f>ROUND((Source!AT146/100)*((ROUND(ROUND(Source!AO146,2)*Source!I146, 2)+ROUND(ROUND(Source!AN146,2)*Source!I146, 2))), 2)</f>
        <v>0</v>
      </c>
      <c r="AE546">
        <f>ROUND((Source!AU146/100)*((ROUND(ROUND(Source!AO146,2)*Source!I146, 2)+ROUND(ROUND(Source!AN146,2)*Source!I146, 2))), 2)</f>
        <v>0</v>
      </c>
      <c r="AN546">
        <f>L546</f>
        <v>1618.74</v>
      </c>
      <c r="AW546">
        <f>L546</f>
        <v>1618.74</v>
      </c>
      <c r="AZ546">
        <f>Source!X146</f>
        <v>0</v>
      </c>
      <c r="BA546">
        <f>Source!Y146</f>
        <v>0</v>
      </c>
      <c r="CD546">
        <v>1</v>
      </c>
    </row>
    <row r="547" spans="1:83" ht="14.25" x14ac:dyDescent="0.2">
      <c r="A547" s="48"/>
      <c r="B547" s="48"/>
      <c r="C547" s="48" t="s">
        <v>706</v>
      </c>
      <c r="D547" s="49"/>
      <c r="E547" s="50"/>
      <c r="F547" s="50"/>
      <c r="G547" s="50"/>
      <c r="H547" s="52"/>
      <c r="I547" s="51"/>
      <c r="J547" s="52"/>
      <c r="K547" s="51"/>
      <c r="L547" s="52">
        <f>SUM(AR524:AR550)+SUM(AS524:AS550)+SUM(AT524:AT550)+SUM(AU524:AU550)+SUM(AV524:AV550)</f>
        <v>14404.789999999999</v>
      </c>
    </row>
    <row r="548" spans="1:83" ht="42.75" x14ac:dyDescent="0.2">
      <c r="A548" s="48"/>
      <c r="B548" s="48" t="s">
        <v>25</v>
      </c>
      <c r="C548" s="48" t="s">
        <v>707</v>
      </c>
      <c r="D548" s="49" t="s">
        <v>83</v>
      </c>
      <c r="E548" s="50">
        <f>Source!BZ144</f>
        <v>103</v>
      </c>
      <c r="F548" s="50"/>
      <c r="G548" s="50">
        <f>Source!AT144</f>
        <v>103</v>
      </c>
      <c r="H548" s="52"/>
      <c r="I548" s="51"/>
      <c r="J548" s="52"/>
      <c r="K548" s="51"/>
      <c r="L548" s="52">
        <f>SUM(AZ524:AZ550)</f>
        <v>14836.93</v>
      </c>
    </row>
    <row r="549" spans="1:83" ht="42.75" x14ac:dyDescent="0.2">
      <c r="A549" s="56"/>
      <c r="B549" s="56" t="s">
        <v>26</v>
      </c>
      <c r="C549" s="56" t="s">
        <v>708</v>
      </c>
      <c r="D549" s="57" t="s">
        <v>83</v>
      </c>
      <c r="E549" s="58">
        <f>Source!CA144</f>
        <v>52</v>
      </c>
      <c r="F549" s="58"/>
      <c r="G549" s="58">
        <f>Source!AU144</f>
        <v>52</v>
      </c>
      <c r="H549" s="59"/>
      <c r="I549" s="60"/>
      <c r="J549" s="59"/>
      <c r="K549" s="60"/>
      <c r="L549" s="59">
        <f>SUM(BA524:BA550)</f>
        <v>7490.49</v>
      </c>
    </row>
    <row r="550" spans="1:83" ht="15" x14ac:dyDescent="0.2">
      <c r="C550" s="131" t="s">
        <v>709</v>
      </c>
      <c r="D550" s="131"/>
      <c r="E550" s="131"/>
      <c r="F550" s="131"/>
      <c r="G550" s="131"/>
      <c r="H550" s="131"/>
      <c r="I550" s="132">
        <f>IF(E524&lt;&gt;0,K550/E524, 0)</f>
        <v>487884.11111111112</v>
      </c>
      <c r="J550" s="132"/>
      <c r="K550" s="132">
        <f>L526+L528+L536+L548+L549+L529+SUM(L545:L546)</f>
        <v>43909.57</v>
      </c>
      <c r="L550" s="132"/>
      <c r="AD550">
        <f>ROUND((Source!AT144/100)*((ROUND(SUMIF(SmtRes!AQ151:'SmtRes'!AQ162,"=1",SmtRes!AD151:'SmtRes'!AD162)*Source!I144, 2)+ROUND(SUMIF(SmtRes!AQ151:'SmtRes'!AQ162,"=1",SmtRes!AC151:'SmtRes'!AC162)*Source!I144, 2))), 2)</f>
        <v>193.3</v>
      </c>
      <c r="AE550">
        <f>ROUND((Source!AU144/100)*((ROUND(SUMIF(SmtRes!AQ151:'SmtRes'!AQ162,"=1",SmtRes!AD151:'SmtRes'!AD162)*Source!I144, 2)+ROUND(SUMIF(SmtRes!AQ151:'SmtRes'!AQ162,"=1",SmtRes!AC151:'SmtRes'!AC162)*Source!I144, 2))), 2)</f>
        <v>97.59</v>
      </c>
      <c r="AN550" s="61">
        <f>L526+L528+L536+L548+L549+L529</f>
        <v>37115.019999999997</v>
      </c>
      <c r="AO550" s="61">
        <f>L528</f>
        <v>135.81</v>
      </c>
      <c r="AQ550" t="s">
        <v>710</v>
      </c>
      <c r="AR550" s="61">
        <f>L526</f>
        <v>14322.58</v>
      </c>
      <c r="AT550" s="61">
        <f>L529</f>
        <v>82.210000000000008</v>
      </c>
      <c r="AV550" t="s">
        <v>710</v>
      </c>
      <c r="AW550" s="61">
        <f>L536</f>
        <v>247</v>
      </c>
      <c r="AZ550">
        <f>Source!X144</f>
        <v>14836.93</v>
      </c>
      <c r="BA550">
        <f>Source!Y144</f>
        <v>7490.49</v>
      </c>
      <c r="CD550">
        <v>1</v>
      </c>
    </row>
    <row r="551" spans="1:83" ht="132" x14ac:dyDescent="0.2">
      <c r="A551" s="46" t="s">
        <v>271</v>
      </c>
      <c r="B551" s="48" t="s">
        <v>794</v>
      </c>
      <c r="C551" s="48" t="s">
        <v>795</v>
      </c>
      <c r="D551" s="49" t="str">
        <f>Source!H147</f>
        <v>100 м2</v>
      </c>
      <c r="E551" s="50">
        <f>Source!K147</f>
        <v>4.3400000000000001E-2</v>
      </c>
      <c r="F551" s="50"/>
      <c r="G551" s="50">
        <f>Source!I147</f>
        <v>4.3400000000000001E-2</v>
      </c>
      <c r="H551" s="52"/>
      <c r="I551" s="51"/>
      <c r="J551" s="52"/>
      <c r="K551" s="51"/>
      <c r="L551" s="52"/>
    </row>
    <row r="552" spans="1:83" ht="165.75" x14ac:dyDescent="0.2">
      <c r="B552" s="64" t="str">
        <f>Source!EO147</f>
        <v>Поправка: 421/пр_2020_п.58_пп.б</v>
      </c>
      <c r="C552" s="64" t="str">
        <f>Source!CN147</f>
        <v>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553" spans="1:83" x14ac:dyDescent="0.2">
      <c r="C553" s="53" t="str">
        <f>"Объем: "&amp;Source!I147&amp;"=4,34/"&amp;"100"</f>
        <v>Объем: 0,0434=4,34/100</v>
      </c>
    </row>
    <row r="554" spans="1:83" ht="15" x14ac:dyDescent="0.2">
      <c r="A554" s="47"/>
      <c r="B554" s="50">
        <v>1</v>
      </c>
      <c r="C554" s="47" t="s">
        <v>698</v>
      </c>
      <c r="D554" s="49" t="s">
        <v>449</v>
      </c>
      <c r="E554" s="54"/>
      <c r="F554" s="50"/>
      <c r="G554" s="50">
        <f>Source!U147</f>
        <v>0.53004419999999997</v>
      </c>
      <c r="H554" s="50"/>
      <c r="I554" s="50"/>
      <c r="J554" s="50"/>
      <c r="K554" s="50"/>
      <c r="L554" s="55">
        <f>SUM(L555:L555)-SUMIF(CE555:CE555, 1, L555:L555)</f>
        <v>422.7</v>
      </c>
    </row>
    <row r="555" spans="1:83" ht="14.25" x14ac:dyDescent="0.2">
      <c r="A555" s="48"/>
      <c r="B555" s="48" t="s">
        <v>559</v>
      </c>
      <c r="C555" s="48" t="s">
        <v>560</v>
      </c>
      <c r="D555" s="49" t="s">
        <v>449</v>
      </c>
      <c r="E555" s="50">
        <v>5.31</v>
      </c>
      <c r="F555" s="50">
        <f>ROUND(1.15*2,7)</f>
        <v>2.2999999999999998</v>
      </c>
      <c r="G555" s="50">
        <f>SmtRes!CX163</f>
        <v>0.53004419999999997</v>
      </c>
      <c r="H555" s="52"/>
      <c r="I555" s="51"/>
      <c r="J555" s="52">
        <f>SmtRes!CZ163</f>
        <v>797.48</v>
      </c>
      <c r="K555" s="51"/>
      <c r="L555" s="52">
        <f>SmtRes!DI163</f>
        <v>422.7</v>
      </c>
    </row>
    <row r="556" spans="1:83" ht="15" x14ac:dyDescent="0.2">
      <c r="A556" s="47"/>
      <c r="B556" s="50">
        <v>2</v>
      </c>
      <c r="C556" s="47" t="s">
        <v>699</v>
      </c>
      <c r="D556" s="49"/>
      <c r="E556" s="54"/>
      <c r="F556" s="50"/>
      <c r="G556" s="50"/>
      <c r="H556" s="50"/>
      <c r="I556" s="50"/>
      <c r="J556" s="50"/>
      <c r="K556" s="50"/>
      <c r="L556" s="55">
        <f>SUM(L557:L563)-SUMIF(CE557:CE563, 1, L557:L563)</f>
        <v>3.1500000000000004</v>
      </c>
    </row>
    <row r="557" spans="1:83" ht="15" x14ac:dyDescent="0.2">
      <c r="A557" s="47"/>
      <c r="B557" s="50"/>
      <c r="C557" s="47" t="s">
        <v>701</v>
      </c>
      <c r="D557" s="49" t="s">
        <v>449</v>
      </c>
      <c r="E557" s="54"/>
      <c r="F557" s="50"/>
      <c r="G557" s="50">
        <f>Source!V147</f>
        <v>2.1700000000000001E-3</v>
      </c>
      <c r="H557" s="50"/>
      <c r="I557" s="50"/>
      <c r="J557" s="50"/>
      <c r="K557" s="50"/>
      <c r="L557" s="55">
        <f>SUMIF(CE558:CE563, 1, L558:L563)</f>
        <v>1.6800000000000002</v>
      </c>
      <c r="CE557">
        <v>1</v>
      </c>
    </row>
    <row r="558" spans="1:83" ht="28.5" x14ac:dyDescent="0.2">
      <c r="A558" s="48"/>
      <c r="B558" s="48" t="s">
        <v>561</v>
      </c>
      <c r="C558" s="48" t="s">
        <v>563</v>
      </c>
      <c r="D558" s="49" t="s">
        <v>455</v>
      </c>
      <c r="E558" s="50">
        <v>0.01</v>
      </c>
      <c r="F558" s="50">
        <f t="shared" ref="F558:F563" si="2">ROUND(1.25*2,7)</f>
        <v>2.5</v>
      </c>
      <c r="G558" s="50">
        <f>SmtRes!CX165</f>
        <v>1.085E-3</v>
      </c>
      <c r="H558" s="52">
        <f>SmtRes!CZ165</f>
        <v>6.62</v>
      </c>
      <c r="I558" s="51">
        <f>SmtRes!AJ165</f>
        <v>1.48</v>
      </c>
      <c r="J558" s="52">
        <f>ROUND(H558*I558, 2)</f>
        <v>9.8000000000000007</v>
      </c>
      <c r="K558" s="51"/>
      <c r="L558" s="52">
        <f>SmtRes!DG165</f>
        <v>0.01</v>
      </c>
    </row>
    <row r="559" spans="1:83" ht="71.25" x14ac:dyDescent="0.2">
      <c r="A559" s="48"/>
      <c r="B559" s="48" t="s">
        <v>564</v>
      </c>
      <c r="C559" s="48" t="s">
        <v>566</v>
      </c>
      <c r="D559" s="49" t="s">
        <v>455</v>
      </c>
      <c r="E559" s="50">
        <v>0.01</v>
      </c>
      <c r="F559" s="50">
        <f t="shared" si="2"/>
        <v>2.5</v>
      </c>
      <c r="G559" s="50">
        <f>SmtRes!CX166</f>
        <v>1.085E-3</v>
      </c>
      <c r="H559" s="52"/>
      <c r="I559" s="51"/>
      <c r="J559" s="52">
        <f>SmtRes!CZ166</f>
        <v>1593.71</v>
      </c>
      <c r="K559" s="51"/>
      <c r="L559" s="52">
        <f>SmtRes!DG166</f>
        <v>1.73</v>
      </c>
    </row>
    <row r="560" spans="1:83" ht="28.5" x14ac:dyDescent="0.2">
      <c r="A560" s="48"/>
      <c r="B560" s="48" t="s">
        <v>567</v>
      </c>
      <c r="C560" s="48" t="s">
        <v>796</v>
      </c>
      <c r="D560" s="49" t="s">
        <v>449</v>
      </c>
      <c r="E560" s="50">
        <f>SmtRes!DO166*SmtRes!AT166</f>
        <v>0.01</v>
      </c>
      <c r="F560" s="50">
        <f t="shared" si="2"/>
        <v>2.5</v>
      </c>
      <c r="G560" s="50">
        <f>ROUND(E560*F560*G551, 7)</f>
        <v>1.085E-3</v>
      </c>
      <c r="H560" s="52"/>
      <c r="I560" s="51"/>
      <c r="J560" s="52">
        <f>ROUND(SmtRes!AG166/SmtRes!DO166, 2)</f>
        <v>829.81</v>
      </c>
      <c r="K560" s="51"/>
      <c r="L560" s="52">
        <f>SmtRes!DH166</f>
        <v>0.9</v>
      </c>
      <c r="CE560">
        <v>1</v>
      </c>
    </row>
    <row r="561" spans="1:101" ht="28.5" x14ac:dyDescent="0.2">
      <c r="A561" s="48"/>
      <c r="B561" s="48" t="s">
        <v>452</v>
      </c>
      <c r="C561" s="48" t="s">
        <v>454</v>
      </c>
      <c r="D561" s="49" t="s">
        <v>455</v>
      </c>
      <c r="E561" s="50">
        <v>0.01</v>
      </c>
      <c r="F561" s="50">
        <f t="shared" si="2"/>
        <v>2.5</v>
      </c>
      <c r="G561" s="50">
        <f>SmtRes!CX167</f>
        <v>1.085E-3</v>
      </c>
      <c r="H561" s="52"/>
      <c r="I561" s="51"/>
      <c r="J561" s="52">
        <f>SmtRes!CZ167</f>
        <v>643.29</v>
      </c>
      <c r="K561" s="51"/>
      <c r="L561" s="52">
        <f>SmtRes!DG167</f>
        <v>0.7</v>
      </c>
    </row>
    <row r="562" spans="1:101" ht="28.5" x14ac:dyDescent="0.2">
      <c r="A562" s="48"/>
      <c r="B562" s="48" t="s">
        <v>456</v>
      </c>
      <c r="C562" s="48" t="s">
        <v>700</v>
      </c>
      <c r="D562" s="49" t="s">
        <v>449</v>
      </c>
      <c r="E562" s="50">
        <f>SmtRes!DO167*SmtRes!AT167</f>
        <v>0.01</v>
      </c>
      <c r="F562" s="50">
        <f t="shared" si="2"/>
        <v>2.5</v>
      </c>
      <c r="G562" s="50">
        <f>ROUND(E562*F562*G551, 7)</f>
        <v>1.085E-3</v>
      </c>
      <c r="H562" s="52"/>
      <c r="I562" s="51"/>
      <c r="J562" s="52">
        <f>ROUND(SmtRes!AG167/SmtRes!DO167, 2)</f>
        <v>722.05</v>
      </c>
      <c r="K562" s="51"/>
      <c r="L562" s="52">
        <f>SmtRes!DH167</f>
        <v>0.78</v>
      </c>
      <c r="CE562">
        <v>1</v>
      </c>
    </row>
    <row r="563" spans="1:101" ht="42.75" x14ac:dyDescent="0.2">
      <c r="A563" s="48"/>
      <c r="B563" s="48" t="s">
        <v>568</v>
      </c>
      <c r="C563" s="48" t="s">
        <v>570</v>
      </c>
      <c r="D563" s="49" t="s">
        <v>455</v>
      </c>
      <c r="E563" s="50">
        <v>1.1200000000000001</v>
      </c>
      <c r="F563" s="50">
        <f t="shared" si="2"/>
        <v>2.5</v>
      </c>
      <c r="G563" s="50">
        <f>SmtRes!CX168</f>
        <v>0.12152</v>
      </c>
      <c r="H563" s="52">
        <f>SmtRes!CZ168</f>
        <v>4.5199999999999996</v>
      </c>
      <c r="I563" s="51">
        <f>SmtRes!AJ168</f>
        <v>1.29</v>
      </c>
      <c r="J563" s="52">
        <f>ROUND(H563*I563, 2)</f>
        <v>5.83</v>
      </c>
      <c r="K563" s="51"/>
      <c r="L563" s="52">
        <f>SmtRes!DG168</f>
        <v>0.71</v>
      </c>
    </row>
    <row r="564" spans="1:101" ht="15" x14ac:dyDescent="0.2">
      <c r="A564" s="47"/>
      <c r="B564" s="50">
        <v>4</v>
      </c>
      <c r="C564" s="47" t="s">
        <v>702</v>
      </c>
      <c r="D564" s="49"/>
      <c r="E564" s="54"/>
      <c r="F564" s="50"/>
      <c r="G564" s="50"/>
      <c r="H564" s="50"/>
      <c r="I564" s="50"/>
      <c r="J564" s="50"/>
      <c r="K564" s="50"/>
      <c r="L564" s="55">
        <f>SUM(L565:L566)-SUMIF(CE565:CE566, 1, L565:L566)</f>
        <v>75.92</v>
      </c>
    </row>
    <row r="565" spans="1:101" ht="14.25" x14ac:dyDescent="0.2">
      <c r="A565" s="48"/>
      <c r="B565" s="48" t="s">
        <v>571</v>
      </c>
      <c r="C565" s="48" t="s">
        <v>573</v>
      </c>
      <c r="D565" s="49" t="s">
        <v>35</v>
      </c>
      <c r="E565" s="50">
        <v>8.9999999999999993E-3</v>
      </c>
      <c r="F565" s="50">
        <f>ROUND(2,7)</f>
        <v>2</v>
      </c>
      <c r="G565" s="50">
        <f>SmtRes!CX169</f>
        <v>7.8120000000000002E-4</v>
      </c>
      <c r="H565" s="52">
        <f>SmtRes!CZ169</f>
        <v>51280.15</v>
      </c>
      <c r="I565" s="51">
        <f>SmtRes!AI169</f>
        <v>1.54</v>
      </c>
      <c r="J565" s="52">
        <f>ROUND(H565*I565, 2)</f>
        <v>78971.429999999993</v>
      </c>
      <c r="K565" s="51"/>
      <c r="L565" s="52">
        <f>SmtRes!DF169</f>
        <v>61.69</v>
      </c>
    </row>
    <row r="566" spans="1:101" ht="14.25" x14ac:dyDescent="0.2">
      <c r="A566" s="48"/>
      <c r="B566" s="48" t="s">
        <v>574</v>
      </c>
      <c r="C566" s="56" t="s">
        <v>576</v>
      </c>
      <c r="D566" s="57" t="s">
        <v>35</v>
      </c>
      <c r="E566" s="58">
        <v>1.5E-3</v>
      </c>
      <c r="F566" s="58">
        <f>ROUND(2,7)</f>
        <v>2</v>
      </c>
      <c r="G566" s="58">
        <f>SmtRes!CX170</f>
        <v>1.3019999999999999E-4</v>
      </c>
      <c r="H566" s="59">
        <f>SmtRes!CZ170</f>
        <v>75885.63</v>
      </c>
      <c r="I566" s="60">
        <f>SmtRes!AI170</f>
        <v>1.44</v>
      </c>
      <c r="J566" s="59">
        <f>ROUND(H566*I566, 2)</f>
        <v>109275.31</v>
      </c>
      <c r="K566" s="60"/>
      <c r="L566" s="59">
        <f>SmtRes!DF170</f>
        <v>14.23</v>
      </c>
    </row>
    <row r="567" spans="1:101" ht="15" x14ac:dyDescent="0.2">
      <c r="A567" s="48"/>
      <c r="B567" s="48"/>
      <c r="C567" s="62" t="s">
        <v>703</v>
      </c>
      <c r="D567" s="49"/>
      <c r="E567" s="50"/>
      <c r="F567" s="50"/>
      <c r="G567" s="50"/>
      <c r="H567" s="52"/>
      <c r="I567" s="51"/>
      <c r="J567" s="52"/>
      <c r="K567" s="51"/>
      <c r="L567" s="52">
        <f>L554+L556+L557+L564</f>
        <v>503.45</v>
      </c>
    </row>
    <row r="568" spans="1:101" ht="14.25" x14ac:dyDescent="0.2">
      <c r="A568" s="48"/>
      <c r="B568" s="48"/>
      <c r="C568" s="48" t="s">
        <v>706</v>
      </c>
      <c r="D568" s="49"/>
      <c r="E568" s="50"/>
      <c r="F568" s="50"/>
      <c r="G568" s="50"/>
      <c r="H568" s="52"/>
      <c r="I568" s="51"/>
      <c r="J568" s="52"/>
      <c r="K568" s="51"/>
      <c r="L568" s="52">
        <f>SUM(AR551:AR571)+SUM(AS551:AS571)+SUM(AT551:AT571)+SUM(AU551:AU571)+SUM(AV551:AV571)</f>
        <v>424.38</v>
      </c>
    </row>
    <row r="569" spans="1:101" ht="28.5" x14ac:dyDescent="0.2">
      <c r="A569" s="48"/>
      <c r="B569" s="48" t="s">
        <v>797</v>
      </c>
      <c r="C569" s="48" t="s">
        <v>798</v>
      </c>
      <c r="D569" s="49" t="s">
        <v>83</v>
      </c>
      <c r="E569" s="50">
        <f>Source!BZ147</f>
        <v>94</v>
      </c>
      <c r="F569" s="50">
        <f>ROUND(0.9,7)</f>
        <v>0.9</v>
      </c>
      <c r="G569" s="50">
        <f>Source!AT147</f>
        <v>84.6</v>
      </c>
      <c r="H569" s="52"/>
      <c r="I569" s="51"/>
      <c r="J569" s="52"/>
      <c r="K569" s="51"/>
      <c r="L569" s="52">
        <f>SUM(AZ551:AZ571)</f>
        <v>359.03</v>
      </c>
    </row>
    <row r="570" spans="1:101" ht="28.5" x14ac:dyDescent="0.2">
      <c r="A570" s="56"/>
      <c r="B570" s="56" t="s">
        <v>799</v>
      </c>
      <c r="C570" s="56" t="s">
        <v>800</v>
      </c>
      <c r="D570" s="57" t="s">
        <v>83</v>
      </c>
      <c r="E570" s="58">
        <f>Source!CA147</f>
        <v>51</v>
      </c>
      <c r="F570" s="58">
        <f>ROUND(0.85,7)</f>
        <v>0.85</v>
      </c>
      <c r="G570" s="58">
        <f>Source!AU147</f>
        <v>43.35</v>
      </c>
      <c r="H570" s="59"/>
      <c r="I570" s="60"/>
      <c r="J570" s="59"/>
      <c r="K570" s="60"/>
      <c r="L570" s="59">
        <f>SUM(BA551:BA571)</f>
        <v>183.97</v>
      </c>
    </row>
    <row r="571" spans="1:101" ht="15" x14ac:dyDescent="0.2">
      <c r="C571" s="131" t="s">
        <v>709</v>
      </c>
      <c r="D571" s="131"/>
      <c r="E571" s="131"/>
      <c r="F571" s="131"/>
      <c r="G571" s="131"/>
      <c r="H571" s="131"/>
      <c r="I571" s="132">
        <f>IF(E551&lt;&gt;0,K571/E551, 0)</f>
        <v>24111.751152073732</v>
      </c>
      <c r="J571" s="132"/>
      <c r="K571" s="132">
        <f>L554+L556+L564+L569+L570+L557</f>
        <v>1046.45</v>
      </c>
      <c r="L571" s="132"/>
      <c r="AD571">
        <f>ROUND((Source!AT147/100)*((ROUND(SUMIF(SmtRes!AQ163:'SmtRes'!AQ170,"=1",SmtRes!AD163:'SmtRes'!AD170)*Source!I147, 2)+ROUND(SUMIF(SmtRes!AQ163:'SmtRes'!AQ170,"=1",SmtRes!AC163:'SmtRes'!AC170)*Source!I147, 2))), 2)</f>
        <v>86.26</v>
      </c>
      <c r="AE571">
        <f>ROUND((Source!AU147/100)*((ROUND(SUMIF(SmtRes!AQ163:'SmtRes'!AQ170,"=1",SmtRes!AD163:'SmtRes'!AD170)*Source!I147, 2)+ROUND(SUMIF(SmtRes!AQ163:'SmtRes'!AQ170,"=1",SmtRes!AC163:'SmtRes'!AC170)*Source!I147, 2))), 2)</f>
        <v>44.2</v>
      </c>
      <c r="AN571" s="61">
        <f>L554+L556+L564+L569+L570+L557</f>
        <v>1046.45</v>
      </c>
      <c r="AO571" s="61">
        <f>L556</f>
        <v>3.1500000000000004</v>
      </c>
      <c r="AQ571" t="s">
        <v>710</v>
      </c>
      <c r="AR571" s="61">
        <f>L554</f>
        <v>422.7</v>
      </c>
      <c r="AT571" s="61">
        <f>L557</f>
        <v>1.6800000000000002</v>
      </c>
      <c r="AV571" t="s">
        <v>710</v>
      </c>
      <c r="AW571" s="61">
        <f>L564</f>
        <v>75.92</v>
      </c>
      <c r="AZ571">
        <f>Source!X147</f>
        <v>359.03</v>
      </c>
      <c r="BA571">
        <f>Source!Y147</f>
        <v>183.97</v>
      </c>
      <c r="CD571">
        <v>1</v>
      </c>
    </row>
    <row r="572" spans="1:101" ht="57" x14ac:dyDescent="0.2">
      <c r="A572" s="46" t="s">
        <v>284</v>
      </c>
      <c r="B572" s="48" t="s">
        <v>801</v>
      </c>
      <c r="C572" s="48" t="str">
        <f>Source!G148</f>
        <v>Масляная окраска металлических поверхностей: стальных балок, труб диаметром более 50 мм и т.п., количество окрасок 2</v>
      </c>
      <c r="D572" s="49" t="str">
        <f>Source!H148</f>
        <v>100 м2</v>
      </c>
      <c r="E572" s="50">
        <f>Source!K148</f>
        <v>4.3400000000000001E-2</v>
      </c>
      <c r="F572" s="50"/>
      <c r="G572" s="50">
        <f>Source!I148</f>
        <v>4.3400000000000001E-2</v>
      </c>
      <c r="H572" s="52"/>
      <c r="I572" s="51"/>
      <c r="J572" s="52"/>
      <c r="K572" s="51"/>
      <c r="L572" s="52"/>
    </row>
    <row r="573" spans="1:101" ht="51" x14ac:dyDescent="0.2">
      <c r="B573" s="64" t="s">
        <v>644</v>
      </c>
      <c r="C573" s="130" t="s">
        <v>717</v>
      </c>
      <c r="D573" s="130"/>
      <c r="E573" s="130"/>
      <c r="F573" s="130"/>
      <c r="G573" s="130"/>
      <c r="H573" s="130"/>
      <c r="I573" s="130"/>
      <c r="J573" s="130"/>
      <c r="K573" s="130"/>
      <c r="L573" s="130"/>
      <c r="CW573" s="65" t="s">
        <v>717</v>
      </c>
    </row>
    <row r="574" spans="1:101" x14ac:dyDescent="0.2">
      <c r="C574" s="53" t="str">
        <f>"Объем: "&amp;Source!I148&amp;"=4,34/"&amp;"100"</f>
        <v>Объем: 0,0434=4,34/100</v>
      </c>
    </row>
    <row r="575" spans="1:101" ht="15" x14ac:dyDescent="0.2">
      <c r="A575" s="47"/>
      <c r="B575" s="50">
        <v>1</v>
      </c>
      <c r="C575" s="47" t="s">
        <v>698</v>
      </c>
      <c r="D575" s="49" t="s">
        <v>449</v>
      </c>
      <c r="E575" s="54"/>
      <c r="F575" s="50"/>
      <c r="G575" s="50">
        <f>Source!U148</f>
        <v>1.8416790000000001</v>
      </c>
      <c r="H575" s="50"/>
      <c r="I575" s="50"/>
      <c r="J575" s="50"/>
      <c r="K575" s="50"/>
      <c r="L575" s="55">
        <f>SUM(L576:L576)-SUMIF(CE576:CE576, 1, L576:L576)</f>
        <v>1225.58</v>
      </c>
    </row>
    <row r="576" spans="1:101" ht="14.25" x14ac:dyDescent="0.2">
      <c r="A576" s="48"/>
      <c r="B576" s="48" t="s">
        <v>577</v>
      </c>
      <c r="C576" s="48" t="s">
        <v>578</v>
      </c>
      <c r="D576" s="49" t="s">
        <v>449</v>
      </c>
      <c r="E576" s="50">
        <v>36.9</v>
      </c>
      <c r="F576" s="50">
        <f>ROUND(1.15,7)</f>
        <v>1.1499999999999999</v>
      </c>
      <c r="G576" s="50">
        <f>SmtRes!CX171</f>
        <v>1.8416790000000001</v>
      </c>
      <c r="H576" s="52"/>
      <c r="I576" s="51"/>
      <c r="J576" s="52">
        <f>SmtRes!CZ171</f>
        <v>665.47</v>
      </c>
      <c r="K576" s="51"/>
      <c r="L576" s="52">
        <f>SmtRes!DI171</f>
        <v>1225.58</v>
      </c>
    </row>
    <row r="577" spans="1:83" ht="15" x14ac:dyDescent="0.2">
      <c r="A577" s="47"/>
      <c r="B577" s="50">
        <v>2</v>
      </c>
      <c r="C577" s="47" t="s">
        <v>699</v>
      </c>
      <c r="D577" s="49"/>
      <c r="E577" s="54"/>
      <c r="F577" s="50"/>
      <c r="G577" s="50"/>
      <c r="H577" s="50"/>
      <c r="I577" s="50"/>
      <c r="J577" s="50"/>
      <c r="K577" s="50"/>
      <c r="L577" s="55">
        <f>SUM(L578:L582)-SUMIF(CE578:CE582, 1, L578:L582)</f>
        <v>1.08</v>
      </c>
    </row>
    <row r="578" spans="1:83" ht="15" x14ac:dyDescent="0.2">
      <c r="A578" s="47"/>
      <c r="B578" s="50"/>
      <c r="C578" s="47" t="s">
        <v>701</v>
      </c>
      <c r="D578" s="49" t="s">
        <v>449</v>
      </c>
      <c r="E578" s="54"/>
      <c r="F578" s="50"/>
      <c r="G578" s="50">
        <f>Source!V148</f>
        <v>2.1700000000000001E-3</v>
      </c>
      <c r="H578" s="50"/>
      <c r="I578" s="50"/>
      <c r="J578" s="50"/>
      <c r="K578" s="50"/>
      <c r="L578" s="55">
        <f>SUMIF(CE579:CE582, 1, L579:L582)</f>
        <v>1.5299999999999998</v>
      </c>
      <c r="CE578">
        <v>1</v>
      </c>
    </row>
    <row r="579" spans="1:83" ht="42.75" x14ac:dyDescent="0.2">
      <c r="A579" s="48"/>
      <c r="B579" s="48" t="s">
        <v>466</v>
      </c>
      <c r="C579" s="48" t="s">
        <v>468</v>
      </c>
      <c r="D579" s="49" t="s">
        <v>455</v>
      </c>
      <c r="E579" s="50">
        <v>0.01</v>
      </c>
      <c r="F579" s="50">
        <f>ROUND(1.25,7)</f>
        <v>1.25</v>
      </c>
      <c r="G579" s="50">
        <f>SmtRes!CX173</f>
        <v>5.4250000000000001E-4</v>
      </c>
      <c r="H579" s="52">
        <f>SmtRes!CZ173</f>
        <v>37.32</v>
      </c>
      <c r="I579" s="51">
        <f>SmtRes!AJ173</f>
        <v>1.54</v>
      </c>
      <c r="J579" s="52">
        <f>ROUND(H579*I579, 2)</f>
        <v>57.47</v>
      </c>
      <c r="K579" s="51"/>
      <c r="L579" s="52">
        <f>SmtRes!DG173</f>
        <v>0.03</v>
      </c>
    </row>
    <row r="580" spans="1:83" ht="28.5" x14ac:dyDescent="0.2">
      <c r="A580" s="48"/>
      <c r="B580" s="48" t="s">
        <v>469</v>
      </c>
      <c r="C580" s="48" t="s">
        <v>712</v>
      </c>
      <c r="D580" s="49" t="s">
        <v>449</v>
      </c>
      <c r="E580" s="50">
        <f>SmtRes!DO173*SmtRes!AT173</f>
        <v>0.01</v>
      </c>
      <c r="F580" s="50">
        <f>ROUND(1.25,7)</f>
        <v>1.25</v>
      </c>
      <c r="G580" s="50">
        <f>ROUND(E580*F580*G572, 7)</f>
        <v>5.4250000000000001E-4</v>
      </c>
      <c r="H580" s="52"/>
      <c r="I580" s="51"/>
      <c r="J580" s="52">
        <f>ROUND(SmtRes!AG173/SmtRes!DO173, 2)</f>
        <v>641.22</v>
      </c>
      <c r="K580" s="51"/>
      <c r="L580" s="52">
        <f>SmtRes!DH173</f>
        <v>0.35</v>
      </c>
      <c r="CE580">
        <v>1</v>
      </c>
    </row>
    <row r="581" spans="1:83" ht="28.5" x14ac:dyDescent="0.2">
      <c r="A581" s="48"/>
      <c r="B581" s="48" t="s">
        <v>452</v>
      </c>
      <c r="C581" s="48" t="s">
        <v>454</v>
      </c>
      <c r="D581" s="49" t="s">
        <v>455</v>
      </c>
      <c r="E581" s="50">
        <v>0.03</v>
      </c>
      <c r="F581" s="50">
        <f>ROUND(1.25,7)</f>
        <v>1.25</v>
      </c>
      <c r="G581" s="50">
        <f>SmtRes!CX174</f>
        <v>1.6275E-3</v>
      </c>
      <c r="H581" s="52"/>
      <c r="I581" s="51"/>
      <c r="J581" s="52">
        <f>SmtRes!CZ174</f>
        <v>643.29</v>
      </c>
      <c r="K581" s="51"/>
      <c r="L581" s="52">
        <f>SmtRes!DG174</f>
        <v>1.05</v>
      </c>
    </row>
    <row r="582" spans="1:83" ht="28.5" x14ac:dyDescent="0.2">
      <c r="A582" s="48"/>
      <c r="B582" s="48" t="s">
        <v>456</v>
      </c>
      <c r="C582" s="48" t="s">
        <v>700</v>
      </c>
      <c r="D582" s="49" t="s">
        <v>449</v>
      </c>
      <c r="E582" s="50">
        <f>SmtRes!DO174*SmtRes!AT174</f>
        <v>0.03</v>
      </c>
      <c r="F582" s="50">
        <f>ROUND(1.25,7)</f>
        <v>1.25</v>
      </c>
      <c r="G582" s="50">
        <f>ROUND(E582*F582*G572, 7)</f>
        <v>1.6275E-3</v>
      </c>
      <c r="H582" s="52"/>
      <c r="I582" s="51"/>
      <c r="J582" s="52">
        <f>ROUND(SmtRes!AG174/SmtRes!DO174, 2)</f>
        <v>722.05</v>
      </c>
      <c r="K582" s="51"/>
      <c r="L582" s="52">
        <f>SmtRes!DH174</f>
        <v>1.18</v>
      </c>
      <c r="CE582">
        <v>1</v>
      </c>
    </row>
    <row r="583" spans="1:83" ht="15" x14ac:dyDescent="0.2">
      <c r="A583" s="47"/>
      <c r="B583" s="50">
        <v>4</v>
      </c>
      <c r="C583" s="47" t="s">
        <v>702</v>
      </c>
      <c r="D583" s="49"/>
      <c r="E583" s="54"/>
      <c r="F583" s="50"/>
      <c r="G583" s="50"/>
      <c r="H583" s="50"/>
      <c r="I583" s="50"/>
      <c r="J583" s="50"/>
      <c r="K583" s="50"/>
      <c r="L583" s="55">
        <f>SUM(L584:L585)-SUMIF(CE584:CE585, 1, L584:L585)</f>
        <v>19.88</v>
      </c>
    </row>
    <row r="584" spans="1:83" ht="14.25" x14ac:dyDescent="0.2">
      <c r="A584" s="48"/>
      <c r="B584" s="48" t="s">
        <v>579</v>
      </c>
      <c r="C584" s="48" t="s">
        <v>581</v>
      </c>
      <c r="D584" s="49" t="s">
        <v>295</v>
      </c>
      <c r="E584" s="50">
        <v>0.3</v>
      </c>
      <c r="F584" s="50"/>
      <c r="G584" s="50">
        <f>SmtRes!CX175</f>
        <v>1.302E-2</v>
      </c>
      <c r="H584" s="52">
        <f>SmtRes!CZ175</f>
        <v>56.11</v>
      </c>
      <c r="I584" s="51">
        <f>SmtRes!AI175</f>
        <v>1.54</v>
      </c>
      <c r="J584" s="52">
        <f>ROUND(H584*I584, 2)</f>
        <v>86.41</v>
      </c>
      <c r="K584" s="51"/>
      <c r="L584" s="52">
        <f>SmtRes!DF175</f>
        <v>1.1299999999999999</v>
      </c>
    </row>
    <row r="585" spans="1:83" ht="14.25" x14ac:dyDescent="0.2">
      <c r="A585" s="48"/>
      <c r="B585" s="48" t="s">
        <v>582</v>
      </c>
      <c r="C585" s="48" t="s">
        <v>584</v>
      </c>
      <c r="D585" s="49" t="s">
        <v>295</v>
      </c>
      <c r="E585" s="50">
        <v>2.7</v>
      </c>
      <c r="F585" s="50"/>
      <c r="G585" s="50">
        <f>SmtRes!CX177</f>
        <v>0.11718000000000001</v>
      </c>
      <c r="H585" s="52">
        <f>SmtRes!CZ177</f>
        <v>133.31</v>
      </c>
      <c r="I585" s="51">
        <f>SmtRes!AI177</f>
        <v>1.2</v>
      </c>
      <c r="J585" s="52">
        <f>ROUND(H585*I585, 2)</f>
        <v>159.97</v>
      </c>
      <c r="K585" s="51"/>
      <c r="L585" s="52">
        <f>SmtRes!DF177</f>
        <v>18.75</v>
      </c>
    </row>
    <row r="586" spans="1:83" ht="28.5" x14ac:dyDescent="0.2">
      <c r="A586" s="48"/>
      <c r="B586" s="48" t="str">
        <f>EtalonRes!I172</f>
        <v>14.4.02.04</v>
      </c>
      <c r="C586" s="56" t="str">
        <f>EtalonRes!K172</f>
        <v>Краски для внутренних работ масляные готовые к применению</v>
      </c>
      <c r="D586" s="57" t="str">
        <f>EtalonRes!O172</f>
        <v>кг</v>
      </c>
      <c r="E586" s="58">
        <f>EtalonRes!X172</f>
        <v>24.6</v>
      </c>
      <c r="F586" s="58"/>
      <c r="G586" s="58">
        <f>ROUND(EtalonRes!AG172*Source!I148, 7)</f>
        <v>1.0676399999999999</v>
      </c>
      <c r="H586" s="59"/>
      <c r="I586" s="60"/>
      <c r="J586" s="59"/>
      <c r="K586" s="60"/>
      <c r="L586" s="59"/>
    </row>
    <row r="587" spans="1:83" ht="15" x14ac:dyDescent="0.2">
      <c r="A587" s="48"/>
      <c r="B587" s="48"/>
      <c r="C587" s="62" t="s">
        <v>703</v>
      </c>
      <c r="D587" s="49"/>
      <c r="E587" s="50"/>
      <c r="F587" s="50"/>
      <c r="G587" s="50"/>
      <c r="H587" s="52"/>
      <c r="I587" s="51"/>
      <c r="J587" s="52"/>
      <c r="K587" s="51"/>
      <c r="L587" s="52">
        <f>L575+L577+L578+L583</f>
        <v>1248.07</v>
      </c>
    </row>
    <row r="588" spans="1:83" ht="14.25" x14ac:dyDescent="0.2">
      <c r="A588" s="46" t="s">
        <v>802</v>
      </c>
      <c r="B588" s="48" t="str">
        <f>Source!F149</f>
        <v>14.4.02.04-0252</v>
      </c>
      <c r="C588" s="48" t="str">
        <f>Source!G149</f>
        <v>Краска масляная МА-25, цветная</v>
      </c>
      <c r="D588" s="49" t="str">
        <f>Source!H149</f>
        <v>кг</v>
      </c>
      <c r="E588" s="50">
        <f>SmtRes!AT176</f>
        <v>24.6</v>
      </c>
      <c r="F588" s="50"/>
      <c r="G588" s="50">
        <f>Source!I149</f>
        <v>1.0676399999999999</v>
      </c>
      <c r="H588" s="52">
        <f>Source!AL149+Source!AO149+Source!AM149+Source!AN149</f>
        <v>61.82</v>
      </c>
      <c r="I588" s="51">
        <f>IF(Source!BC149&lt;&gt; 0, Source!BC149, 1)</f>
        <v>1.4</v>
      </c>
      <c r="J588" s="52">
        <f>ROUND(H588*I588, 2)</f>
        <v>86.55</v>
      </c>
      <c r="K588" s="51"/>
      <c r="L588" s="52">
        <f>Source!P149</f>
        <v>92.4</v>
      </c>
      <c r="AD588">
        <f>ROUND((Source!AT149/100)*((ROUND(ROUND(Source!AO149,2)*Source!I149, 2)+ROUND(ROUND(Source!AN149,2)*Source!I149, 2))), 2)</f>
        <v>0</v>
      </c>
      <c r="AE588">
        <f>ROUND((Source!AU149/100)*((ROUND(ROUND(Source!AO149,2)*Source!I149, 2)+ROUND(ROUND(Source!AN149,2)*Source!I149, 2))), 2)</f>
        <v>0</v>
      </c>
      <c r="AN588">
        <f>L588</f>
        <v>92.4</v>
      </c>
      <c r="AW588">
        <f>L588</f>
        <v>92.4</v>
      </c>
      <c r="AZ588">
        <f>Source!X149</f>
        <v>0</v>
      </c>
      <c r="BA588">
        <f>Source!Y149</f>
        <v>0</v>
      </c>
      <c r="CD588">
        <v>1</v>
      </c>
    </row>
    <row r="589" spans="1:83" ht="14.25" x14ac:dyDescent="0.2">
      <c r="A589" s="48"/>
      <c r="B589" s="48"/>
      <c r="C589" s="48" t="s">
        <v>706</v>
      </c>
      <c r="D589" s="49"/>
      <c r="E589" s="50"/>
      <c r="F589" s="50"/>
      <c r="G589" s="50"/>
      <c r="H589" s="52"/>
      <c r="I589" s="51"/>
      <c r="J589" s="52"/>
      <c r="K589" s="51"/>
      <c r="L589" s="52">
        <f>SUM(AR572:AR592)+SUM(AS572:AS592)+SUM(AT572:AT592)+SUM(AU572:AU592)+SUM(AV572:AV592)</f>
        <v>1227.1099999999999</v>
      </c>
    </row>
    <row r="590" spans="1:83" ht="28.5" x14ac:dyDescent="0.2">
      <c r="A590" s="48"/>
      <c r="B590" s="48" t="s">
        <v>803</v>
      </c>
      <c r="C590" s="48" t="s">
        <v>804</v>
      </c>
      <c r="D590" s="49" t="s">
        <v>83</v>
      </c>
      <c r="E590" s="50">
        <f>Source!BZ148</f>
        <v>100</v>
      </c>
      <c r="F590" s="50">
        <f>ROUND(0.9,7)</f>
        <v>0.9</v>
      </c>
      <c r="G590" s="50">
        <f>Source!AT148</f>
        <v>90</v>
      </c>
      <c r="H590" s="52"/>
      <c r="I590" s="51"/>
      <c r="J590" s="52"/>
      <c r="K590" s="51"/>
      <c r="L590" s="52">
        <f>SUM(AZ572:AZ592)</f>
        <v>1104.4000000000001</v>
      </c>
    </row>
    <row r="591" spans="1:83" ht="28.5" x14ac:dyDescent="0.2">
      <c r="A591" s="56"/>
      <c r="B591" s="56" t="s">
        <v>805</v>
      </c>
      <c r="C591" s="56" t="s">
        <v>806</v>
      </c>
      <c r="D591" s="57" t="s">
        <v>83</v>
      </c>
      <c r="E591" s="58">
        <f>Source!CA148</f>
        <v>49</v>
      </c>
      <c r="F591" s="58">
        <f>ROUND(0.85,7)</f>
        <v>0.85</v>
      </c>
      <c r="G591" s="58">
        <f>Source!AU148</f>
        <v>41.65</v>
      </c>
      <c r="H591" s="59"/>
      <c r="I591" s="60"/>
      <c r="J591" s="59"/>
      <c r="K591" s="60"/>
      <c r="L591" s="59">
        <f>SUM(BA572:BA592)</f>
        <v>511.09</v>
      </c>
    </row>
    <row r="592" spans="1:83" ht="15" x14ac:dyDescent="0.2">
      <c r="C592" s="131" t="s">
        <v>709</v>
      </c>
      <c r="D592" s="131"/>
      <c r="E592" s="131"/>
      <c r="F592" s="131"/>
      <c r="G592" s="131"/>
      <c r="H592" s="131"/>
      <c r="I592" s="132">
        <f>IF(E572&lt;&gt;0,K592/E572, 0)</f>
        <v>68109.677419354848</v>
      </c>
      <c r="J592" s="132"/>
      <c r="K592" s="132">
        <f>L575+L577+L583+L590+L591+L578+SUM(L588:L588)</f>
        <v>2955.9600000000005</v>
      </c>
      <c r="L592" s="132"/>
      <c r="AD592">
        <f>ROUND((Source!AT148/100)*((ROUND(SUMIF(SmtRes!AQ171:'SmtRes'!AQ177,"=1",SmtRes!AD171:'SmtRes'!AD177)*Source!I148, 2)+ROUND(SUMIF(SmtRes!AQ171:'SmtRes'!AQ177,"=1",SmtRes!AC171:'SmtRes'!AC177)*Source!I148, 2))), 2)</f>
        <v>79.25</v>
      </c>
      <c r="AE592">
        <f>ROUND((Source!AU148/100)*((ROUND(SUMIF(SmtRes!AQ171:'SmtRes'!AQ177,"=1",SmtRes!AD171:'SmtRes'!AD177)*Source!I148, 2)+ROUND(SUMIF(SmtRes!AQ171:'SmtRes'!AQ177,"=1",SmtRes!AC171:'SmtRes'!AC177)*Source!I148, 2))), 2)</f>
        <v>36.67</v>
      </c>
      <c r="AN592" s="61">
        <f>L575+L577+L583+L590+L591+L578</f>
        <v>2863.5600000000004</v>
      </c>
      <c r="AO592" s="61">
        <f>L577</f>
        <v>1.08</v>
      </c>
      <c r="AQ592" t="s">
        <v>710</v>
      </c>
      <c r="AR592" s="61">
        <f>L575</f>
        <v>1225.58</v>
      </c>
      <c r="AT592" s="61">
        <f>L578</f>
        <v>1.5299999999999998</v>
      </c>
      <c r="AV592" t="s">
        <v>710</v>
      </c>
      <c r="AW592" s="61">
        <f>L583</f>
        <v>19.88</v>
      </c>
      <c r="AZ592">
        <f>Source!X148</f>
        <v>1104.4000000000001</v>
      </c>
      <c r="BA592">
        <f>Source!Y148</f>
        <v>511.09</v>
      </c>
      <c r="CD592">
        <v>1</v>
      </c>
    </row>
    <row r="593" spans="1:101" ht="28.5" x14ac:dyDescent="0.2">
      <c r="A593" s="46" t="s">
        <v>297</v>
      </c>
      <c r="B593" s="48" t="s">
        <v>807</v>
      </c>
      <c r="C593" s="48" t="str">
        <f>Source!G150</f>
        <v>Разборка тепловой изоляции: из ваты минеральной/диам.100 мм</v>
      </c>
      <c r="D593" s="49" t="str">
        <f>Source!H150</f>
        <v>100 м2</v>
      </c>
      <c r="E593" s="50">
        <f>Source!K150</f>
        <v>2.8299999999999999E-2</v>
      </c>
      <c r="F593" s="50"/>
      <c r="G593" s="50">
        <f>Source!I150</f>
        <v>2.8299999999999999E-2</v>
      </c>
      <c r="H593" s="52"/>
      <c r="I593" s="51"/>
      <c r="J593" s="52"/>
      <c r="K593" s="51"/>
      <c r="L593" s="52"/>
    </row>
    <row r="594" spans="1:101" x14ac:dyDescent="0.2">
      <c r="C594" s="53" t="str">
        <f>"Объем: "&amp;Source!I150&amp;"=2,83/"&amp;"100"</f>
        <v>Объем: 0,0283=2,83/100</v>
      </c>
    </row>
    <row r="595" spans="1:101" ht="15" x14ac:dyDescent="0.2">
      <c r="A595" s="47"/>
      <c r="B595" s="50">
        <v>1</v>
      </c>
      <c r="C595" s="47" t="s">
        <v>698</v>
      </c>
      <c r="D595" s="49" t="s">
        <v>449</v>
      </c>
      <c r="E595" s="54"/>
      <c r="F595" s="50"/>
      <c r="G595" s="50">
        <f>Source!U150</f>
        <v>0.54052999999999995</v>
      </c>
      <c r="H595" s="50"/>
      <c r="I595" s="50"/>
      <c r="J595" s="50"/>
      <c r="K595" s="50"/>
      <c r="L595" s="55">
        <f>SUM(L596:L596)-SUMIF(CE596:CE596, 1, L596:L596)</f>
        <v>337.86</v>
      </c>
    </row>
    <row r="596" spans="1:101" ht="14.25" x14ac:dyDescent="0.2">
      <c r="A596" s="48"/>
      <c r="B596" s="48" t="s">
        <v>585</v>
      </c>
      <c r="C596" s="56" t="s">
        <v>586</v>
      </c>
      <c r="D596" s="57" t="s">
        <v>449</v>
      </c>
      <c r="E596" s="58">
        <v>19.100000000000001</v>
      </c>
      <c r="F596" s="58"/>
      <c r="G596" s="58">
        <f>SmtRes!CX178</f>
        <v>0.54052999999999995</v>
      </c>
      <c r="H596" s="59"/>
      <c r="I596" s="60"/>
      <c r="J596" s="59">
        <f>SmtRes!CZ178</f>
        <v>625.04999999999995</v>
      </c>
      <c r="K596" s="60"/>
      <c r="L596" s="59">
        <f>SmtRes!DI178</f>
        <v>337.86</v>
      </c>
    </row>
    <row r="597" spans="1:101" ht="15" x14ac:dyDescent="0.2">
      <c r="A597" s="48"/>
      <c r="B597" s="48"/>
      <c r="C597" s="62" t="s">
        <v>703</v>
      </c>
      <c r="D597" s="49"/>
      <c r="E597" s="50"/>
      <c r="F597" s="50"/>
      <c r="G597" s="50"/>
      <c r="H597" s="52"/>
      <c r="I597" s="51"/>
      <c r="J597" s="52"/>
      <c r="K597" s="51"/>
      <c r="L597" s="52">
        <f>L595</f>
        <v>337.86</v>
      </c>
    </row>
    <row r="598" spans="1:101" ht="14.25" x14ac:dyDescent="0.2">
      <c r="A598" s="48"/>
      <c r="B598" s="48"/>
      <c r="C598" s="48" t="s">
        <v>706</v>
      </c>
      <c r="D598" s="49"/>
      <c r="E598" s="50"/>
      <c r="F598" s="50"/>
      <c r="G598" s="50"/>
      <c r="H598" s="52"/>
      <c r="I598" s="51"/>
      <c r="J598" s="52"/>
      <c r="K598" s="51"/>
      <c r="L598" s="52">
        <f>SUM(AR593:AR601)+SUM(AS593:AS601)+SUM(AT593:AT601)+SUM(AU593:AU601)+SUM(AV593:AV601)</f>
        <v>337.86</v>
      </c>
    </row>
    <row r="599" spans="1:101" ht="28.5" x14ac:dyDescent="0.2">
      <c r="A599" s="48"/>
      <c r="B599" s="48" t="s">
        <v>304</v>
      </c>
      <c r="C599" s="48" t="s">
        <v>808</v>
      </c>
      <c r="D599" s="49" t="s">
        <v>83</v>
      </c>
      <c r="E599" s="50">
        <f>Source!BZ150</f>
        <v>89</v>
      </c>
      <c r="F599" s="50"/>
      <c r="G599" s="50">
        <f>Source!AT150</f>
        <v>89</v>
      </c>
      <c r="H599" s="52"/>
      <c r="I599" s="51"/>
      <c r="J599" s="52"/>
      <c r="K599" s="51"/>
      <c r="L599" s="52">
        <f>SUM(AZ593:AZ601)</f>
        <v>300.7</v>
      </c>
    </row>
    <row r="600" spans="1:101" ht="28.5" x14ac:dyDescent="0.2">
      <c r="A600" s="56"/>
      <c r="B600" s="56" t="s">
        <v>305</v>
      </c>
      <c r="C600" s="56" t="s">
        <v>809</v>
      </c>
      <c r="D600" s="57" t="s">
        <v>83</v>
      </c>
      <c r="E600" s="58">
        <f>Source!CA150</f>
        <v>44</v>
      </c>
      <c r="F600" s="58"/>
      <c r="G600" s="58">
        <f>Source!AU150</f>
        <v>44</v>
      </c>
      <c r="H600" s="59"/>
      <c r="I600" s="60"/>
      <c r="J600" s="59"/>
      <c r="K600" s="60"/>
      <c r="L600" s="59">
        <f>SUM(BA593:BA601)</f>
        <v>148.66</v>
      </c>
    </row>
    <row r="601" spans="1:101" ht="15" x14ac:dyDescent="0.2">
      <c r="C601" s="131" t="s">
        <v>709</v>
      </c>
      <c r="D601" s="131"/>
      <c r="E601" s="131"/>
      <c r="F601" s="131"/>
      <c r="G601" s="131"/>
      <c r="H601" s="131"/>
      <c r="I601" s="132">
        <f>IF(E593&lt;&gt;0,K601/E593, 0)</f>
        <v>27816.961130742049</v>
      </c>
      <c r="J601" s="132"/>
      <c r="K601" s="132">
        <f>L595+L599+L600</f>
        <v>787.21999999999991</v>
      </c>
      <c r="L601" s="132"/>
      <c r="AD601">
        <f>ROUND((Source!AT150/100)*((ROUND(SUMIF(SmtRes!AQ178:'SmtRes'!AQ178,"=1",SmtRes!AD178:'SmtRes'!AD178)*Source!I150, 2)+ROUND(SUMIF(SmtRes!AQ178:'SmtRes'!AQ178,"=1",SmtRes!AC178:'SmtRes'!AC178)*Source!I150, 2))), 2)</f>
        <v>15.74</v>
      </c>
      <c r="AE601">
        <f>ROUND((Source!AU150/100)*((ROUND(SUMIF(SmtRes!AQ178:'SmtRes'!AQ178,"=1",SmtRes!AD178:'SmtRes'!AD178)*Source!I150, 2)+ROUND(SUMIF(SmtRes!AQ178:'SmtRes'!AQ178,"=1",SmtRes!AC178:'SmtRes'!AC178)*Source!I150, 2))), 2)</f>
        <v>7.78</v>
      </c>
      <c r="AN601" s="61">
        <f>L595+L599+L600</f>
        <v>787.21999999999991</v>
      </c>
      <c r="AO601">
        <f>0</f>
        <v>0</v>
      </c>
      <c r="AQ601" t="s">
        <v>710</v>
      </c>
      <c r="AR601" s="61">
        <f>L595</f>
        <v>337.86</v>
      </c>
      <c r="AT601">
        <f>0</f>
        <v>0</v>
      </c>
      <c r="AV601" t="s">
        <v>710</v>
      </c>
      <c r="AW601">
        <f>0</f>
        <v>0</v>
      </c>
      <c r="AZ601">
        <f>Source!X150</f>
        <v>300.7</v>
      </c>
      <c r="BA601">
        <f>Source!Y150</f>
        <v>148.66</v>
      </c>
      <c r="CD601">
        <v>1</v>
      </c>
    </row>
    <row r="602" spans="1:101" ht="42.75" x14ac:dyDescent="0.2">
      <c r="A602" s="46" t="s">
        <v>306</v>
      </c>
      <c r="B602" s="48" t="s">
        <v>810</v>
      </c>
      <c r="C602" s="48" t="str">
        <f>Source!G151</f>
        <v>Изоляция трубопроводов цилиндрами и полуцилиндрами из минеральной ваты на синтетическом связующем</v>
      </c>
      <c r="D602" s="49" t="str">
        <f>Source!H151</f>
        <v>м3</v>
      </c>
      <c r="E602" s="50">
        <f>Source!K151</f>
        <v>0.11</v>
      </c>
      <c r="F602" s="50"/>
      <c r="G602" s="50">
        <f>Source!I151</f>
        <v>0.11</v>
      </c>
      <c r="H602" s="52"/>
      <c r="I602" s="51"/>
      <c r="J602" s="52"/>
      <c r="K602" s="51"/>
      <c r="L602" s="52"/>
    </row>
    <row r="603" spans="1:101" ht="51" x14ac:dyDescent="0.2">
      <c r="B603" s="64" t="s">
        <v>644</v>
      </c>
      <c r="C603" s="130" t="s">
        <v>717</v>
      </c>
      <c r="D603" s="130"/>
      <c r="E603" s="130"/>
      <c r="F603" s="130"/>
      <c r="G603" s="130"/>
      <c r="H603" s="130"/>
      <c r="I603" s="130"/>
      <c r="J603" s="130"/>
      <c r="K603" s="130"/>
      <c r="L603" s="130"/>
      <c r="CW603" s="65" t="s">
        <v>717</v>
      </c>
    </row>
    <row r="604" spans="1:101" ht="15" x14ac:dyDescent="0.2">
      <c r="A604" s="47"/>
      <c r="B604" s="50">
        <v>1</v>
      </c>
      <c r="C604" s="47" t="s">
        <v>698</v>
      </c>
      <c r="D604" s="49" t="s">
        <v>449</v>
      </c>
      <c r="E604" s="54"/>
      <c r="F604" s="50"/>
      <c r="G604" s="50">
        <f>Source!U151</f>
        <v>2.3339249999999998</v>
      </c>
      <c r="H604" s="50"/>
      <c r="I604" s="50"/>
      <c r="J604" s="50"/>
      <c r="K604" s="50"/>
      <c r="L604" s="55">
        <f>SUM(L605:L605)-SUMIF(CE605:CE605, 1, L605:L605)</f>
        <v>1609.75</v>
      </c>
    </row>
    <row r="605" spans="1:101" ht="14.25" x14ac:dyDescent="0.2">
      <c r="A605" s="48"/>
      <c r="B605" s="48" t="s">
        <v>587</v>
      </c>
      <c r="C605" s="48" t="s">
        <v>588</v>
      </c>
      <c r="D605" s="49" t="s">
        <v>449</v>
      </c>
      <c r="E605" s="50">
        <v>18.45</v>
      </c>
      <c r="F605" s="50">
        <f>ROUND(1.15,7)</f>
        <v>1.1499999999999999</v>
      </c>
      <c r="G605" s="50">
        <f>SmtRes!CX179</f>
        <v>2.3339249999999998</v>
      </c>
      <c r="H605" s="52"/>
      <c r="I605" s="51"/>
      <c r="J605" s="52">
        <f>SmtRes!CZ179</f>
        <v>689.72</v>
      </c>
      <c r="K605" s="51"/>
      <c r="L605" s="52">
        <f>SmtRes!DI179</f>
        <v>1609.75</v>
      </c>
    </row>
    <row r="606" spans="1:101" ht="15" x14ac:dyDescent="0.2">
      <c r="A606" s="47"/>
      <c r="B606" s="50">
        <v>2</v>
      </c>
      <c r="C606" s="47" t="s">
        <v>699</v>
      </c>
      <c r="D606" s="49"/>
      <c r="E606" s="54"/>
      <c r="F606" s="50"/>
      <c r="G606" s="50"/>
      <c r="H606" s="50"/>
      <c r="I606" s="50"/>
      <c r="J606" s="50"/>
      <c r="K606" s="50"/>
      <c r="L606" s="55">
        <f>SUM(L607:L610)-SUMIF(CE607:CE610, 1, L607:L610)</f>
        <v>37.760000000000005</v>
      </c>
    </row>
    <row r="607" spans="1:101" ht="15" x14ac:dyDescent="0.2">
      <c r="A607" s="47"/>
      <c r="B607" s="50"/>
      <c r="C607" s="47" t="s">
        <v>701</v>
      </c>
      <c r="D607" s="49" t="s">
        <v>449</v>
      </c>
      <c r="E607" s="54"/>
      <c r="F607" s="50"/>
      <c r="G607" s="50">
        <f>Source!V151</f>
        <v>5.0874999999999997E-2</v>
      </c>
      <c r="H607" s="50"/>
      <c r="I607" s="50"/>
      <c r="J607" s="50"/>
      <c r="K607" s="50"/>
      <c r="L607" s="55">
        <f>SUMIF(CE608:CE610, 1, L608:L610)</f>
        <v>36.729999999999997</v>
      </c>
      <c r="CE607">
        <v>1</v>
      </c>
    </row>
    <row r="608" spans="1:101" ht="28.5" x14ac:dyDescent="0.2">
      <c r="A608" s="48"/>
      <c r="B608" s="48" t="s">
        <v>452</v>
      </c>
      <c r="C608" s="48" t="s">
        <v>454</v>
      </c>
      <c r="D608" s="49" t="s">
        <v>455</v>
      </c>
      <c r="E608" s="50">
        <v>0.37</v>
      </c>
      <c r="F608" s="50">
        <f>ROUND(1.25,7)</f>
        <v>1.25</v>
      </c>
      <c r="G608" s="50">
        <f>SmtRes!CX181</f>
        <v>5.0874999999999997E-2</v>
      </c>
      <c r="H608" s="52"/>
      <c r="I608" s="51"/>
      <c r="J608" s="52">
        <f>SmtRes!CZ181</f>
        <v>643.29</v>
      </c>
      <c r="K608" s="51"/>
      <c r="L608" s="52">
        <f>SmtRes!DG181</f>
        <v>32.729999999999997</v>
      </c>
    </row>
    <row r="609" spans="1:83" ht="28.5" x14ac:dyDescent="0.2">
      <c r="A609" s="48"/>
      <c r="B609" s="48" t="s">
        <v>456</v>
      </c>
      <c r="C609" s="48" t="s">
        <v>700</v>
      </c>
      <c r="D609" s="49" t="s">
        <v>449</v>
      </c>
      <c r="E609" s="50">
        <f>SmtRes!DO181*SmtRes!AT181</f>
        <v>0.37</v>
      </c>
      <c r="F609" s="50">
        <f>ROUND(1.25,7)</f>
        <v>1.25</v>
      </c>
      <c r="G609" s="50">
        <f>ROUND(E609*F609*G602, 7)</f>
        <v>5.0874999999999997E-2</v>
      </c>
      <c r="H609" s="52"/>
      <c r="I609" s="51"/>
      <c r="J609" s="52">
        <f>ROUND(SmtRes!AG181/SmtRes!DO181, 2)</f>
        <v>722.05</v>
      </c>
      <c r="K609" s="51"/>
      <c r="L609" s="52">
        <f>SmtRes!DH181</f>
        <v>36.729999999999997</v>
      </c>
      <c r="CE609">
        <v>1</v>
      </c>
    </row>
    <row r="610" spans="1:83" ht="57" x14ac:dyDescent="0.2">
      <c r="A610" s="48"/>
      <c r="B610" s="48" t="s">
        <v>589</v>
      </c>
      <c r="C610" s="48" t="s">
        <v>591</v>
      </c>
      <c r="D610" s="49" t="s">
        <v>455</v>
      </c>
      <c r="E610" s="50">
        <v>1.18</v>
      </c>
      <c r="F610" s="50">
        <f>ROUND(1.25,7)</f>
        <v>1.25</v>
      </c>
      <c r="G610" s="50">
        <f>SmtRes!CX182</f>
        <v>0.16225000000000001</v>
      </c>
      <c r="H610" s="52">
        <f>SmtRes!CZ182</f>
        <v>21.39</v>
      </c>
      <c r="I610" s="51">
        <f>SmtRes!AJ182</f>
        <v>1.45</v>
      </c>
      <c r="J610" s="52">
        <f>ROUND(H610*I610, 2)</f>
        <v>31.02</v>
      </c>
      <c r="K610" s="51"/>
      <c r="L610" s="52">
        <f>SmtRes!DG182</f>
        <v>5.03</v>
      </c>
    </row>
    <row r="611" spans="1:83" ht="15" x14ac:dyDescent="0.2">
      <c r="A611" s="47"/>
      <c r="B611" s="50">
        <v>4</v>
      </c>
      <c r="C611" s="47" t="s">
        <v>702</v>
      </c>
      <c r="D611" s="49"/>
      <c r="E611" s="54"/>
      <c r="F611" s="50"/>
      <c r="G611" s="50"/>
      <c r="H611" s="50"/>
      <c r="I611" s="50"/>
      <c r="J611" s="50"/>
      <c r="K611" s="50"/>
      <c r="L611" s="55">
        <f>SUM(L612:L616)-SUMIF(CE612:CE616, 1, L612:L616)</f>
        <v>456.84999999999997</v>
      </c>
    </row>
    <row r="612" spans="1:83" ht="71.25" x14ac:dyDescent="0.2">
      <c r="A612" s="48"/>
      <c r="B612" s="48" t="s">
        <v>592</v>
      </c>
      <c r="C612" s="48" t="s">
        <v>594</v>
      </c>
      <c r="D612" s="49" t="s">
        <v>35</v>
      </c>
      <c r="E612" s="50">
        <v>4.0000000000000003E-5</v>
      </c>
      <c r="F612" s="50"/>
      <c r="G612" s="50">
        <f>SmtRes!CX183</f>
        <v>4.4000000000000002E-6</v>
      </c>
      <c r="H612" s="52">
        <f>SmtRes!CZ183</f>
        <v>263215.45</v>
      </c>
      <c r="I612" s="51">
        <f>SmtRes!AI183</f>
        <v>1.29</v>
      </c>
      <c r="J612" s="52">
        <f>ROUND(H612*I612, 2)</f>
        <v>339547.93</v>
      </c>
      <c r="K612" s="51"/>
      <c r="L612" s="52">
        <f>SmtRes!DF183</f>
        <v>1.49</v>
      </c>
    </row>
    <row r="613" spans="1:83" ht="42.75" x14ac:dyDescent="0.2">
      <c r="A613" s="48"/>
      <c r="B613" s="48" t="s">
        <v>595</v>
      </c>
      <c r="C613" s="48" t="s">
        <v>597</v>
      </c>
      <c r="D613" s="49" t="s">
        <v>35</v>
      </c>
      <c r="E613" s="50">
        <v>1.09E-2</v>
      </c>
      <c r="F613" s="50"/>
      <c r="G613" s="50">
        <f>SmtRes!CX184</f>
        <v>1.199E-3</v>
      </c>
      <c r="H613" s="52">
        <f>SmtRes!CZ184</f>
        <v>89073.2</v>
      </c>
      <c r="I613" s="51">
        <f>SmtRes!AI184</f>
        <v>0.75</v>
      </c>
      <c r="J613" s="52">
        <f>ROUND(H613*I613, 2)</f>
        <v>66804.899999999994</v>
      </c>
      <c r="K613" s="51"/>
      <c r="L613" s="52">
        <f>SmtRes!DF184</f>
        <v>80.099999999999994</v>
      </c>
    </row>
    <row r="614" spans="1:83" ht="42.75" x14ac:dyDescent="0.2">
      <c r="A614" s="48"/>
      <c r="B614" s="48" t="s">
        <v>598</v>
      </c>
      <c r="C614" s="48" t="s">
        <v>600</v>
      </c>
      <c r="D614" s="49" t="s">
        <v>35</v>
      </c>
      <c r="E614" s="50">
        <v>1.1000000000000001E-3</v>
      </c>
      <c r="F614" s="50"/>
      <c r="G614" s="50">
        <f>SmtRes!CX185</f>
        <v>1.21E-4</v>
      </c>
      <c r="H614" s="52">
        <f>SmtRes!CZ185</f>
        <v>129575.7</v>
      </c>
      <c r="I614" s="51">
        <f>SmtRes!AI185</f>
        <v>0.94</v>
      </c>
      <c r="J614" s="52">
        <f>ROUND(H614*I614, 2)</f>
        <v>121801.16</v>
      </c>
      <c r="K614" s="51"/>
      <c r="L614" s="52">
        <f>SmtRes!DF185</f>
        <v>14.74</v>
      </c>
    </row>
    <row r="615" spans="1:83" ht="42.75" x14ac:dyDescent="0.2">
      <c r="A615" s="48"/>
      <c r="B615" s="48" t="s">
        <v>601</v>
      </c>
      <c r="C615" s="48" t="s">
        <v>603</v>
      </c>
      <c r="D615" s="49" t="s">
        <v>35</v>
      </c>
      <c r="E615" s="50">
        <v>4.0000000000000001E-3</v>
      </c>
      <c r="F615" s="50"/>
      <c r="G615" s="50">
        <f>SmtRes!CX186</f>
        <v>4.4000000000000002E-4</v>
      </c>
      <c r="H615" s="52">
        <f>SmtRes!CZ186</f>
        <v>87245.7</v>
      </c>
      <c r="I615" s="51">
        <f>SmtRes!AI186</f>
        <v>0.94</v>
      </c>
      <c r="J615" s="52">
        <f>ROUND(H615*I615, 2)</f>
        <v>82010.960000000006</v>
      </c>
      <c r="K615" s="51"/>
      <c r="L615" s="52">
        <f>SmtRes!DF186</f>
        <v>36.08</v>
      </c>
    </row>
    <row r="616" spans="1:83" ht="28.5" x14ac:dyDescent="0.2">
      <c r="A616" s="48"/>
      <c r="B616" s="48" t="s">
        <v>604</v>
      </c>
      <c r="C616" s="48" t="s">
        <v>606</v>
      </c>
      <c r="D616" s="49" t="s">
        <v>35</v>
      </c>
      <c r="E616" s="50">
        <v>3.9E-2</v>
      </c>
      <c r="F616" s="50"/>
      <c r="G616" s="50">
        <f>SmtRes!CX187</f>
        <v>4.2900000000000004E-3</v>
      </c>
      <c r="H616" s="52"/>
      <c r="I616" s="51"/>
      <c r="J616" s="52">
        <f>SmtRes!CZ187</f>
        <v>75628.100000000006</v>
      </c>
      <c r="K616" s="51"/>
      <c r="L616" s="52">
        <f>SmtRes!DF187</f>
        <v>324.44</v>
      </c>
    </row>
    <row r="617" spans="1:83" ht="42.75" x14ac:dyDescent="0.2">
      <c r="A617" s="48"/>
      <c r="B617" s="48" t="str">
        <f>EtalonRes!I184</f>
        <v>12.2.08.03</v>
      </c>
      <c r="C617" s="56" t="str">
        <f>EtalonRes!K184</f>
        <v>Цилиндры и полуцилиндры теплоизоляционные из минваты на синтетическом связующем</v>
      </c>
      <c r="D617" s="57" t="str">
        <f>EtalonRes!O184</f>
        <v>м3</v>
      </c>
      <c r="E617" s="58">
        <f>EtalonRes!X184</f>
        <v>1.032</v>
      </c>
      <c r="F617" s="58"/>
      <c r="G617" s="58">
        <f>ROUND(EtalonRes!AG184*Source!I151, 7)</f>
        <v>0.11352</v>
      </c>
      <c r="H617" s="59"/>
      <c r="I617" s="60"/>
      <c r="J617" s="59"/>
      <c r="K617" s="60"/>
      <c r="L617" s="59"/>
    </row>
    <row r="618" spans="1:83" ht="15" x14ac:dyDescent="0.2">
      <c r="A618" s="48"/>
      <c r="B618" s="48"/>
      <c r="C618" s="62" t="s">
        <v>703</v>
      </c>
      <c r="D618" s="49"/>
      <c r="E618" s="50"/>
      <c r="F618" s="50"/>
      <c r="G618" s="50"/>
      <c r="H618" s="52"/>
      <c r="I618" s="51"/>
      <c r="J618" s="52"/>
      <c r="K618" s="51"/>
      <c r="L618" s="52">
        <f>L604+L606+L607+L611</f>
        <v>2141.09</v>
      </c>
    </row>
    <row r="619" spans="1:83" ht="142.5" x14ac:dyDescent="0.2">
      <c r="A619" s="46" t="s">
        <v>811</v>
      </c>
      <c r="B619" s="48" t="str">
        <f>Source!F152</f>
        <v>12.2.08.01-0040</v>
      </c>
      <c r="C619" s="48" t="str">
        <f>Source!G152</f>
        <v>Цилиндры теплоизоляционные из минеральной ваты на основе базальтовых пород, кашированные армированной алюминиевой фольгой, группа горючести Г1, плотность до 100 кг/м3, теплопроводность при +10/+25 °C не более 0,036/0,039 Вт/(м*К), максимальная температура применения +250 °C, толщина стенки 30 мм, внутренний диаметр 108 мм</v>
      </c>
      <c r="D619" s="49" t="str">
        <f>Source!H152</f>
        <v>м</v>
      </c>
      <c r="E619" s="50">
        <f>SmtRes!AT188</f>
        <v>84.2727273</v>
      </c>
      <c r="F619" s="50"/>
      <c r="G619" s="50">
        <f>Source!I152</f>
        <v>9.27</v>
      </c>
      <c r="H619" s="52">
        <f>Source!AL152+Source!AO152+Source!AM152+Source!AN152</f>
        <v>428.99</v>
      </c>
      <c r="I619" s="51">
        <f>IF(Source!BC152&lt;&gt; 0, Source!BC152, 1)</f>
        <v>1.38</v>
      </c>
      <c r="J619" s="52">
        <f>ROUND(H619*I619, 2)</f>
        <v>592.01</v>
      </c>
      <c r="K619" s="51"/>
      <c r="L619" s="52">
        <f>Source!P152</f>
        <v>5487.93</v>
      </c>
      <c r="AD619">
        <f>ROUND((Source!AT152/100)*((ROUND(ROUND(Source!AO152,2)*Source!I152, 2)+ROUND(ROUND(Source!AN152,2)*Source!I152, 2))), 2)</f>
        <v>0</v>
      </c>
      <c r="AE619">
        <f>ROUND((Source!AU152/100)*((ROUND(ROUND(Source!AO152,2)*Source!I152, 2)+ROUND(ROUND(Source!AN152,2)*Source!I152, 2))), 2)</f>
        <v>0</v>
      </c>
      <c r="AN619">
        <f>L619</f>
        <v>5487.93</v>
      </c>
      <c r="AW619">
        <f>L619</f>
        <v>5487.93</v>
      </c>
      <c r="AZ619">
        <f>Source!X152</f>
        <v>0</v>
      </c>
      <c r="BA619">
        <f>Source!Y152</f>
        <v>0</v>
      </c>
      <c r="CD619">
        <v>1</v>
      </c>
    </row>
    <row r="620" spans="1:83" ht="14.25" x14ac:dyDescent="0.2">
      <c r="A620" s="48"/>
      <c r="B620" s="48"/>
      <c r="C620" s="48" t="s">
        <v>706</v>
      </c>
      <c r="D620" s="49"/>
      <c r="E620" s="50"/>
      <c r="F620" s="50"/>
      <c r="G620" s="50"/>
      <c r="H620" s="52"/>
      <c r="I620" s="51"/>
      <c r="J620" s="52"/>
      <c r="K620" s="51"/>
      <c r="L620" s="52">
        <f>SUM(AR602:AR623)+SUM(AS602:AS623)+SUM(AT602:AT623)+SUM(AU602:AU623)+SUM(AV602:AV623)</f>
        <v>1646.48</v>
      </c>
    </row>
    <row r="621" spans="1:83" ht="28.5" x14ac:dyDescent="0.2">
      <c r="A621" s="48"/>
      <c r="B621" s="48" t="s">
        <v>812</v>
      </c>
      <c r="C621" s="48" t="s">
        <v>813</v>
      </c>
      <c r="D621" s="49" t="s">
        <v>83</v>
      </c>
      <c r="E621" s="50">
        <f>Source!BZ151</f>
        <v>97</v>
      </c>
      <c r="F621" s="50">
        <f>ROUND(0.9,7)</f>
        <v>0.9</v>
      </c>
      <c r="G621" s="50">
        <f>Source!AT151</f>
        <v>87.3</v>
      </c>
      <c r="H621" s="52"/>
      <c r="I621" s="51"/>
      <c r="J621" s="52"/>
      <c r="K621" s="51"/>
      <c r="L621" s="52">
        <f>SUM(AZ602:AZ623)</f>
        <v>1437.38</v>
      </c>
    </row>
    <row r="622" spans="1:83" ht="28.5" x14ac:dyDescent="0.2">
      <c r="A622" s="56"/>
      <c r="B622" s="56" t="s">
        <v>814</v>
      </c>
      <c r="C622" s="56" t="s">
        <v>815</v>
      </c>
      <c r="D622" s="57" t="s">
        <v>83</v>
      </c>
      <c r="E622" s="58">
        <f>Source!CA151</f>
        <v>55</v>
      </c>
      <c r="F622" s="58">
        <f>ROUND(0.85,7)</f>
        <v>0.85</v>
      </c>
      <c r="G622" s="58">
        <f>Source!AU151</f>
        <v>46.75</v>
      </c>
      <c r="H622" s="59"/>
      <c r="I622" s="60"/>
      <c r="J622" s="59"/>
      <c r="K622" s="60"/>
      <c r="L622" s="59">
        <f>SUM(BA602:BA623)</f>
        <v>769.73</v>
      </c>
    </row>
    <row r="623" spans="1:83" ht="15" x14ac:dyDescent="0.2">
      <c r="C623" s="131" t="s">
        <v>709</v>
      </c>
      <c r="D623" s="131"/>
      <c r="E623" s="131"/>
      <c r="F623" s="131"/>
      <c r="G623" s="131"/>
      <c r="H623" s="131"/>
      <c r="I623" s="132">
        <f>IF(E602&lt;&gt;0,K623/E602, 0)</f>
        <v>89419.363636363647</v>
      </c>
      <c r="J623" s="132"/>
      <c r="K623" s="132">
        <f>L604+L606+L611+L621+L622+L607+SUM(L619:L619)</f>
        <v>9836.130000000001</v>
      </c>
      <c r="L623" s="132"/>
      <c r="AD623">
        <f>ROUND((Source!AT151/100)*((ROUND(SUMIF(SmtRes!AQ179:'SmtRes'!AQ188,"=1",SmtRes!AD179:'SmtRes'!AD188)*Source!I151, 2)+ROUND(SUMIF(SmtRes!AQ179:'SmtRes'!AQ188,"=1",SmtRes!AC179:'SmtRes'!AC188)*Source!I151, 2))), 2)</f>
        <v>135.58000000000001</v>
      </c>
      <c r="AE623">
        <f>ROUND((Source!AU151/100)*((ROUND(SUMIF(SmtRes!AQ179:'SmtRes'!AQ188,"=1",SmtRes!AD179:'SmtRes'!AD188)*Source!I151, 2)+ROUND(SUMIF(SmtRes!AQ179:'SmtRes'!AQ188,"=1",SmtRes!AC179:'SmtRes'!AC188)*Source!I151, 2))), 2)</f>
        <v>72.599999999999994</v>
      </c>
      <c r="AN623" s="61">
        <f>L604+L606+L611+L621+L622+L607</f>
        <v>4348.2</v>
      </c>
      <c r="AO623" s="61">
        <f>L606</f>
        <v>37.760000000000005</v>
      </c>
      <c r="AQ623" t="s">
        <v>710</v>
      </c>
      <c r="AR623" s="61">
        <f>L604</f>
        <v>1609.75</v>
      </c>
      <c r="AT623" s="61">
        <f>L607</f>
        <v>36.729999999999997</v>
      </c>
      <c r="AV623" t="s">
        <v>710</v>
      </c>
      <c r="AW623" s="61">
        <f>L611</f>
        <v>456.84999999999997</v>
      </c>
      <c r="AZ623">
        <f>Source!X151</f>
        <v>1437.38</v>
      </c>
      <c r="BA623">
        <f>Source!Y151</f>
        <v>769.73</v>
      </c>
      <c r="CD623">
        <v>1</v>
      </c>
    </row>
    <row r="624" spans="1:83" ht="28.5" x14ac:dyDescent="0.2">
      <c r="A624" s="46" t="s">
        <v>318</v>
      </c>
      <c r="B624" s="48" t="s">
        <v>816</v>
      </c>
      <c r="C624" s="48" t="str">
        <f>Source!G153</f>
        <v>Слив и наполнение водой системы отопления: с осмотром системы</v>
      </c>
      <c r="D624" s="49" t="str">
        <f>Source!H153</f>
        <v>1000 м3</v>
      </c>
      <c r="E624" s="50">
        <f>Source!K153</f>
        <v>6.4</v>
      </c>
      <c r="F624" s="50"/>
      <c r="G624" s="50">
        <f>Source!I153</f>
        <v>6.4</v>
      </c>
      <c r="H624" s="52"/>
      <c r="I624" s="51"/>
      <c r="J624" s="52"/>
      <c r="K624" s="51"/>
      <c r="L624" s="52"/>
    </row>
    <row r="625" spans="1:101" x14ac:dyDescent="0.2">
      <c r="C625" s="53" t="str">
        <f>"Объем: "&amp;Source!I153&amp;"=6400/"&amp;"1000"</f>
        <v>Объем: 6,4=6400/1000</v>
      </c>
    </row>
    <row r="626" spans="1:101" ht="15" x14ac:dyDescent="0.2">
      <c r="A626" s="47"/>
      <c r="B626" s="50">
        <v>1</v>
      </c>
      <c r="C626" s="47" t="s">
        <v>698</v>
      </c>
      <c r="D626" s="49" t="s">
        <v>449</v>
      </c>
      <c r="E626" s="54"/>
      <c r="F626" s="50"/>
      <c r="G626" s="50">
        <f>Source!U153</f>
        <v>8.1280000000000001</v>
      </c>
      <c r="H626" s="50"/>
      <c r="I626" s="50"/>
      <c r="J626" s="50"/>
      <c r="K626" s="50"/>
      <c r="L626" s="55">
        <f>SUM(L627:L627)-SUMIF(CE627:CE627, 1, L627:L627)</f>
        <v>5211.84</v>
      </c>
    </row>
    <row r="627" spans="1:101" ht="14.25" x14ac:dyDescent="0.2">
      <c r="A627" s="48"/>
      <c r="B627" s="48" t="s">
        <v>464</v>
      </c>
      <c r="C627" s="56" t="s">
        <v>465</v>
      </c>
      <c r="D627" s="57" t="s">
        <v>449</v>
      </c>
      <c r="E627" s="58">
        <v>1.27</v>
      </c>
      <c r="F627" s="58"/>
      <c r="G627" s="58">
        <f>SmtRes!CX189</f>
        <v>8.1280000000000001</v>
      </c>
      <c r="H627" s="59"/>
      <c r="I627" s="60"/>
      <c r="J627" s="59">
        <f>SmtRes!CZ189</f>
        <v>641.22</v>
      </c>
      <c r="K627" s="60"/>
      <c r="L627" s="59">
        <f>SmtRes!DI189</f>
        <v>5211.84</v>
      </c>
    </row>
    <row r="628" spans="1:101" ht="15" x14ac:dyDescent="0.2">
      <c r="A628" s="48"/>
      <c r="B628" s="48"/>
      <c r="C628" s="62" t="s">
        <v>703</v>
      </c>
      <c r="D628" s="49"/>
      <c r="E628" s="50"/>
      <c r="F628" s="50"/>
      <c r="G628" s="50"/>
      <c r="H628" s="52"/>
      <c r="I628" s="51"/>
      <c r="J628" s="52"/>
      <c r="K628" s="51"/>
      <c r="L628" s="52">
        <f>L626</f>
        <v>5211.84</v>
      </c>
    </row>
    <row r="629" spans="1:101" ht="14.25" x14ac:dyDescent="0.2">
      <c r="A629" s="48"/>
      <c r="B629" s="48"/>
      <c r="C629" s="48" t="s">
        <v>706</v>
      </c>
      <c r="D629" s="49"/>
      <c r="E629" s="50"/>
      <c r="F629" s="50"/>
      <c r="G629" s="50"/>
      <c r="H629" s="52"/>
      <c r="I629" s="51"/>
      <c r="J629" s="52"/>
      <c r="K629" s="51"/>
      <c r="L629" s="52">
        <f>SUM(AR624:AR632)+SUM(AS624:AS632)+SUM(AT624:AT632)+SUM(AU624:AU632)+SUM(AV624:AV632)</f>
        <v>5211.84</v>
      </c>
    </row>
    <row r="630" spans="1:101" ht="42.75" x14ac:dyDescent="0.2">
      <c r="A630" s="48"/>
      <c r="B630" s="48" t="s">
        <v>25</v>
      </c>
      <c r="C630" s="48" t="s">
        <v>707</v>
      </c>
      <c r="D630" s="49" t="s">
        <v>83</v>
      </c>
      <c r="E630" s="50">
        <f>Source!BZ153</f>
        <v>103</v>
      </c>
      <c r="F630" s="50"/>
      <c r="G630" s="50">
        <f>Source!AT153</f>
        <v>103</v>
      </c>
      <c r="H630" s="52"/>
      <c r="I630" s="51"/>
      <c r="J630" s="52"/>
      <c r="K630" s="51"/>
      <c r="L630" s="52">
        <f>SUM(AZ624:AZ632)</f>
        <v>5368.2</v>
      </c>
    </row>
    <row r="631" spans="1:101" ht="42.75" x14ac:dyDescent="0.2">
      <c r="A631" s="56"/>
      <c r="B631" s="56" t="s">
        <v>26</v>
      </c>
      <c r="C631" s="56" t="s">
        <v>708</v>
      </c>
      <c r="D631" s="57" t="s">
        <v>83</v>
      </c>
      <c r="E631" s="58">
        <f>Source!CA153</f>
        <v>52</v>
      </c>
      <c r="F631" s="58"/>
      <c r="G631" s="58">
        <f>Source!AU153</f>
        <v>52</v>
      </c>
      <c r="H631" s="59"/>
      <c r="I631" s="60"/>
      <c r="J631" s="59"/>
      <c r="K631" s="60"/>
      <c r="L631" s="59">
        <f>SUM(BA624:BA632)</f>
        <v>2710.16</v>
      </c>
    </row>
    <row r="632" spans="1:101" ht="15" x14ac:dyDescent="0.2">
      <c r="C632" s="131" t="s">
        <v>709</v>
      </c>
      <c r="D632" s="131"/>
      <c r="E632" s="131"/>
      <c r="F632" s="131"/>
      <c r="G632" s="131"/>
      <c r="H632" s="131"/>
      <c r="I632" s="132">
        <f>IF(E624&lt;&gt;0,K632/E624, 0)</f>
        <v>2076.59375</v>
      </c>
      <c r="J632" s="132"/>
      <c r="K632" s="132">
        <f>L626+L630+L631</f>
        <v>13290.2</v>
      </c>
      <c r="L632" s="132"/>
      <c r="AD632">
        <f>ROUND((Source!AT153/100)*((ROUND(SUMIF(SmtRes!AQ189:'SmtRes'!AQ189,"=1",SmtRes!AD189:'SmtRes'!AD189)*Source!I153, 2)+ROUND(SUMIF(SmtRes!AQ189:'SmtRes'!AQ189,"=1",SmtRes!AC189:'SmtRes'!AC189)*Source!I153, 2))), 2)</f>
        <v>4226.92</v>
      </c>
      <c r="AE632">
        <f>ROUND((Source!AU153/100)*((ROUND(SUMIF(SmtRes!AQ189:'SmtRes'!AQ189,"=1",SmtRes!AD189:'SmtRes'!AD189)*Source!I153, 2)+ROUND(SUMIF(SmtRes!AQ189:'SmtRes'!AQ189,"=1",SmtRes!AC189:'SmtRes'!AC189)*Source!I153, 2))), 2)</f>
        <v>2133.98</v>
      </c>
      <c r="AN632" s="61">
        <f>L626+L630+L631</f>
        <v>13290.2</v>
      </c>
      <c r="AO632">
        <f>0</f>
        <v>0</v>
      </c>
      <c r="AQ632" t="s">
        <v>710</v>
      </c>
      <c r="AR632" s="61">
        <f>L626</f>
        <v>5211.84</v>
      </c>
      <c r="AT632">
        <f>0</f>
        <v>0</v>
      </c>
      <c r="AV632" t="s">
        <v>710</v>
      </c>
      <c r="AW632">
        <f>0</f>
        <v>0</v>
      </c>
      <c r="AZ632">
        <f>Source!X153</f>
        <v>5368.2</v>
      </c>
      <c r="BA632">
        <f>Source!Y153</f>
        <v>2710.16</v>
      </c>
      <c r="CD632">
        <v>1</v>
      </c>
    </row>
    <row r="633" spans="1:101" ht="57" x14ac:dyDescent="0.2">
      <c r="A633" s="46" t="s">
        <v>323</v>
      </c>
      <c r="B633" s="48" t="s">
        <v>817</v>
      </c>
      <c r="C633" s="48" t="str">
        <f>Source!G154</f>
        <v>Компенсатор стальной сальниковый двухсторонний на номинальное давление 1,6 МПа, номинальный диаметр: 100 мм/ ДЕМОНТАЖ</v>
      </c>
      <c r="D633" s="49" t="str">
        <f>Source!H154</f>
        <v>10 ШТ</v>
      </c>
      <c r="E633" s="50">
        <f>Source!K154</f>
        <v>0.2</v>
      </c>
      <c r="F633" s="50"/>
      <c r="G633" s="50">
        <f>Source!I154</f>
        <v>0.2</v>
      </c>
      <c r="H633" s="52"/>
      <c r="I633" s="51"/>
      <c r="J633" s="52"/>
      <c r="K633" s="51"/>
      <c r="L633" s="52"/>
    </row>
    <row r="634" spans="1:101" ht="25.5" x14ac:dyDescent="0.2">
      <c r="B634" s="64" t="s">
        <v>646</v>
      </c>
      <c r="C634" s="130" t="s">
        <v>726</v>
      </c>
      <c r="D634" s="130"/>
      <c r="E634" s="130"/>
      <c r="F634" s="130"/>
      <c r="G634" s="130"/>
      <c r="H634" s="130"/>
      <c r="I634" s="130"/>
      <c r="J634" s="130"/>
      <c r="K634" s="130"/>
      <c r="L634" s="130"/>
      <c r="CW634" s="65" t="s">
        <v>726</v>
      </c>
    </row>
    <row r="635" spans="1:101" x14ac:dyDescent="0.2">
      <c r="C635" s="53" t="str">
        <f>"Объем: "&amp;Source!I154&amp;"=2/"&amp;"10"</f>
        <v>Объем: 0,2=2/10</v>
      </c>
    </row>
    <row r="636" spans="1:101" ht="15" x14ac:dyDescent="0.2">
      <c r="A636" s="47"/>
      <c r="B636" s="50">
        <v>1</v>
      </c>
      <c r="C636" s="47" t="s">
        <v>698</v>
      </c>
      <c r="D636" s="49" t="s">
        <v>449</v>
      </c>
      <c r="E636" s="54"/>
      <c r="F636" s="50"/>
      <c r="G636" s="50">
        <f>Source!U154</f>
        <v>3.72</v>
      </c>
      <c r="H636" s="50"/>
      <c r="I636" s="50"/>
      <c r="J636" s="50"/>
      <c r="K636" s="50"/>
      <c r="L636" s="55">
        <f>SUM(L637:L637)-SUMIF(CE637:CE637, 1, L637:L637)</f>
        <v>2686.03</v>
      </c>
    </row>
    <row r="637" spans="1:101" ht="14.25" x14ac:dyDescent="0.2">
      <c r="A637" s="48"/>
      <c r="B637" s="48" t="s">
        <v>486</v>
      </c>
      <c r="C637" s="48" t="s">
        <v>487</v>
      </c>
      <c r="D637" s="49" t="s">
        <v>449</v>
      </c>
      <c r="E637" s="50">
        <v>62</v>
      </c>
      <c r="F637" s="50">
        <f>ROUND(0.3,7)</f>
        <v>0.3</v>
      </c>
      <c r="G637" s="50">
        <f>SmtRes!CX190</f>
        <v>3.72</v>
      </c>
      <c r="H637" s="52"/>
      <c r="I637" s="51"/>
      <c r="J637" s="52">
        <f>SmtRes!CZ190</f>
        <v>722.05</v>
      </c>
      <c r="K637" s="51"/>
      <c r="L637" s="52">
        <f>SmtRes!DI190</f>
        <v>2686.03</v>
      </c>
    </row>
    <row r="638" spans="1:101" ht="15" x14ac:dyDescent="0.2">
      <c r="A638" s="47"/>
      <c r="B638" s="50">
        <v>2</v>
      </c>
      <c r="C638" s="47" t="s">
        <v>699</v>
      </c>
      <c r="D638" s="49"/>
      <c r="E638" s="54"/>
      <c r="F638" s="50"/>
      <c r="G638" s="50"/>
      <c r="H638" s="50"/>
      <c r="I638" s="50"/>
      <c r="J638" s="50"/>
      <c r="K638" s="50"/>
      <c r="L638" s="55">
        <f>SUM(L639:L646)-SUMIF(CE639:CE646, 1, L639:L646)</f>
        <v>109.52000000000001</v>
      </c>
    </row>
    <row r="639" spans="1:101" ht="15" x14ac:dyDescent="0.2">
      <c r="A639" s="47"/>
      <c r="B639" s="50"/>
      <c r="C639" s="47" t="s">
        <v>701</v>
      </c>
      <c r="D639" s="49" t="s">
        <v>449</v>
      </c>
      <c r="E639" s="54"/>
      <c r="F639" s="50"/>
      <c r="G639" s="50">
        <f>Source!V154</f>
        <v>7.8E-2</v>
      </c>
      <c r="H639" s="50"/>
      <c r="I639" s="50"/>
      <c r="J639" s="50"/>
      <c r="K639" s="50"/>
      <c r="L639" s="55">
        <f>SUMIF(CE640:CE646, 1, L640:L646)</f>
        <v>65.989999999999995</v>
      </c>
      <c r="CE639">
        <v>1</v>
      </c>
    </row>
    <row r="640" spans="1:101" ht="28.5" x14ac:dyDescent="0.2">
      <c r="A640" s="48"/>
      <c r="B640" s="48" t="s">
        <v>474</v>
      </c>
      <c r="C640" s="48" t="s">
        <v>476</v>
      </c>
      <c r="D640" s="49" t="s">
        <v>455</v>
      </c>
      <c r="E640" s="50">
        <v>0.65</v>
      </c>
      <c r="F640" s="50">
        <f t="shared" ref="F640:F646" si="3">ROUND(0.3,7)</f>
        <v>0.3</v>
      </c>
      <c r="G640" s="50">
        <f>SmtRes!CX192</f>
        <v>3.9E-2</v>
      </c>
      <c r="H640" s="52"/>
      <c r="I640" s="51"/>
      <c r="J640" s="52">
        <f>SmtRes!CZ192</f>
        <v>1629.55</v>
      </c>
      <c r="K640" s="51"/>
      <c r="L640" s="52">
        <f>SmtRes!DG192</f>
        <v>63.55</v>
      </c>
    </row>
    <row r="641" spans="1:83" ht="28.5" x14ac:dyDescent="0.2">
      <c r="A641" s="48"/>
      <c r="B641" s="48" t="s">
        <v>473</v>
      </c>
      <c r="C641" s="48" t="s">
        <v>718</v>
      </c>
      <c r="D641" s="49" t="s">
        <v>449</v>
      </c>
      <c r="E641" s="50">
        <f>SmtRes!DO192*SmtRes!AT192</f>
        <v>0.65</v>
      </c>
      <c r="F641" s="50">
        <f t="shared" si="3"/>
        <v>0.3</v>
      </c>
      <c r="G641" s="50">
        <f>ROUND(E641*F641*G633, 7)</f>
        <v>3.9E-2</v>
      </c>
      <c r="H641" s="52"/>
      <c r="I641" s="51"/>
      <c r="J641" s="52">
        <f>ROUND(SmtRes!AG192/SmtRes!DO192, 2)</f>
        <v>969.91</v>
      </c>
      <c r="K641" s="51"/>
      <c r="L641" s="52">
        <f>SmtRes!DH192</f>
        <v>37.83</v>
      </c>
      <c r="CE641">
        <v>1</v>
      </c>
    </row>
    <row r="642" spans="1:83" ht="28.5" x14ac:dyDescent="0.2">
      <c r="A642" s="48"/>
      <c r="B642" s="48" t="s">
        <v>607</v>
      </c>
      <c r="C642" s="48" t="s">
        <v>609</v>
      </c>
      <c r="D642" s="49" t="s">
        <v>455</v>
      </c>
      <c r="E642" s="50">
        <v>0.95</v>
      </c>
      <c r="F642" s="50">
        <f t="shared" si="3"/>
        <v>0.3</v>
      </c>
      <c r="G642" s="50">
        <f>SmtRes!CX193</f>
        <v>5.7000000000000002E-2</v>
      </c>
      <c r="H642" s="52">
        <f>SmtRes!CZ193</f>
        <v>11.45</v>
      </c>
      <c r="I642" s="51">
        <f>SmtRes!AJ193</f>
        <v>1.48</v>
      </c>
      <c r="J642" s="52">
        <f>ROUND(H642*I642, 2)</f>
        <v>16.95</v>
      </c>
      <c r="K642" s="51"/>
      <c r="L642" s="52">
        <f>SmtRes!DG193</f>
        <v>0.97</v>
      </c>
    </row>
    <row r="643" spans="1:83" ht="28.5" x14ac:dyDescent="0.2">
      <c r="A643" s="48"/>
      <c r="B643" s="48" t="s">
        <v>610</v>
      </c>
      <c r="C643" s="48" t="s">
        <v>612</v>
      </c>
      <c r="D643" s="49" t="s">
        <v>455</v>
      </c>
      <c r="E643" s="50">
        <v>11.1</v>
      </c>
      <c r="F643" s="50">
        <f t="shared" si="3"/>
        <v>0.3</v>
      </c>
      <c r="G643" s="50">
        <f>SmtRes!CX194</f>
        <v>0.66600000000000004</v>
      </c>
      <c r="H643" s="52">
        <f>SmtRes!CZ194</f>
        <v>5.47</v>
      </c>
      <c r="I643" s="51">
        <f>SmtRes!AJ194</f>
        <v>1.48</v>
      </c>
      <c r="J643" s="52">
        <f>ROUND(H643*I643, 2)</f>
        <v>8.1</v>
      </c>
      <c r="K643" s="51"/>
      <c r="L643" s="52">
        <f>SmtRes!DG194</f>
        <v>5.39</v>
      </c>
    </row>
    <row r="644" spans="1:83" ht="28.5" x14ac:dyDescent="0.2">
      <c r="A644" s="48"/>
      <c r="B644" s="48" t="s">
        <v>452</v>
      </c>
      <c r="C644" s="48" t="s">
        <v>454</v>
      </c>
      <c r="D644" s="49" t="s">
        <v>455</v>
      </c>
      <c r="E644" s="50">
        <v>0.65</v>
      </c>
      <c r="F644" s="50">
        <f t="shared" si="3"/>
        <v>0.3</v>
      </c>
      <c r="G644" s="50">
        <f>SmtRes!CX195</f>
        <v>3.9E-2</v>
      </c>
      <c r="H644" s="52"/>
      <c r="I644" s="51"/>
      <c r="J644" s="52">
        <f>SmtRes!CZ195</f>
        <v>643.29</v>
      </c>
      <c r="K644" s="51"/>
      <c r="L644" s="52">
        <f>SmtRes!DG195</f>
        <v>25.09</v>
      </c>
    </row>
    <row r="645" spans="1:83" ht="28.5" x14ac:dyDescent="0.2">
      <c r="A645" s="48"/>
      <c r="B645" s="48" t="s">
        <v>456</v>
      </c>
      <c r="C645" s="48" t="s">
        <v>700</v>
      </c>
      <c r="D645" s="49" t="s">
        <v>449</v>
      </c>
      <c r="E645" s="50">
        <f>SmtRes!DO195*SmtRes!AT195</f>
        <v>0.65</v>
      </c>
      <c r="F645" s="50">
        <f t="shared" si="3"/>
        <v>0.3</v>
      </c>
      <c r="G645" s="50">
        <f>ROUND(E645*F645*G633, 7)</f>
        <v>3.9E-2</v>
      </c>
      <c r="H645" s="52"/>
      <c r="I645" s="51"/>
      <c r="J645" s="52">
        <f>ROUND(SmtRes!AG195/SmtRes!DO195, 2)</f>
        <v>722.05</v>
      </c>
      <c r="K645" s="51"/>
      <c r="L645" s="52">
        <f>SmtRes!DH195</f>
        <v>28.16</v>
      </c>
      <c r="CE645">
        <v>1</v>
      </c>
    </row>
    <row r="646" spans="1:83" ht="42.75" x14ac:dyDescent="0.2">
      <c r="A646" s="48"/>
      <c r="B646" s="48" t="s">
        <v>477</v>
      </c>
      <c r="C646" s="48" t="s">
        <v>479</v>
      </c>
      <c r="D646" s="49" t="s">
        <v>455</v>
      </c>
      <c r="E646" s="50">
        <v>7.5</v>
      </c>
      <c r="F646" s="50">
        <f t="shared" si="3"/>
        <v>0.3</v>
      </c>
      <c r="G646" s="50">
        <f>SmtRes!CX196</f>
        <v>0.45</v>
      </c>
      <c r="H646" s="52"/>
      <c r="I646" s="51"/>
      <c r="J646" s="52">
        <f>SmtRes!CZ196</f>
        <v>32.26</v>
      </c>
      <c r="K646" s="51"/>
      <c r="L646" s="52">
        <f>SmtRes!DG196</f>
        <v>14.52</v>
      </c>
    </row>
    <row r="647" spans="1:83" ht="15" hidden="1" x14ac:dyDescent="0.2">
      <c r="A647" s="47"/>
      <c r="B647" s="50">
        <v>4</v>
      </c>
      <c r="C647" s="47" t="s">
        <v>702</v>
      </c>
      <c r="D647" s="49"/>
      <c r="E647" s="54"/>
      <c r="F647" s="50"/>
      <c r="G647" s="50"/>
      <c r="H647" s="50"/>
      <c r="I647" s="50"/>
      <c r="J647" s="50"/>
      <c r="K647" s="50"/>
      <c r="L647" s="55">
        <f>SUM(L648:L651)-SUMIF(CE648:CE651, 1, L648:L651)</f>
        <v>0</v>
      </c>
    </row>
    <row r="648" spans="1:83" ht="14.25" x14ac:dyDescent="0.2">
      <c r="A648" s="48"/>
      <c r="B648" s="48" t="s">
        <v>488</v>
      </c>
      <c r="C648" s="48" t="s">
        <v>490</v>
      </c>
      <c r="D648" s="49" t="s">
        <v>309</v>
      </c>
      <c r="E648" s="50">
        <v>0.154</v>
      </c>
      <c r="F648" s="50">
        <f>ROUND(0,7)</f>
        <v>0</v>
      </c>
      <c r="G648" s="50">
        <f>SmtRes!CX197</f>
        <v>0</v>
      </c>
      <c r="H648" s="52">
        <f>SmtRes!CZ197</f>
        <v>340.41</v>
      </c>
      <c r="I648" s="51">
        <f>SmtRes!AI197</f>
        <v>1.5</v>
      </c>
      <c r="J648" s="52">
        <f>ROUND(H648*I648, 2)</f>
        <v>510.62</v>
      </c>
      <c r="K648" s="51"/>
      <c r="L648" s="52">
        <f>SmtRes!DF197</f>
        <v>0</v>
      </c>
    </row>
    <row r="649" spans="1:83" ht="14.25" x14ac:dyDescent="0.2">
      <c r="A649" s="48"/>
      <c r="B649" s="48" t="s">
        <v>491</v>
      </c>
      <c r="C649" s="48" t="s">
        <v>493</v>
      </c>
      <c r="D649" s="49" t="s">
        <v>309</v>
      </c>
      <c r="E649" s="50">
        <v>0.7</v>
      </c>
      <c r="F649" s="50">
        <f>ROUND(0,7)</f>
        <v>0</v>
      </c>
      <c r="G649" s="50">
        <f>SmtRes!CX198</f>
        <v>0</v>
      </c>
      <c r="H649" s="52">
        <f>SmtRes!CZ198</f>
        <v>114.64</v>
      </c>
      <c r="I649" s="51">
        <f>SmtRes!AI198</f>
        <v>0.85</v>
      </c>
      <c r="J649" s="52">
        <f>ROUND(H649*I649, 2)</f>
        <v>97.44</v>
      </c>
      <c r="K649" s="51"/>
      <c r="L649" s="52">
        <f>SmtRes!DF198</f>
        <v>0</v>
      </c>
    </row>
    <row r="650" spans="1:83" ht="14.25" x14ac:dyDescent="0.2">
      <c r="A650" s="48"/>
      <c r="B650" s="48" t="s">
        <v>613</v>
      </c>
      <c r="C650" s="48" t="s">
        <v>615</v>
      </c>
      <c r="D650" s="49" t="s">
        <v>616</v>
      </c>
      <c r="E650" s="50">
        <v>1.71</v>
      </c>
      <c r="F650" s="50">
        <f>ROUND(0,7)</f>
        <v>0</v>
      </c>
      <c r="G650" s="50">
        <f>SmtRes!CX199</f>
        <v>0</v>
      </c>
      <c r="H650" s="52"/>
      <c r="I650" s="51"/>
      <c r="J650" s="52">
        <f>SmtRes!CZ199</f>
        <v>6.78</v>
      </c>
      <c r="K650" s="51"/>
      <c r="L650" s="52">
        <f>SmtRes!DF199</f>
        <v>0</v>
      </c>
    </row>
    <row r="651" spans="1:83" ht="42.75" x14ac:dyDescent="0.2">
      <c r="A651" s="48"/>
      <c r="B651" s="48" t="s">
        <v>617</v>
      </c>
      <c r="C651" s="56" t="s">
        <v>619</v>
      </c>
      <c r="D651" s="57" t="s">
        <v>35</v>
      </c>
      <c r="E651" s="58">
        <v>2.7399999999999998E-3</v>
      </c>
      <c r="F651" s="58">
        <f>ROUND(0,7)</f>
        <v>0</v>
      </c>
      <c r="G651" s="58">
        <f>SmtRes!CX200</f>
        <v>0</v>
      </c>
      <c r="H651" s="59">
        <f>SmtRes!CZ200</f>
        <v>158259.47</v>
      </c>
      <c r="I651" s="60">
        <f>SmtRes!AI200</f>
        <v>0.78</v>
      </c>
      <c r="J651" s="59">
        <f>ROUND(H651*I651, 2)</f>
        <v>123442.39</v>
      </c>
      <c r="K651" s="60"/>
      <c r="L651" s="59">
        <f>SmtRes!DF200</f>
        <v>0</v>
      </c>
    </row>
    <row r="652" spans="1:83" ht="15" x14ac:dyDescent="0.2">
      <c r="A652" s="48"/>
      <c r="B652" s="48"/>
      <c r="C652" s="62" t="s">
        <v>703</v>
      </c>
      <c r="D652" s="49"/>
      <c r="E652" s="50"/>
      <c r="F652" s="50"/>
      <c r="G652" s="50"/>
      <c r="H652" s="52"/>
      <c r="I652" s="51"/>
      <c r="J652" s="52"/>
      <c r="K652" s="51"/>
      <c r="L652" s="52">
        <f>L636+L638+L639+L647</f>
        <v>2861.54</v>
      </c>
    </row>
    <row r="653" spans="1:83" ht="57" x14ac:dyDescent="0.2">
      <c r="A653" s="46" t="s">
        <v>818</v>
      </c>
      <c r="B653" s="48" t="str">
        <f>Source!F155</f>
        <v>421/пр_2020_п.75_пп.а</v>
      </c>
      <c r="C653" s="48" t="str">
        <f>Source!G155</f>
        <v>Сметная стоимость вспомогательных ненормируемых материальных ресурсов, не учтенная в сметной норме, 2%</v>
      </c>
      <c r="D653" s="49" t="str">
        <f>Source!H155</f>
        <v>%</v>
      </c>
      <c r="E653" s="50">
        <f>SmtRes!AT201</f>
        <v>2</v>
      </c>
      <c r="F653" s="50"/>
      <c r="G653" s="50">
        <f>Source!I155</f>
        <v>2</v>
      </c>
      <c r="H653" s="52"/>
      <c r="I653" s="51"/>
      <c r="J653" s="52"/>
      <c r="K653" s="51"/>
      <c r="L653" s="52">
        <f>Source!P155</f>
        <v>179.07</v>
      </c>
      <c r="AD653">
        <f>ROUND((Source!AT155/100)*((ROUND(0*Source!I155, 2)+ROUND(0*Source!I155, 2))), 2)</f>
        <v>0</v>
      </c>
      <c r="AE653">
        <f>ROUND((Source!AU155/100)*((ROUND(0*Source!I155, 2)+ROUND(0*Source!I155, 2))), 2)</f>
        <v>0</v>
      </c>
      <c r="AN653">
        <f>L653</f>
        <v>179.07</v>
      </c>
      <c r="AW653">
        <f>L653</f>
        <v>179.07</v>
      </c>
      <c r="AZ653">
        <f>Source!X155</f>
        <v>0</v>
      </c>
      <c r="BA653">
        <f>Source!Y155</f>
        <v>0</v>
      </c>
      <c r="CD653">
        <v>2</v>
      </c>
    </row>
    <row r="654" spans="1:83" ht="14.25" x14ac:dyDescent="0.2">
      <c r="A654" s="48"/>
      <c r="B654" s="48"/>
      <c r="C654" s="48" t="s">
        <v>706</v>
      </c>
      <c r="D654" s="49"/>
      <c r="E654" s="50"/>
      <c r="F654" s="50"/>
      <c r="G654" s="50"/>
      <c r="H654" s="52"/>
      <c r="I654" s="51"/>
      <c r="J654" s="52"/>
      <c r="K654" s="51"/>
      <c r="L654" s="52">
        <f>SUM(AR633:AR657)+SUM(AS633:AS657)+SUM(AT633:AT657)+SUM(AU633:AU657)+SUM(AV633:AV657)</f>
        <v>2752.02</v>
      </c>
    </row>
    <row r="655" spans="1:83" ht="14.25" x14ac:dyDescent="0.2">
      <c r="A655" s="48"/>
      <c r="B655" s="48" t="s">
        <v>78</v>
      </c>
      <c r="C655" s="48" t="s">
        <v>728</v>
      </c>
      <c r="D655" s="49" t="s">
        <v>83</v>
      </c>
      <c r="E655" s="50">
        <f>Source!BZ154</f>
        <v>90</v>
      </c>
      <c r="F655" s="50"/>
      <c r="G655" s="50">
        <f>Source!AT154</f>
        <v>90</v>
      </c>
      <c r="H655" s="52"/>
      <c r="I655" s="51"/>
      <c r="J655" s="52"/>
      <c r="K655" s="51"/>
      <c r="L655" s="52">
        <f>SUM(AZ633:AZ657)</f>
        <v>2476.8200000000002</v>
      </c>
    </row>
    <row r="656" spans="1:83" ht="14.25" x14ac:dyDescent="0.2">
      <c r="A656" s="56"/>
      <c r="B656" s="56" t="s">
        <v>79</v>
      </c>
      <c r="C656" s="56" t="s">
        <v>729</v>
      </c>
      <c r="D656" s="57" t="s">
        <v>83</v>
      </c>
      <c r="E656" s="58">
        <f>Source!CA154</f>
        <v>46</v>
      </c>
      <c r="F656" s="58"/>
      <c r="G656" s="58">
        <f>Source!AU154</f>
        <v>46</v>
      </c>
      <c r="H656" s="59"/>
      <c r="I656" s="60"/>
      <c r="J656" s="59"/>
      <c r="K656" s="60"/>
      <c r="L656" s="59">
        <f>SUM(BA633:BA657)</f>
        <v>1265.93</v>
      </c>
    </row>
    <row r="657" spans="1:83" ht="15" x14ac:dyDescent="0.2">
      <c r="C657" s="131" t="s">
        <v>709</v>
      </c>
      <c r="D657" s="131"/>
      <c r="E657" s="131"/>
      <c r="F657" s="131"/>
      <c r="G657" s="131"/>
      <c r="H657" s="131"/>
      <c r="I657" s="132">
        <f>IF(E633&lt;&gt;0,K657/E633, 0)</f>
        <v>33916.800000000003</v>
      </c>
      <c r="J657" s="132"/>
      <c r="K657" s="132">
        <f>L636+L638+L647+L655+L656+L639+SUM(L653:L653)</f>
        <v>6783.3600000000006</v>
      </c>
      <c r="L657" s="132"/>
      <c r="AD657">
        <f>ROUND((Source!AT154/100)*((ROUND(SUMIF(SmtRes!AQ190:'SmtRes'!AQ201,"=1",SmtRes!AD190:'SmtRes'!AD201)*Source!I154, 2)+ROUND(SUMIF(SmtRes!AQ190:'SmtRes'!AQ201,"=1",SmtRes!AC190:'SmtRes'!AC201)*Source!I154, 2))), 2)</f>
        <v>434.52</v>
      </c>
      <c r="AE657">
        <f>ROUND((Source!AU154/100)*((ROUND(SUMIF(SmtRes!AQ190:'SmtRes'!AQ201,"=1",SmtRes!AD190:'SmtRes'!AD201)*Source!I154, 2)+ROUND(SUMIF(SmtRes!AQ190:'SmtRes'!AQ201,"=1",SmtRes!AC190:'SmtRes'!AC201)*Source!I154, 2))), 2)</f>
        <v>222.09</v>
      </c>
      <c r="AN657" s="61">
        <f>L636+L638+L647+L655+L656+L639</f>
        <v>6604.2900000000009</v>
      </c>
      <c r="AO657" s="61">
        <f>L638</f>
        <v>109.52000000000001</v>
      </c>
      <c r="AQ657" t="s">
        <v>710</v>
      </c>
      <c r="AR657" s="61">
        <f>L636</f>
        <v>2686.03</v>
      </c>
      <c r="AT657" s="61">
        <f>L639</f>
        <v>65.989999999999995</v>
      </c>
      <c r="AV657" t="s">
        <v>710</v>
      </c>
      <c r="AW657" s="61">
        <f>L647</f>
        <v>0</v>
      </c>
      <c r="AZ657">
        <f>Source!X154</f>
        <v>2476.8200000000002</v>
      </c>
      <c r="BA657">
        <f>Source!Y154</f>
        <v>1265.93</v>
      </c>
      <c r="CD657">
        <v>2</v>
      </c>
    </row>
    <row r="658" spans="1:83" ht="57" x14ac:dyDescent="0.2">
      <c r="A658" s="46" t="s">
        <v>329</v>
      </c>
      <c r="B658" s="48" t="s">
        <v>817</v>
      </c>
      <c r="C658" s="48" t="str">
        <f>Source!G156</f>
        <v>Компенсатор стальной сальниковый двухсторонний на номинальное давление 1,6 МПа, номинальный диаметр: 100 мм</v>
      </c>
      <c r="D658" s="49" t="str">
        <f>Source!H156</f>
        <v>10 ШТ</v>
      </c>
      <c r="E658" s="50">
        <f>Source!K156</f>
        <v>0.2</v>
      </c>
      <c r="F658" s="50"/>
      <c r="G658" s="50">
        <f>Source!I156</f>
        <v>0.2</v>
      </c>
      <c r="H658" s="52"/>
      <c r="I658" s="51"/>
      <c r="J658" s="52"/>
      <c r="K658" s="51"/>
      <c r="L658" s="52"/>
    </row>
    <row r="659" spans="1:83" x14ac:dyDescent="0.2">
      <c r="C659" s="53" t="str">
        <f>"Объем: "&amp;Source!I156&amp;"=2/"&amp;"10"</f>
        <v>Объем: 0,2=2/10</v>
      </c>
    </row>
    <row r="660" spans="1:83" ht="15" x14ac:dyDescent="0.2">
      <c r="A660" s="47"/>
      <c r="B660" s="50">
        <v>1</v>
      </c>
      <c r="C660" s="47" t="s">
        <v>698</v>
      </c>
      <c r="D660" s="49" t="s">
        <v>449</v>
      </c>
      <c r="E660" s="54"/>
      <c r="F660" s="50"/>
      <c r="G660" s="50">
        <f>Source!U156</f>
        <v>12.4</v>
      </c>
      <c r="H660" s="50"/>
      <c r="I660" s="50"/>
      <c r="J660" s="50"/>
      <c r="K660" s="50"/>
      <c r="L660" s="55">
        <f>SUM(L661:L661)-SUMIF(CE661:CE661, 1, L661:L661)</f>
        <v>8953.42</v>
      </c>
    </row>
    <row r="661" spans="1:83" ht="14.25" x14ac:dyDescent="0.2">
      <c r="A661" s="48"/>
      <c r="B661" s="48" t="s">
        <v>486</v>
      </c>
      <c r="C661" s="48" t="s">
        <v>487</v>
      </c>
      <c r="D661" s="49" t="s">
        <v>449</v>
      </c>
      <c r="E661" s="50">
        <v>62</v>
      </c>
      <c r="F661" s="50"/>
      <c r="G661" s="50">
        <f>SmtRes!CX202</f>
        <v>12.4</v>
      </c>
      <c r="H661" s="52"/>
      <c r="I661" s="51"/>
      <c r="J661" s="52">
        <f>SmtRes!CZ202</f>
        <v>722.05</v>
      </c>
      <c r="K661" s="51"/>
      <c r="L661" s="52">
        <f>SmtRes!DI202</f>
        <v>8953.42</v>
      </c>
    </row>
    <row r="662" spans="1:83" ht="15" x14ac:dyDescent="0.2">
      <c r="A662" s="47"/>
      <c r="B662" s="50">
        <v>2</v>
      </c>
      <c r="C662" s="47" t="s">
        <v>699</v>
      </c>
      <c r="D662" s="49"/>
      <c r="E662" s="54"/>
      <c r="F662" s="50"/>
      <c r="G662" s="50"/>
      <c r="H662" s="50"/>
      <c r="I662" s="50"/>
      <c r="J662" s="50"/>
      <c r="K662" s="50"/>
      <c r="L662" s="55">
        <f>SUM(L663:L670)-SUMIF(CE663:CE670, 1, L663:L670)</f>
        <v>365.06</v>
      </c>
    </row>
    <row r="663" spans="1:83" ht="15" x14ac:dyDescent="0.2">
      <c r="A663" s="47"/>
      <c r="B663" s="50"/>
      <c r="C663" s="47" t="s">
        <v>701</v>
      </c>
      <c r="D663" s="49" t="s">
        <v>449</v>
      </c>
      <c r="E663" s="54"/>
      <c r="F663" s="50"/>
      <c r="G663" s="50">
        <f>Source!V156</f>
        <v>0.26</v>
      </c>
      <c r="H663" s="50"/>
      <c r="I663" s="50"/>
      <c r="J663" s="50"/>
      <c r="K663" s="50"/>
      <c r="L663" s="55">
        <f>SUMIF(CE664:CE670, 1, L664:L670)</f>
        <v>219.96</v>
      </c>
      <c r="CE663">
        <v>1</v>
      </c>
    </row>
    <row r="664" spans="1:83" ht="28.5" x14ac:dyDescent="0.2">
      <c r="A664" s="48"/>
      <c r="B664" s="48" t="s">
        <v>474</v>
      </c>
      <c r="C664" s="48" t="s">
        <v>476</v>
      </c>
      <c r="D664" s="49" t="s">
        <v>455</v>
      </c>
      <c r="E664" s="50">
        <v>0.65</v>
      </c>
      <c r="F664" s="50"/>
      <c r="G664" s="50">
        <f>SmtRes!CX204</f>
        <v>0.13</v>
      </c>
      <c r="H664" s="52"/>
      <c r="I664" s="51"/>
      <c r="J664" s="52">
        <f>SmtRes!CZ204</f>
        <v>1629.55</v>
      </c>
      <c r="K664" s="51"/>
      <c r="L664" s="52">
        <f>SmtRes!DG204</f>
        <v>211.84</v>
      </c>
    </row>
    <row r="665" spans="1:83" ht="28.5" x14ac:dyDescent="0.2">
      <c r="A665" s="48"/>
      <c r="B665" s="48" t="s">
        <v>473</v>
      </c>
      <c r="C665" s="48" t="s">
        <v>718</v>
      </c>
      <c r="D665" s="49" t="s">
        <v>449</v>
      </c>
      <c r="E665" s="50">
        <f>SmtRes!DO204*SmtRes!AT204</f>
        <v>0.65</v>
      </c>
      <c r="F665" s="50"/>
      <c r="G665" s="50">
        <f>ROUND(E665*G658, 7)</f>
        <v>0.13</v>
      </c>
      <c r="H665" s="52"/>
      <c r="I665" s="51"/>
      <c r="J665" s="52">
        <f>ROUND(SmtRes!AG204/SmtRes!DO204, 2)</f>
        <v>969.91</v>
      </c>
      <c r="K665" s="51"/>
      <c r="L665" s="52">
        <f>SmtRes!DH204</f>
        <v>126.09</v>
      </c>
      <c r="CE665">
        <v>1</v>
      </c>
    </row>
    <row r="666" spans="1:83" ht="28.5" x14ac:dyDescent="0.2">
      <c r="A666" s="48"/>
      <c r="B666" s="48" t="s">
        <v>607</v>
      </c>
      <c r="C666" s="48" t="s">
        <v>609</v>
      </c>
      <c r="D666" s="49" t="s">
        <v>455</v>
      </c>
      <c r="E666" s="50">
        <v>0.95</v>
      </c>
      <c r="F666" s="50"/>
      <c r="G666" s="50">
        <f>SmtRes!CX205</f>
        <v>0.19</v>
      </c>
      <c r="H666" s="52">
        <f>SmtRes!CZ205</f>
        <v>11.45</v>
      </c>
      <c r="I666" s="51">
        <f>SmtRes!AJ205</f>
        <v>1.48</v>
      </c>
      <c r="J666" s="52">
        <f>ROUND(H666*I666, 2)</f>
        <v>16.95</v>
      </c>
      <c r="K666" s="51"/>
      <c r="L666" s="52">
        <f>SmtRes!DG205</f>
        <v>3.22</v>
      </c>
    </row>
    <row r="667" spans="1:83" ht="28.5" x14ac:dyDescent="0.2">
      <c r="A667" s="48"/>
      <c r="B667" s="48" t="s">
        <v>610</v>
      </c>
      <c r="C667" s="48" t="s">
        <v>612</v>
      </c>
      <c r="D667" s="49" t="s">
        <v>455</v>
      </c>
      <c r="E667" s="50">
        <v>11.1</v>
      </c>
      <c r="F667" s="50"/>
      <c r="G667" s="50">
        <f>SmtRes!CX206</f>
        <v>2.2200000000000002</v>
      </c>
      <c r="H667" s="52">
        <f>SmtRes!CZ206</f>
        <v>5.47</v>
      </c>
      <c r="I667" s="51">
        <f>SmtRes!AJ206</f>
        <v>1.48</v>
      </c>
      <c r="J667" s="52">
        <f>ROUND(H667*I667, 2)</f>
        <v>8.1</v>
      </c>
      <c r="K667" s="51"/>
      <c r="L667" s="52">
        <f>SmtRes!DG206</f>
        <v>17.98</v>
      </c>
    </row>
    <row r="668" spans="1:83" ht="28.5" x14ac:dyDescent="0.2">
      <c r="A668" s="48"/>
      <c r="B668" s="48" t="s">
        <v>452</v>
      </c>
      <c r="C668" s="48" t="s">
        <v>454</v>
      </c>
      <c r="D668" s="49" t="s">
        <v>455</v>
      </c>
      <c r="E668" s="50">
        <v>0.65</v>
      </c>
      <c r="F668" s="50"/>
      <c r="G668" s="50">
        <f>SmtRes!CX207</f>
        <v>0.13</v>
      </c>
      <c r="H668" s="52"/>
      <c r="I668" s="51"/>
      <c r="J668" s="52">
        <f>SmtRes!CZ207</f>
        <v>643.29</v>
      </c>
      <c r="K668" s="51"/>
      <c r="L668" s="52">
        <f>SmtRes!DG207</f>
        <v>83.63</v>
      </c>
    </row>
    <row r="669" spans="1:83" ht="28.5" x14ac:dyDescent="0.2">
      <c r="A669" s="48"/>
      <c r="B669" s="48" t="s">
        <v>456</v>
      </c>
      <c r="C669" s="48" t="s">
        <v>700</v>
      </c>
      <c r="D669" s="49" t="s">
        <v>449</v>
      </c>
      <c r="E669" s="50">
        <f>SmtRes!DO207*SmtRes!AT207</f>
        <v>0.65</v>
      </c>
      <c r="F669" s="50"/>
      <c r="G669" s="50">
        <f>ROUND(E669*G658, 7)</f>
        <v>0.13</v>
      </c>
      <c r="H669" s="52"/>
      <c r="I669" s="51"/>
      <c r="J669" s="52">
        <f>ROUND(SmtRes!AG207/SmtRes!DO207, 2)</f>
        <v>722.05</v>
      </c>
      <c r="K669" s="51"/>
      <c r="L669" s="52">
        <f>SmtRes!DH207</f>
        <v>93.87</v>
      </c>
      <c r="CE669">
        <v>1</v>
      </c>
    </row>
    <row r="670" spans="1:83" ht="42.75" x14ac:dyDescent="0.2">
      <c r="A670" s="48"/>
      <c r="B670" s="48" t="s">
        <v>477</v>
      </c>
      <c r="C670" s="48" t="s">
        <v>479</v>
      </c>
      <c r="D670" s="49" t="s">
        <v>455</v>
      </c>
      <c r="E670" s="50">
        <v>7.5</v>
      </c>
      <c r="F670" s="50"/>
      <c r="G670" s="50">
        <f>SmtRes!CX208</f>
        <v>1.5</v>
      </c>
      <c r="H670" s="52"/>
      <c r="I670" s="51"/>
      <c r="J670" s="52">
        <f>SmtRes!CZ208</f>
        <v>32.26</v>
      </c>
      <c r="K670" s="51"/>
      <c r="L670" s="52">
        <f>SmtRes!DG208</f>
        <v>48.39</v>
      </c>
    </row>
    <row r="671" spans="1:83" ht="15" x14ac:dyDescent="0.2">
      <c r="A671" s="47"/>
      <c r="B671" s="50">
        <v>4</v>
      </c>
      <c r="C671" s="47" t="s">
        <v>702</v>
      </c>
      <c r="D671" s="49"/>
      <c r="E671" s="54"/>
      <c r="F671" s="50"/>
      <c r="G671" s="50"/>
      <c r="H671" s="50"/>
      <c r="I671" s="50"/>
      <c r="J671" s="50"/>
      <c r="K671" s="50"/>
      <c r="L671" s="55">
        <f>SUM(L672:L675)-SUMIF(CE672:CE675, 1, L672:L675)</f>
        <v>99.34</v>
      </c>
    </row>
    <row r="672" spans="1:83" ht="14.25" x14ac:dyDescent="0.2">
      <c r="A672" s="48"/>
      <c r="B672" s="48" t="s">
        <v>488</v>
      </c>
      <c r="C672" s="48" t="s">
        <v>490</v>
      </c>
      <c r="D672" s="49" t="s">
        <v>309</v>
      </c>
      <c r="E672" s="50">
        <v>0.154</v>
      </c>
      <c r="F672" s="50"/>
      <c r="G672" s="50">
        <f>SmtRes!CX209</f>
        <v>3.0800000000000001E-2</v>
      </c>
      <c r="H672" s="52">
        <f>SmtRes!CZ209</f>
        <v>340.41</v>
      </c>
      <c r="I672" s="51">
        <f>SmtRes!AI209</f>
        <v>1.5</v>
      </c>
      <c r="J672" s="52">
        <f>ROUND(H672*I672, 2)</f>
        <v>510.62</v>
      </c>
      <c r="K672" s="51"/>
      <c r="L672" s="52">
        <f>SmtRes!DF209</f>
        <v>15.73</v>
      </c>
    </row>
    <row r="673" spans="1:82" ht="14.25" x14ac:dyDescent="0.2">
      <c r="A673" s="48"/>
      <c r="B673" s="48" t="s">
        <v>491</v>
      </c>
      <c r="C673" s="48" t="s">
        <v>493</v>
      </c>
      <c r="D673" s="49" t="s">
        <v>309</v>
      </c>
      <c r="E673" s="50">
        <v>0.7</v>
      </c>
      <c r="F673" s="50"/>
      <c r="G673" s="50">
        <f>SmtRes!CX210</f>
        <v>0.14000000000000001</v>
      </c>
      <c r="H673" s="52">
        <f>SmtRes!CZ210</f>
        <v>114.64</v>
      </c>
      <c r="I673" s="51">
        <f>SmtRes!AI210</f>
        <v>0.85</v>
      </c>
      <c r="J673" s="52">
        <f>ROUND(H673*I673, 2)</f>
        <v>97.44</v>
      </c>
      <c r="K673" s="51"/>
      <c r="L673" s="52">
        <f>SmtRes!DF210</f>
        <v>13.64</v>
      </c>
    </row>
    <row r="674" spans="1:82" ht="14.25" x14ac:dyDescent="0.2">
      <c r="A674" s="48"/>
      <c r="B674" s="48" t="s">
        <v>613</v>
      </c>
      <c r="C674" s="48" t="s">
        <v>615</v>
      </c>
      <c r="D674" s="49" t="s">
        <v>616</v>
      </c>
      <c r="E674" s="50">
        <v>1.71</v>
      </c>
      <c r="F674" s="50"/>
      <c r="G674" s="50">
        <f>SmtRes!CX211</f>
        <v>0.34200000000000003</v>
      </c>
      <c r="H674" s="52"/>
      <c r="I674" s="51"/>
      <c r="J674" s="52">
        <f>SmtRes!CZ211</f>
        <v>6.78</v>
      </c>
      <c r="K674" s="51"/>
      <c r="L674" s="52">
        <f>SmtRes!DF211</f>
        <v>2.3199999999999998</v>
      </c>
    </row>
    <row r="675" spans="1:82" ht="42.75" x14ac:dyDescent="0.2">
      <c r="A675" s="48"/>
      <c r="B675" s="48" t="s">
        <v>617</v>
      </c>
      <c r="C675" s="56" t="s">
        <v>619</v>
      </c>
      <c r="D675" s="57" t="s">
        <v>35</v>
      </c>
      <c r="E675" s="58">
        <v>2.7399999999999998E-3</v>
      </c>
      <c r="F675" s="58"/>
      <c r="G675" s="58">
        <f>SmtRes!CX212</f>
        <v>5.4799999999999998E-4</v>
      </c>
      <c r="H675" s="59">
        <f>SmtRes!CZ212</f>
        <v>158259.47</v>
      </c>
      <c r="I675" s="60">
        <f>SmtRes!AI212</f>
        <v>0.78</v>
      </c>
      <c r="J675" s="59">
        <f>ROUND(H675*I675, 2)</f>
        <v>123442.39</v>
      </c>
      <c r="K675" s="60"/>
      <c r="L675" s="59">
        <f>SmtRes!DF212</f>
        <v>67.650000000000006</v>
      </c>
    </row>
    <row r="676" spans="1:82" ht="15" x14ac:dyDescent="0.2">
      <c r="A676" s="48"/>
      <c r="B676" s="48"/>
      <c r="C676" s="62" t="s">
        <v>703</v>
      </c>
      <c r="D676" s="49"/>
      <c r="E676" s="50"/>
      <c r="F676" s="50"/>
      <c r="G676" s="50"/>
      <c r="H676" s="52"/>
      <c r="I676" s="51"/>
      <c r="J676" s="52"/>
      <c r="K676" s="51"/>
      <c r="L676" s="52">
        <f>L660+L662+L663+L671</f>
        <v>9637.7799999999988</v>
      </c>
    </row>
    <row r="677" spans="1:82" ht="57" x14ac:dyDescent="0.2">
      <c r="A677" s="46" t="s">
        <v>819</v>
      </c>
      <c r="B677" s="48" t="str">
        <f>Source!F157</f>
        <v>421/пр_2020_п.75_пп.а</v>
      </c>
      <c r="C677" s="48" t="str">
        <f>Source!G157</f>
        <v>Сметная стоимость вспомогательных ненормируемых материальных ресурсов, не учтенная в сметной норме, 2%</v>
      </c>
      <c r="D677" s="49" t="str">
        <f>Source!H157</f>
        <v>%</v>
      </c>
      <c r="E677" s="50">
        <f>SmtRes!AT213</f>
        <v>2</v>
      </c>
      <c r="F677" s="50"/>
      <c r="G677" s="50">
        <f>Source!I157</f>
        <v>2</v>
      </c>
      <c r="H677" s="52"/>
      <c r="I677" s="51"/>
      <c r="J677" s="52"/>
      <c r="K677" s="51"/>
      <c r="L677" s="52">
        <f>Source!P157</f>
        <v>179.07</v>
      </c>
      <c r="AD677">
        <f>ROUND((Source!AT157/100)*((ROUND(0*Source!I157, 2)+ROUND(0*Source!I157, 2))), 2)</f>
        <v>0</v>
      </c>
      <c r="AE677">
        <f>ROUND((Source!AU157/100)*((ROUND(0*Source!I157, 2)+ROUND(0*Source!I157, 2))), 2)</f>
        <v>0</v>
      </c>
      <c r="AN677">
        <f>L677</f>
        <v>179.07</v>
      </c>
      <c r="AW677">
        <f>L677</f>
        <v>179.07</v>
      </c>
      <c r="AZ677">
        <f>Source!X157</f>
        <v>0</v>
      </c>
      <c r="BA677">
        <f>Source!Y157</f>
        <v>0</v>
      </c>
      <c r="CD677">
        <v>2</v>
      </c>
    </row>
    <row r="678" spans="1:82" ht="14.25" x14ac:dyDescent="0.2">
      <c r="A678" s="48"/>
      <c r="B678" s="48"/>
      <c r="C678" s="48" t="s">
        <v>706</v>
      </c>
      <c r="D678" s="49"/>
      <c r="E678" s="50"/>
      <c r="F678" s="50"/>
      <c r="G678" s="50"/>
      <c r="H678" s="52"/>
      <c r="I678" s="51"/>
      <c r="J678" s="52"/>
      <c r="K678" s="51"/>
      <c r="L678" s="52">
        <f>SUM(AR658:AR681)+SUM(AS658:AS681)+SUM(AT658:AT681)+SUM(AU658:AU681)+SUM(AV658:AV681)</f>
        <v>9173.3799999999992</v>
      </c>
    </row>
    <row r="679" spans="1:82" ht="14.25" x14ac:dyDescent="0.2">
      <c r="A679" s="48"/>
      <c r="B679" s="48" t="s">
        <v>78</v>
      </c>
      <c r="C679" s="48" t="s">
        <v>728</v>
      </c>
      <c r="D679" s="49" t="s">
        <v>83</v>
      </c>
      <c r="E679" s="50">
        <f>Source!BZ156</f>
        <v>90</v>
      </c>
      <c r="F679" s="50"/>
      <c r="G679" s="50">
        <f>Source!AT156</f>
        <v>90</v>
      </c>
      <c r="H679" s="52"/>
      <c r="I679" s="51"/>
      <c r="J679" s="52"/>
      <c r="K679" s="51"/>
      <c r="L679" s="52">
        <f>SUM(AZ658:AZ681)</f>
        <v>8256.0400000000009</v>
      </c>
    </row>
    <row r="680" spans="1:82" ht="14.25" x14ac:dyDescent="0.2">
      <c r="A680" s="56"/>
      <c r="B680" s="56" t="s">
        <v>79</v>
      </c>
      <c r="C680" s="56" t="s">
        <v>729</v>
      </c>
      <c r="D680" s="57" t="s">
        <v>83</v>
      </c>
      <c r="E680" s="58">
        <f>Source!CA156</f>
        <v>46</v>
      </c>
      <c r="F680" s="58"/>
      <c r="G680" s="58">
        <f>Source!AU156</f>
        <v>46</v>
      </c>
      <c r="H680" s="59"/>
      <c r="I680" s="60"/>
      <c r="J680" s="59"/>
      <c r="K680" s="60"/>
      <c r="L680" s="59">
        <f>SUM(BA658:BA681)</f>
        <v>4219.75</v>
      </c>
    </row>
    <row r="681" spans="1:82" ht="15" x14ac:dyDescent="0.2">
      <c r="C681" s="131" t="s">
        <v>709</v>
      </c>
      <c r="D681" s="131"/>
      <c r="E681" s="131"/>
      <c r="F681" s="131"/>
      <c r="G681" s="131"/>
      <c r="H681" s="131"/>
      <c r="I681" s="132">
        <f>IF(E658&lt;&gt;0,K681/E658, 0)</f>
        <v>111463.2</v>
      </c>
      <c r="J681" s="132"/>
      <c r="K681" s="132">
        <f>L660+L662+L671+L679+L680+L663+SUM(L677:L677)</f>
        <v>22292.639999999999</v>
      </c>
      <c r="L681" s="132"/>
      <c r="AD681">
        <f>ROUND((Source!AT156/100)*((ROUND(SUMIF(SmtRes!AQ202:'SmtRes'!AQ213,"=1",SmtRes!AD202:'SmtRes'!AD213)*Source!I156, 2)+ROUND(SUMIF(SmtRes!AQ202:'SmtRes'!AQ213,"=1",SmtRes!AC202:'SmtRes'!AC213)*Source!I156, 2))), 2)</f>
        <v>434.52</v>
      </c>
      <c r="AE681">
        <f>ROUND((Source!AU156/100)*((ROUND(SUMIF(SmtRes!AQ202:'SmtRes'!AQ213,"=1",SmtRes!AD202:'SmtRes'!AD213)*Source!I156, 2)+ROUND(SUMIF(SmtRes!AQ202:'SmtRes'!AQ213,"=1",SmtRes!AC202:'SmtRes'!AC213)*Source!I156, 2))), 2)</f>
        <v>222.09</v>
      </c>
      <c r="AN681" s="61">
        <f>L660+L662+L671+L679+L680+L663</f>
        <v>22113.57</v>
      </c>
      <c r="AO681" s="61">
        <f>L662</f>
        <v>365.06</v>
      </c>
      <c r="AQ681" t="s">
        <v>710</v>
      </c>
      <c r="AR681" s="61">
        <f>L660</f>
        <v>8953.42</v>
      </c>
      <c r="AT681" s="61">
        <f>L663</f>
        <v>219.96</v>
      </c>
      <c r="AV681" t="s">
        <v>710</v>
      </c>
      <c r="AW681" s="61">
        <f>L671</f>
        <v>99.34</v>
      </c>
      <c r="AZ681">
        <f>Source!X156</f>
        <v>8256.0400000000009</v>
      </c>
      <c r="BA681">
        <f>Source!Y156</f>
        <v>4219.75</v>
      </c>
      <c r="CD681">
        <v>2</v>
      </c>
    </row>
    <row r="682" spans="1:82" ht="42.75" x14ac:dyDescent="0.2">
      <c r="A682" s="76" t="s">
        <v>332</v>
      </c>
      <c r="B682" s="56" t="str">
        <f>Source!F158</f>
        <v>23.1.01.03-1000</v>
      </c>
      <c r="C682" s="56" t="str">
        <f>Source!G158</f>
        <v>Компенсатор антивибрационный муфтовый, номинальное давление 1,6 МПа, номинальный диаметр 100 мм</v>
      </c>
      <c r="D682" s="57" t="str">
        <f>Source!H158</f>
        <v>ШТ</v>
      </c>
      <c r="E682" s="58">
        <f>Source!K158</f>
        <v>2</v>
      </c>
      <c r="F682" s="58"/>
      <c r="G682" s="58">
        <f>Source!I158</f>
        <v>2</v>
      </c>
      <c r="H682" s="59">
        <f>Source!AL158</f>
        <v>3806.36</v>
      </c>
      <c r="I682" s="60">
        <f>IF(Source!BC158&lt;&gt; 0, Source!BC158, 1)</f>
        <v>1.46</v>
      </c>
      <c r="J682" s="59">
        <f>ROUND(H682*I682, 2)</f>
        <v>5557.29</v>
      </c>
      <c r="K682" s="60"/>
      <c r="L682" s="59">
        <f>Source!P158</f>
        <v>11114.58</v>
      </c>
    </row>
    <row r="683" spans="1:82" ht="15" x14ac:dyDescent="0.2">
      <c r="C683" s="131" t="s">
        <v>709</v>
      </c>
      <c r="D683" s="131"/>
      <c r="E683" s="131"/>
      <c r="F683" s="131"/>
      <c r="G683" s="131"/>
      <c r="H683" s="131"/>
      <c r="I683" s="132">
        <f>IF(E682&lt;&gt;0,K683/E682, 0)</f>
        <v>5557.29</v>
      </c>
      <c r="J683" s="132"/>
      <c r="K683" s="132">
        <f>L682</f>
        <v>11114.58</v>
      </c>
      <c r="L683" s="132"/>
      <c r="AD683">
        <f>ROUND((Source!AT158/100)*((ROUND(ROUND(Source!AO158,2)*Source!I158, 2)+ROUND(ROUND(Source!AN158,2)*Source!I158, 2))), 2)</f>
        <v>0</v>
      </c>
      <c r="AE683">
        <f>ROUND((Source!AU158/100)*((ROUND(ROUND(Source!AO158,2)*Source!I158, 2)+ROUND(ROUND(Source!AN158,2)*Source!I158, 2))), 2)</f>
        <v>0</v>
      </c>
      <c r="AN683" s="61">
        <f>L682</f>
        <v>11114.58</v>
      </c>
      <c r="AO683">
        <f>0</f>
        <v>0</v>
      </c>
      <c r="AQ683" t="s">
        <v>710</v>
      </c>
      <c r="AR683">
        <f>0</f>
        <v>0</v>
      </c>
      <c r="AT683">
        <f>0</f>
        <v>0</v>
      </c>
      <c r="AV683" t="s">
        <v>710</v>
      </c>
      <c r="AW683" s="61">
        <f>L682</f>
        <v>11114.58</v>
      </c>
      <c r="AZ683">
        <f>Source!X158</f>
        <v>0</v>
      </c>
      <c r="BA683">
        <f>Source!Y158</f>
        <v>0</v>
      </c>
      <c r="CD683">
        <v>1</v>
      </c>
    </row>
    <row r="685" spans="1:82" ht="15" x14ac:dyDescent="0.2">
      <c r="A685" s="67"/>
      <c r="B685" s="68"/>
      <c r="C685" s="134" t="s">
        <v>733</v>
      </c>
      <c r="D685" s="134"/>
      <c r="E685" s="134"/>
      <c r="F685" s="134"/>
      <c r="G685" s="134"/>
      <c r="H685" s="134"/>
      <c r="I685" s="55"/>
      <c r="J685" s="67"/>
      <c r="K685" s="69"/>
      <c r="L685" s="55">
        <f>L687+L688+L694+L698</f>
        <v>93755.4</v>
      </c>
    </row>
    <row r="686" spans="1:82" ht="14.25" x14ac:dyDescent="0.2">
      <c r="A686" s="63"/>
      <c r="B686" s="66"/>
      <c r="C686" s="135" t="s">
        <v>734</v>
      </c>
      <c r="D686" s="136"/>
      <c r="E686" s="136"/>
      <c r="F686" s="136"/>
      <c r="G686" s="136"/>
      <c r="H686" s="136"/>
      <c r="I686" s="52"/>
      <c r="J686" s="63"/>
      <c r="K686" s="50"/>
      <c r="L686" s="52"/>
    </row>
    <row r="687" spans="1:82" ht="14.25" x14ac:dyDescent="0.2">
      <c r="A687" s="63"/>
      <c r="B687" s="66"/>
      <c r="C687" s="136" t="s">
        <v>735</v>
      </c>
      <c r="D687" s="136"/>
      <c r="E687" s="136"/>
      <c r="F687" s="136"/>
      <c r="G687" s="136"/>
      <c r="H687" s="136"/>
      <c r="I687" s="52"/>
      <c r="J687" s="63"/>
      <c r="K687" s="50"/>
      <c r="L687" s="52">
        <f>SUM(AR426:AR683)</f>
        <v>64099</v>
      </c>
    </row>
    <row r="688" spans="1:82" ht="14.25" hidden="1" x14ac:dyDescent="0.2">
      <c r="A688" s="63"/>
      <c r="B688" s="66"/>
      <c r="C688" s="136" t="s">
        <v>736</v>
      </c>
      <c r="D688" s="136"/>
      <c r="E688" s="136"/>
      <c r="F688" s="136"/>
      <c r="G688" s="136"/>
      <c r="H688" s="136"/>
      <c r="I688" s="52"/>
      <c r="J688" s="63"/>
      <c r="K688" s="50"/>
      <c r="L688" s="52">
        <f>L690+L693+L692</f>
        <v>1169.02</v>
      </c>
    </row>
    <row r="689" spans="1:12" ht="14.25" hidden="1" x14ac:dyDescent="0.2">
      <c r="A689" s="63"/>
      <c r="B689" s="66"/>
      <c r="C689" s="135" t="s">
        <v>737</v>
      </c>
      <c r="D689" s="136"/>
      <c r="E689" s="136"/>
      <c r="F689" s="136"/>
      <c r="G689" s="136"/>
      <c r="H689" s="136"/>
      <c r="I689" s="52"/>
      <c r="J689" s="63"/>
      <c r="K689" s="50"/>
      <c r="L689" s="52"/>
    </row>
    <row r="690" spans="1:12" ht="14.25" x14ac:dyDescent="0.2">
      <c r="A690" s="63"/>
      <c r="B690" s="66"/>
      <c r="C690" s="136" t="s">
        <v>736</v>
      </c>
      <c r="D690" s="136"/>
      <c r="E690" s="136"/>
      <c r="F690" s="136"/>
      <c r="G690" s="136"/>
      <c r="H690" s="136"/>
      <c r="I690" s="52"/>
      <c r="J690" s="63"/>
      <c r="K690" s="50"/>
      <c r="L690" s="52">
        <f>SUM(AO426:AO683)</f>
        <v>726.13000000000011</v>
      </c>
    </row>
    <row r="691" spans="1:12" ht="14.25" hidden="1" x14ac:dyDescent="0.2">
      <c r="A691" s="63"/>
      <c r="B691" s="66"/>
      <c r="C691" s="135" t="s">
        <v>738</v>
      </c>
      <c r="D691" s="136"/>
      <c r="E691" s="136"/>
      <c r="F691" s="136"/>
      <c r="G691" s="136"/>
      <c r="H691" s="136"/>
      <c r="I691" s="52"/>
      <c r="J691" s="63"/>
      <c r="K691" s="50"/>
      <c r="L691" s="52"/>
    </row>
    <row r="692" spans="1:12" ht="14.25" x14ac:dyDescent="0.2">
      <c r="A692" s="63"/>
      <c r="B692" s="66"/>
      <c r="C692" s="136" t="s">
        <v>758</v>
      </c>
      <c r="D692" s="136"/>
      <c r="E692" s="136"/>
      <c r="F692" s="136"/>
      <c r="G692" s="136"/>
      <c r="H692" s="136"/>
      <c r="I692" s="52"/>
      <c r="J692" s="63"/>
      <c r="K692" s="50"/>
      <c r="L692" s="52">
        <f>SUM(AT426:AT683)</f>
        <v>442.89</v>
      </c>
    </row>
    <row r="693" spans="1:12" ht="14.25" hidden="1" x14ac:dyDescent="0.2">
      <c r="A693" s="63"/>
      <c r="B693" s="66"/>
      <c r="C693" s="136" t="s">
        <v>739</v>
      </c>
      <c r="D693" s="136"/>
      <c r="E693" s="136"/>
      <c r="F693" s="136"/>
      <c r="G693" s="136"/>
      <c r="H693" s="136"/>
      <c r="I693" s="52"/>
      <c r="J693" s="63"/>
      <c r="K693" s="50"/>
      <c r="L693" s="52">
        <f>SUM(AV426:AV683)</f>
        <v>0</v>
      </c>
    </row>
    <row r="694" spans="1:12" ht="14.25" x14ac:dyDescent="0.2">
      <c r="A694" s="63"/>
      <c r="B694" s="66"/>
      <c r="C694" s="136" t="s">
        <v>740</v>
      </c>
      <c r="D694" s="136"/>
      <c r="E694" s="136"/>
      <c r="F694" s="136"/>
      <c r="G694" s="136"/>
      <c r="H694" s="136"/>
      <c r="I694" s="52"/>
      <c r="J694" s="63"/>
      <c r="K694" s="50"/>
      <c r="L694" s="52">
        <f>L696+L697</f>
        <v>28487.379999999997</v>
      </c>
    </row>
    <row r="695" spans="1:12" ht="14.25" x14ac:dyDescent="0.2">
      <c r="A695" s="63"/>
      <c r="B695" s="66"/>
      <c r="C695" s="135" t="s">
        <v>737</v>
      </c>
      <c r="D695" s="136"/>
      <c r="E695" s="136"/>
      <c r="F695" s="136"/>
      <c r="G695" s="136"/>
      <c r="H695" s="136"/>
      <c r="I695" s="52"/>
      <c r="J695" s="63"/>
      <c r="K695" s="50"/>
      <c r="L695" s="52"/>
    </row>
    <row r="696" spans="1:12" ht="14.25" x14ac:dyDescent="0.2">
      <c r="A696" s="63"/>
      <c r="B696" s="66"/>
      <c r="C696" s="136" t="s">
        <v>741</v>
      </c>
      <c r="D696" s="136"/>
      <c r="E696" s="136"/>
      <c r="F696" s="136"/>
      <c r="G696" s="136"/>
      <c r="H696" s="136"/>
      <c r="I696" s="52"/>
      <c r="J696" s="63"/>
      <c r="K696" s="50"/>
      <c r="L696" s="52">
        <f>SUM(AW426:AW683)-SUM(BK426:BK683)</f>
        <v>28487.379999999997</v>
      </c>
    </row>
    <row r="697" spans="1:12" ht="14.25" hidden="1" x14ac:dyDescent="0.2">
      <c r="A697" s="63"/>
      <c r="B697" s="66"/>
      <c r="C697" s="136" t="s">
        <v>742</v>
      </c>
      <c r="D697" s="136"/>
      <c r="E697" s="136"/>
      <c r="F697" s="136"/>
      <c r="G697" s="136"/>
      <c r="H697" s="136"/>
      <c r="I697" s="52"/>
      <c r="J697" s="63"/>
      <c r="K697" s="50"/>
      <c r="L697" s="52">
        <f>SUM(BC426:BC683)</f>
        <v>0</v>
      </c>
    </row>
    <row r="698" spans="1:12" ht="14.25" hidden="1" x14ac:dyDescent="0.2">
      <c r="A698" s="63"/>
      <c r="B698" s="66"/>
      <c r="C698" s="136" t="s">
        <v>743</v>
      </c>
      <c r="D698" s="136"/>
      <c r="E698" s="136"/>
      <c r="F698" s="136"/>
      <c r="G698" s="136"/>
      <c r="H698" s="136"/>
      <c r="I698" s="52"/>
      <c r="J698" s="63"/>
      <c r="K698" s="50"/>
      <c r="L698" s="52">
        <f>SUM(BB426:BB683)</f>
        <v>0</v>
      </c>
    </row>
    <row r="699" spans="1:12" ht="14.25" x14ac:dyDescent="0.2">
      <c r="A699" s="63"/>
      <c r="B699" s="66"/>
      <c r="C699" s="136" t="s">
        <v>744</v>
      </c>
      <c r="D699" s="136"/>
      <c r="E699" s="136"/>
      <c r="F699" s="136"/>
      <c r="G699" s="136"/>
      <c r="H699" s="136"/>
      <c r="I699" s="52"/>
      <c r="J699" s="63"/>
      <c r="K699" s="50"/>
      <c r="L699" s="52">
        <f>SUM(AR426:AR683)+SUM(AT426:AT683)+SUM(AV426:AV683)</f>
        <v>64541.89</v>
      </c>
    </row>
    <row r="700" spans="1:12" ht="14.25" x14ac:dyDescent="0.2">
      <c r="A700" s="63"/>
      <c r="B700" s="66"/>
      <c r="C700" s="136" t="s">
        <v>745</v>
      </c>
      <c r="D700" s="136"/>
      <c r="E700" s="136"/>
      <c r="F700" s="136"/>
      <c r="G700" s="136"/>
      <c r="H700" s="136"/>
      <c r="I700" s="52"/>
      <c r="J700" s="63"/>
      <c r="K700" s="50"/>
      <c r="L700" s="52">
        <f>SUM(AZ426:AZ683)</f>
        <v>64799.19999999999</v>
      </c>
    </row>
    <row r="701" spans="1:12" ht="14.25" x14ac:dyDescent="0.2">
      <c r="A701" s="63"/>
      <c r="B701" s="66"/>
      <c r="C701" s="136" t="s">
        <v>746</v>
      </c>
      <c r="D701" s="136"/>
      <c r="E701" s="136"/>
      <c r="F701" s="136"/>
      <c r="G701" s="136"/>
      <c r="H701" s="136"/>
      <c r="I701" s="52"/>
      <c r="J701" s="63"/>
      <c r="K701" s="50"/>
      <c r="L701" s="52">
        <f>SUM(BA426:BA683)</f>
        <v>33215.78</v>
      </c>
    </row>
    <row r="702" spans="1:12" ht="14.25" x14ac:dyDescent="0.2">
      <c r="A702" s="63"/>
      <c r="B702" s="66"/>
      <c r="C702" s="136" t="s">
        <v>747</v>
      </c>
      <c r="D702" s="136"/>
      <c r="E702" s="136"/>
      <c r="F702" s="136"/>
      <c r="G702" s="136"/>
      <c r="H702" s="136"/>
      <c r="I702" s="52"/>
      <c r="J702" s="63"/>
      <c r="K702" s="50"/>
      <c r="L702" s="52">
        <f>L704+L705</f>
        <v>7490.76</v>
      </c>
    </row>
    <row r="703" spans="1:12" ht="14.25" x14ac:dyDescent="0.2">
      <c r="A703" s="63"/>
      <c r="B703" s="66"/>
      <c r="C703" s="135" t="s">
        <v>734</v>
      </c>
      <c r="D703" s="136"/>
      <c r="E703" s="136"/>
      <c r="F703" s="136"/>
      <c r="G703" s="136"/>
      <c r="H703" s="136"/>
      <c r="I703" s="52"/>
      <c r="J703" s="63"/>
      <c r="K703" s="50"/>
      <c r="L703" s="52"/>
    </row>
    <row r="704" spans="1:12" ht="14.25" x14ac:dyDescent="0.2">
      <c r="A704" s="63"/>
      <c r="B704" s="66"/>
      <c r="C704" s="136" t="s">
        <v>748</v>
      </c>
      <c r="D704" s="136"/>
      <c r="E704" s="136"/>
      <c r="F704" s="136"/>
      <c r="G704" s="136"/>
      <c r="H704" s="136"/>
      <c r="I704" s="52"/>
      <c r="J704" s="63"/>
      <c r="K704" s="50"/>
      <c r="L704" s="52">
        <f>SUM(BK426:BK683)</f>
        <v>7490.76</v>
      </c>
    </row>
    <row r="705" spans="1:12" ht="14.25" hidden="1" x14ac:dyDescent="0.2">
      <c r="A705" s="63"/>
      <c r="B705" s="66"/>
      <c r="C705" s="136" t="s">
        <v>749</v>
      </c>
      <c r="D705" s="136"/>
      <c r="E705" s="136"/>
      <c r="F705" s="136"/>
      <c r="G705" s="136"/>
      <c r="H705" s="136"/>
      <c r="I705" s="52"/>
      <c r="J705" s="63"/>
      <c r="K705" s="50"/>
      <c r="L705" s="52">
        <f>SUM(BD426:BD683)</f>
        <v>0</v>
      </c>
    </row>
    <row r="706" spans="1:12" ht="14.25" hidden="1" x14ac:dyDescent="0.2">
      <c r="A706" s="63"/>
      <c r="B706" s="66"/>
      <c r="C706" s="136" t="s">
        <v>750</v>
      </c>
      <c r="D706" s="136"/>
      <c r="E706" s="136"/>
      <c r="F706" s="136"/>
      <c r="G706" s="136"/>
      <c r="H706" s="136"/>
      <c r="I706" s="52"/>
      <c r="J706" s="63"/>
      <c r="K706" s="50"/>
      <c r="L706" s="52"/>
    </row>
    <row r="707" spans="1:12" ht="14.25" hidden="1" x14ac:dyDescent="0.2">
      <c r="A707" s="63"/>
      <c r="B707" s="66"/>
      <c r="C707" s="136" t="s">
        <v>750</v>
      </c>
      <c r="D707" s="136"/>
      <c r="E707" s="136"/>
      <c r="F707" s="136"/>
      <c r="G707" s="136"/>
      <c r="H707" s="136"/>
      <c r="I707" s="52"/>
      <c r="J707" s="63"/>
      <c r="K707" s="50"/>
      <c r="L707" s="52">
        <f>SUM(BQ426:BQ683)</f>
        <v>0</v>
      </c>
    </row>
    <row r="708" spans="1:12" ht="14.25" hidden="1" x14ac:dyDescent="0.2">
      <c r="A708" s="63"/>
      <c r="B708" s="66"/>
      <c r="C708" s="136" t="s">
        <v>751</v>
      </c>
      <c r="D708" s="136"/>
      <c r="E708" s="136"/>
      <c r="F708" s="136"/>
      <c r="G708" s="136"/>
      <c r="H708" s="136"/>
      <c r="I708" s="52"/>
      <c r="J708" s="63"/>
      <c r="K708" s="50"/>
      <c r="L708" s="52">
        <f>SUM(BO426:BO683)</f>
        <v>0</v>
      </c>
    </row>
    <row r="709" spans="1:12" ht="15" x14ac:dyDescent="0.2">
      <c r="A709" s="67"/>
      <c r="B709" s="68"/>
      <c r="C709" s="134" t="s">
        <v>752</v>
      </c>
      <c r="D709" s="134"/>
      <c r="E709" s="134"/>
      <c r="F709" s="134"/>
      <c r="G709" s="134"/>
      <c r="H709" s="134"/>
      <c r="I709" s="55"/>
      <c r="J709" s="67"/>
      <c r="K709" s="69"/>
      <c r="L709" s="55">
        <f>L685+L700+L701+L702+L707+L708</f>
        <v>199261.13999999998</v>
      </c>
    </row>
    <row r="710" spans="1:12" ht="14.25" x14ac:dyDescent="0.2">
      <c r="A710" s="63"/>
      <c r="B710" s="66"/>
      <c r="C710" s="135" t="s">
        <v>753</v>
      </c>
      <c r="D710" s="136"/>
      <c r="E710" s="136"/>
      <c r="F710" s="136"/>
      <c r="G710" s="136"/>
      <c r="H710" s="136"/>
      <c r="I710" s="52"/>
      <c r="J710" s="63"/>
      <c r="K710" s="50"/>
      <c r="L710" s="52"/>
    </row>
    <row r="711" spans="1:12" ht="14.25" hidden="1" x14ac:dyDescent="0.2">
      <c r="A711" s="63"/>
      <c r="B711" s="66"/>
      <c r="C711" s="136" t="s">
        <v>754</v>
      </c>
      <c r="D711" s="136"/>
      <c r="E711" s="136"/>
      <c r="F711" s="136"/>
      <c r="G711" s="136"/>
      <c r="H711" s="136"/>
      <c r="I711" s="52"/>
      <c r="J711" s="63"/>
      <c r="K711" s="50"/>
      <c r="L711" s="52">
        <f>SUM(AX426:AX683)</f>
        <v>0</v>
      </c>
    </row>
    <row r="712" spans="1:12" ht="14.25" hidden="1" x14ac:dyDescent="0.2">
      <c r="A712" s="63"/>
      <c r="B712" s="66"/>
      <c r="C712" s="136" t="s">
        <v>755</v>
      </c>
      <c r="D712" s="136"/>
      <c r="E712" s="136"/>
      <c r="F712" s="136"/>
      <c r="G712" s="136"/>
      <c r="H712" s="136"/>
      <c r="I712" s="52"/>
      <c r="J712" s="63"/>
      <c r="K712" s="50"/>
      <c r="L712" s="52">
        <f>SUM(AY426:AY683)</f>
        <v>0</v>
      </c>
    </row>
    <row r="713" spans="1:12" ht="14.25" x14ac:dyDescent="0.2">
      <c r="A713" s="63"/>
      <c r="B713" s="66"/>
      <c r="C713" s="136" t="s">
        <v>756</v>
      </c>
      <c r="D713" s="136"/>
      <c r="E713" s="136"/>
      <c r="F713" s="137"/>
      <c r="G713" s="54">
        <f>Source!F182</f>
        <v>90.551603200000002</v>
      </c>
      <c r="H713" s="63"/>
      <c r="I713" s="63"/>
      <c r="J713" s="63"/>
      <c r="K713" s="63"/>
      <c r="L713" s="63"/>
    </row>
    <row r="714" spans="1:12" ht="14.25" x14ac:dyDescent="0.2">
      <c r="A714" s="63"/>
      <c r="B714" s="66"/>
      <c r="C714" s="136" t="s">
        <v>757</v>
      </c>
      <c r="D714" s="136"/>
      <c r="E714" s="136"/>
      <c r="F714" s="137"/>
      <c r="G714" s="54">
        <f>Source!F183</f>
        <v>0.56481499999999996</v>
      </c>
      <c r="H714" s="63"/>
      <c r="I714" s="63"/>
      <c r="J714" s="63"/>
      <c r="K714" s="63"/>
      <c r="L714" s="63"/>
    </row>
    <row r="717" spans="1:12" ht="16.5" x14ac:dyDescent="0.2">
      <c r="A717" s="133" t="s">
        <v>820</v>
      </c>
      <c r="B717" s="133"/>
      <c r="C717" s="133"/>
      <c r="D717" s="133"/>
      <c r="E717" s="133"/>
      <c r="F717" s="133"/>
      <c r="G717" s="133"/>
      <c r="H717" s="133"/>
      <c r="I717" s="133"/>
      <c r="J717" s="133"/>
      <c r="K717" s="133"/>
      <c r="L717" s="133"/>
    </row>
    <row r="718" spans="1:12" ht="28.5" x14ac:dyDescent="0.2">
      <c r="A718" s="46" t="s">
        <v>340</v>
      </c>
      <c r="B718" s="48" t="s">
        <v>821</v>
      </c>
      <c r="C718" s="48" t="str">
        <f>Source!G194</f>
        <v>Затаривание строительного мусора в мешки</v>
      </c>
      <c r="D718" s="49" t="str">
        <f>Source!H194</f>
        <v>т</v>
      </c>
      <c r="E718" s="50">
        <f>Source!K194</f>
        <v>0.31080000000000002</v>
      </c>
      <c r="F718" s="50"/>
      <c r="G718" s="50">
        <f>Source!I194</f>
        <v>0.31080000000000002</v>
      </c>
      <c r="H718" s="52"/>
      <c r="I718" s="51"/>
      <c r="J718" s="52"/>
      <c r="K718" s="51"/>
      <c r="L718" s="52"/>
    </row>
    <row r="719" spans="1:12" ht="15" x14ac:dyDescent="0.2">
      <c r="A719" s="47"/>
      <c r="B719" s="50">
        <v>1</v>
      </c>
      <c r="C719" s="47" t="s">
        <v>698</v>
      </c>
      <c r="D719" s="49" t="s">
        <v>449</v>
      </c>
      <c r="E719" s="54"/>
      <c r="F719" s="50"/>
      <c r="G719" s="50">
        <f>Source!U194</f>
        <v>0.32012400000000002</v>
      </c>
      <c r="H719" s="50"/>
      <c r="I719" s="50"/>
      <c r="J719" s="50"/>
      <c r="K719" s="50"/>
      <c r="L719" s="55">
        <f>SUM(L720:L720)-SUMIF(CE720:CE720, 1, L720:L720)</f>
        <v>172.5</v>
      </c>
    </row>
    <row r="720" spans="1:12" ht="14.25" x14ac:dyDescent="0.2">
      <c r="A720" s="48"/>
      <c r="B720" s="48" t="s">
        <v>620</v>
      </c>
      <c r="C720" s="48" t="s">
        <v>621</v>
      </c>
      <c r="D720" s="49" t="s">
        <v>449</v>
      </c>
      <c r="E720" s="50">
        <v>1.03</v>
      </c>
      <c r="F720" s="50"/>
      <c r="G720" s="50">
        <f>SmtRes!CX214</f>
        <v>0.32012400000000002</v>
      </c>
      <c r="H720" s="52"/>
      <c r="I720" s="51"/>
      <c r="J720" s="52">
        <f>SmtRes!CZ214</f>
        <v>538.85</v>
      </c>
      <c r="K720" s="51"/>
      <c r="L720" s="52">
        <f>SmtRes!DI214</f>
        <v>172.5</v>
      </c>
    </row>
    <row r="721" spans="1:82" ht="15" x14ac:dyDescent="0.2">
      <c r="A721" s="47"/>
      <c r="B721" s="50">
        <v>4</v>
      </c>
      <c r="C721" s="47" t="s">
        <v>702</v>
      </c>
      <c r="D721" s="49"/>
      <c r="E721" s="54"/>
      <c r="F721" s="50"/>
      <c r="G721" s="50"/>
      <c r="H721" s="50"/>
      <c r="I721" s="50"/>
      <c r="J721" s="50"/>
      <c r="K721" s="50"/>
      <c r="L721" s="55">
        <f>SUM(L722:L722)-SUMIF(CE722:CE722, 1, L722:L722)</f>
        <v>175.04</v>
      </c>
    </row>
    <row r="722" spans="1:82" ht="42.75" x14ac:dyDescent="0.2">
      <c r="A722" s="48"/>
      <c r="B722" s="48" t="s">
        <v>622</v>
      </c>
      <c r="C722" s="56" t="s">
        <v>624</v>
      </c>
      <c r="D722" s="57" t="s">
        <v>19</v>
      </c>
      <c r="E722" s="58">
        <v>0.2</v>
      </c>
      <c r="F722" s="58"/>
      <c r="G722" s="58">
        <f>SmtRes!CX215</f>
        <v>6.216E-2</v>
      </c>
      <c r="H722" s="59">
        <f>SmtRes!CZ215</f>
        <v>1828.55</v>
      </c>
      <c r="I722" s="60">
        <f>SmtRes!AI215</f>
        <v>1.54</v>
      </c>
      <c r="J722" s="59">
        <f>ROUND(H722*I722, 2)</f>
        <v>2815.97</v>
      </c>
      <c r="K722" s="60"/>
      <c r="L722" s="59">
        <f>SmtRes!DF215</f>
        <v>175.04</v>
      </c>
    </row>
    <row r="723" spans="1:82" ht="15" x14ac:dyDescent="0.2">
      <c r="A723" s="48"/>
      <c r="B723" s="48"/>
      <c r="C723" s="62" t="s">
        <v>703</v>
      </c>
      <c r="D723" s="49"/>
      <c r="E723" s="50"/>
      <c r="F723" s="50"/>
      <c r="G723" s="50"/>
      <c r="H723" s="52"/>
      <c r="I723" s="51"/>
      <c r="J723" s="52"/>
      <c r="K723" s="51"/>
      <c r="L723" s="52">
        <f>L719+L721</f>
        <v>347.53999999999996</v>
      </c>
    </row>
    <row r="724" spans="1:82" ht="14.25" x14ac:dyDescent="0.2">
      <c r="A724" s="48"/>
      <c r="B724" s="48"/>
      <c r="C724" s="48" t="s">
        <v>706</v>
      </c>
      <c r="D724" s="49"/>
      <c r="E724" s="50"/>
      <c r="F724" s="50"/>
      <c r="G724" s="50"/>
      <c r="H724" s="52"/>
      <c r="I724" s="51"/>
      <c r="J724" s="52"/>
      <c r="K724" s="51"/>
      <c r="L724" s="52">
        <f>SUM(AR718:AR727)+SUM(AS718:AS727)+SUM(AT718:AT727)+SUM(AU718:AU727)+SUM(AV718:AV727)</f>
        <v>172.5</v>
      </c>
    </row>
    <row r="725" spans="1:82" ht="28.5" x14ac:dyDescent="0.2">
      <c r="A725" s="48"/>
      <c r="B725" s="48" t="s">
        <v>346</v>
      </c>
      <c r="C725" s="48" t="s">
        <v>822</v>
      </c>
      <c r="D725" s="49" t="s">
        <v>83</v>
      </c>
      <c r="E725" s="50">
        <f>Source!BZ194</f>
        <v>92</v>
      </c>
      <c r="F725" s="50"/>
      <c r="G725" s="50">
        <f>Source!AT194</f>
        <v>92</v>
      </c>
      <c r="H725" s="52"/>
      <c r="I725" s="51"/>
      <c r="J725" s="52"/>
      <c r="K725" s="51"/>
      <c r="L725" s="52">
        <f>SUM(AZ718:AZ727)</f>
        <v>158.69999999999999</v>
      </c>
    </row>
    <row r="726" spans="1:82" ht="28.5" x14ac:dyDescent="0.2">
      <c r="A726" s="56"/>
      <c r="B726" s="56" t="s">
        <v>347</v>
      </c>
      <c r="C726" s="56" t="s">
        <v>823</v>
      </c>
      <c r="D726" s="57" t="s">
        <v>83</v>
      </c>
      <c r="E726" s="58">
        <f>Source!CA194</f>
        <v>44</v>
      </c>
      <c r="F726" s="58"/>
      <c r="G726" s="58">
        <f>Source!AU194</f>
        <v>44</v>
      </c>
      <c r="H726" s="59"/>
      <c r="I726" s="60"/>
      <c r="J726" s="59"/>
      <c r="K726" s="60"/>
      <c r="L726" s="59">
        <f>SUM(BA718:BA727)</f>
        <v>75.900000000000006</v>
      </c>
    </row>
    <row r="727" spans="1:82" ht="15" x14ac:dyDescent="0.2">
      <c r="C727" s="131" t="s">
        <v>709</v>
      </c>
      <c r="D727" s="131"/>
      <c r="E727" s="131"/>
      <c r="F727" s="131"/>
      <c r="G727" s="131"/>
      <c r="H727" s="131"/>
      <c r="I727" s="132">
        <f>IF(E718&lt;&gt;0,K727/E718, 0)</f>
        <v>1873.0373230373229</v>
      </c>
      <c r="J727" s="132"/>
      <c r="K727" s="132">
        <f>L719+L721+L725+L726</f>
        <v>582.14</v>
      </c>
      <c r="L727" s="132"/>
      <c r="AD727">
        <f>ROUND((Source!AT194/100)*((ROUND(SUMIF(SmtRes!AQ214:'SmtRes'!AQ215,"=1",SmtRes!AD214:'SmtRes'!AD215)*Source!I194, 2)+ROUND(SUMIF(SmtRes!AQ214:'SmtRes'!AQ215,"=1",SmtRes!AC214:'SmtRes'!AC215)*Source!I194, 2))), 2)</f>
        <v>154.07</v>
      </c>
      <c r="AE727">
        <f>ROUND((Source!AU194/100)*((ROUND(SUMIF(SmtRes!AQ214:'SmtRes'!AQ215,"=1",SmtRes!AD214:'SmtRes'!AD215)*Source!I194, 2)+ROUND(SUMIF(SmtRes!AQ214:'SmtRes'!AQ215,"=1",SmtRes!AC214:'SmtRes'!AC215)*Source!I194, 2))), 2)</f>
        <v>73.69</v>
      </c>
      <c r="AN727" s="61">
        <f>L719+L721+L725+L726</f>
        <v>582.14</v>
      </c>
      <c r="AO727">
        <f>0</f>
        <v>0</v>
      </c>
      <c r="AQ727" t="s">
        <v>710</v>
      </c>
      <c r="AR727" s="61">
        <f>L719</f>
        <v>172.5</v>
      </c>
      <c r="AT727">
        <f>0</f>
        <v>0</v>
      </c>
      <c r="AV727" t="s">
        <v>710</v>
      </c>
      <c r="AW727" s="61">
        <f>L721</f>
        <v>175.04</v>
      </c>
      <c r="AZ727">
        <f>Source!X194</f>
        <v>158.69999999999999</v>
      </c>
      <c r="BA727">
        <f>Source!Y194</f>
        <v>75.900000000000006</v>
      </c>
      <c r="CD727">
        <v>1</v>
      </c>
    </row>
    <row r="728" spans="1:82" ht="42.75" x14ac:dyDescent="0.2">
      <c r="A728" s="76" t="s">
        <v>348</v>
      </c>
      <c r="B728" s="56" t="s">
        <v>349</v>
      </c>
      <c r="C728" s="56" t="str">
        <f>Source!G195</f>
        <v>Погрузка в автотранспортное средство: мусор строительный с погрузкой вручную</v>
      </c>
      <c r="D728" s="57" t="str">
        <f>Source!H195</f>
        <v>1т груза</v>
      </c>
      <c r="E728" s="58">
        <f>Source!K195</f>
        <v>0.31080000000000002</v>
      </c>
      <c r="F728" s="58"/>
      <c r="G728" s="58">
        <f>Source!I195</f>
        <v>0.31080000000000002</v>
      </c>
      <c r="H728" s="59"/>
      <c r="I728" s="60"/>
      <c r="J728" s="59">
        <f>Source!AK195</f>
        <v>1498.11</v>
      </c>
      <c r="K728" s="60"/>
      <c r="L728" s="59">
        <f>Source!HD195</f>
        <v>465.61</v>
      </c>
    </row>
    <row r="729" spans="1:82" ht="15" x14ac:dyDescent="0.2">
      <c r="C729" s="131" t="s">
        <v>709</v>
      </c>
      <c r="D729" s="131"/>
      <c r="E729" s="131"/>
      <c r="F729" s="131"/>
      <c r="G729" s="131"/>
      <c r="H729" s="131"/>
      <c r="I729" s="132">
        <f>IF(E728&lt;&gt;0,K729/E728, 0)</f>
        <v>1498.101673101673</v>
      </c>
      <c r="J729" s="132"/>
      <c r="K729" s="132">
        <f>L728</f>
        <v>465.61</v>
      </c>
      <c r="L729" s="132"/>
      <c r="AD729">
        <f>ROUND((Source!AT195/100)*((ROUND(0*Source!I195, 2)+ROUND(0*Source!I195, 2))), 2)</f>
        <v>0</v>
      </c>
      <c r="AE729">
        <f>ROUND((Source!AU195/100)*((ROUND(0*Source!I195, 2)+ROUND(0*Source!I195, 2))), 2)</f>
        <v>0</v>
      </c>
      <c r="AN729" s="61">
        <f>L728</f>
        <v>465.61</v>
      </c>
      <c r="AP729">
        <f>0</f>
        <v>0</v>
      </c>
      <c r="AQ729" t="s">
        <v>710</v>
      </c>
      <c r="AS729">
        <f>0</f>
        <v>0</v>
      </c>
      <c r="AU729">
        <f>0</f>
        <v>0</v>
      </c>
      <c r="AV729" t="s">
        <v>710</v>
      </c>
      <c r="AZ729">
        <f>Source!X195</f>
        <v>0</v>
      </c>
      <c r="BA729">
        <f>Source!Y195</f>
        <v>0</v>
      </c>
      <c r="BB729" s="61">
        <f>L728</f>
        <v>465.61</v>
      </c>
      <c r="CD729">
        <v>1</v>
      </c>
    </row>
    <row r="730" spans="1:82" ht="128.25" x14ac:dyDescent="0.2">
      <c r="A730" s="76" t="s">
        <v>356</v>
      </c>
      <c r="B730" s="56" t="s">
        <v>357</v>
      </c>
      <c r="C730" s="56" t="str">
        <f>Source!G196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v>
      </c>
      <c r="D730" s="57" t="str">
        <f>Source!H196</f>
        <v>1т груза</v>
      </c>
      <c r="E730" s="58">
        <f>Source!K196</f>
        <v>0.31080000000000002</v>
      </c>
      <c r="F730" s="58"/>
      <c r="G730" s="58">
        <f>Source!I196</f>
        <v>0.31080000000000002</v>
      </c>
      <c r="H730" s="59"/>
      <c r="I730" s="60"/>
      <c r="J730" s="59">
        <f>Source!AK196</f>
        <v>530.41</v>
      </c>
      <c r="K730" s="60"/>
      <c r="L730" s="59">
        <f>Source!HD196</f>
        <v>164.85</v>
      </c>
    </row>
    <row r="731" spans="1:82" ht="15" x14ac:dyDescent="0.2">
      <c r="C731" s="131" t="s">
        <v>709</v>
      </c>
      <c r="D731" s="131"/>
      <c r="E731" s="131"/>
      <c r="F731" s="131"/>
      <c r="G731" s="131"/>
      <c r="H731" s="131"/>
      <c r="I731" s="132">
        <f>IF(E730&lt;&gt;0,K731/E730, 0)</f>
        <v>530.4054054054053</v>
      </c>
      <c r="J731" s="132"/>
      <c r="K731" s="132">
        <f>L730</f>
        <v>164.85</v>
      </c>
      <c r="L731" s="132"/>
      <c r="AD731">
        <f>ROUND((Source!AT196/100)*((ROUND(0*Source!I196, 2)+ROUND(0*Source!I196, 2))), 2)</f>
        <v>0</v>
      </c>
      <c r="AE731">
        <f>ROUND((Source!AU196/100)*((ROUND(0*Source!I196, 2)+ROUND(0*Source!I196, 2))), 2)</f>
        <v>0</v>
      </c>
      <c r="AN731" s="61">
        <f>L730</f>
        <v>164.85</v>
      </c>
      <c r="AP731">
        <f>0</f>
        <v>0</v>
      </c>
      <c r="AQ731" t="s">
        <v>710</v>
      </c>
      <c r="AS731">
        <f>0</f>
        <v>0</v>
      </c>
      <c r="AU731">
        <f>0</f>
        <v>0</v>
      </c>
      <c r="AV731" t="s">
        <v>710</v>
      </c>
      <c r="AZ731">
        <f>Source!X196</f>
        <v>0</v>
      </c>
      <c r="BA731">
        <f>Source!Y196</f>
        <v>0</v>
      </c>
      <c r="BB731" s="61">
        <f>L730</f>
        <v>164.85</v>
      </c>
      <c r="CD731">
        <v>1</v>
      </c>
    </row>
    <row r="733" spans="1:82" ht="15" x14ac:dyDescent="0.2">
      <c r="A733" s="67"/>
      <c r="B733" s="68"/>
      <c r="C733" s="134" t="s">
        <v>733</v>
      </c>
      <c r="D733" s="134"/>
      <c r="E733" s="134"/>
      <c r="F733" s="134"/>
      <c r="G733" s="134"/>
      <c r="H733" s="134"/>
      <c r="I733" s="55"/>
      <c r="J733" s="67"/>
      <c r="K733" s="69"/>
      <c r="L733" s="55">
        <f>L735+L736+L742+L746</f>
        <v>978</v>
      </c>
    </row>
    <row r="734" spans="1:82" ht="14.25" x14ac:dyDescent="0.2">
      <c r="A734" s="63"/>
      <c r="B734" s="66"/>
      <c r="C734" s="135" t="s">
        <v>734</v>
      </c>
      <c r="D734" s="136"/>
      <c r="E734" s="136"/>
      <c r="F734" s="136"/>
      <c r="G734" s="136"/>
      <c r="H734" s="136"/>
      <c r="I734" s="52"/>
      <c r="J734" s="63"/>
      <c r="K734" s="50"/>
      <c r="L734" s="52"/>
    </row>
    <row r="735" spans="1:82" ht="14.25" x14ac:dyDescent="0.2">
      <c r="A735" s="63"/>
      <c r="B735" s="66"/>
      <c r="C735" s="136" t="s">
        <v>735</v>
      </c>
      <c r="D735" s="136"/>
      <c r="E735" s="136"/>
      <c r="F735" s="136"/>
      <c r="G735" s="136"/>
      <c r="H735" s="136"/>
      <c r="I735" s="52"/>
      <c r="J735" s="63"/>
      <c r="K735" s="50"/>
      <c r="L735" s="52">
        <f>SUM(AR717:AR731)</f>
        <v>172.5</v>
      </c>
    </row>
    <row r="736" spans="1:82" ht="14.25" hidden="1" x14ac:dyDescent="0.2">
      <c r="A736" s="63"/>
      <c r="B736" s="66"/>
      <c r="C736" s="136" t="s">
        <v>736</v>
      </c>
      <c r="D736" s="136"/>
      <c r="E736" s="136"/>
      <c r="F736" s="136"/>
      <c r="G736" s="136"/>
      <c r="H736" s="136"/>
      <c r="I736" s="52"/>
      <c r="J736" s="63"/>
      <c r="K736" s="50"/>
      <c r="L736" s="52">
        <f>L738+L741+L740</f>
        <v>0</v>
      </c>
    </row>
    <row r="737" spans="1:12" ht="14.25" hidden="1" x14ac:dyDescent="0.2">
      <c r="A737" s="63"/>
      <c r="B737" s="66"/>
      <c r="C737" s="135" t="s">
        <v>737</v>
      </c>
      <c r="D737" s="136"/>
      <c r="E737" s="136"/>
      <c r="F737" s="136"/>
      <c r="G737" s="136"/>
      <c r="H737" s="136"/>
      <c r="I737" s="52"/>
      <c r="J737" s="63"/>
      <c r="K737" s="50"/>
      <c r="L737" s="52"/>
    </row>
    <row r="738" spans="1:12" ht="14.25" hidden="1" x14ac:dyDescent="0.2">
      <c r="A738" s="63"/>
      <c r="B738" s="66"/>
      <c r="C738" s="136" t="s">
        <v>736</v>
      </c>
      <c r="D738" s="136"/>
      <c r="E738" s="136"/>
      <c r="F738" s="136"/>
      <c r="G738" s="136"/>
      <c r="H738" s="136"/>
      <c r="I738" s="52"/>
      <c r="J738" s="63"/>
      <c r="K738" s="50"/>
      <c r="L738" s="52">
        <f>SUM(AO717:AO731)</f>
        <v>0</v>
      </c>
    </row>
    <row r="739" spans="1:12" ht="14.25" hidden="1" x14ac:dyDescent="0.2">
      <c r="A739" s="63"/>
      <c r="B739" s="66"/>
      <c r="C739" s="135" t="s">
        <v>738</v>
      </c>
      <c r="D739" s="136"/>
      <c r="E739" s="136"/>
      <c r="F739" s="136"/>
      <c r="G739" s="136"/>
      <c r="H739" s="136"/>
      <c r="I739" s="52"/>
      <c r="J739" s="63"/>
      <c r="K739" s="50"/>
      <c r="L739" s="52"/>
    </row>
    <row r="740" spans="1:12" ht="14.25" hidden="1" x14ac:dyDescent="0.2">
      <c r="A740" s="63"/>
      <c r="B740" s="66"/>
      <c r="C740" s="136" t="s">
        <v>758</v>
      </c>
      <c r="D740" s="136"/>
      <c r="E740" s="136"/>
      <c r="F740" s="136"/>
      <c r="G740" s="136"/>
      <c r="H740" s="136"/>
      <c r="I740" s="52"/>
      <c r="J740" s="63"/>
      <c r="K740" s="50"/>
      <c r="L740" s="52">
        <f>SUM(AT717:AT731)</f>
        <v>0</v>
      </c>
    </row>
    <row r="741" spans="1:12" ht="14.25" hidden="1" x14ac:dyDescent="0.2">
      <c r="A741" s="63"/>
      <c r="B741" s="66"/>
      <c r="C741" s="136" t="s">
        <v>739</v>
      </c>
      <c r="D741" s="136"/>
      <c r="E741" s="136"/>
      <c r="F741" s="136"/>
      <c r="G741" s="136"/>
      <c r="H741" s="136"/>
      <c r="I741" s="52"/>
      <c r="J741" s="63"/>
      <c r="K741" s="50"/>
      <c r="L741" s="52">
        <f>SUM(AV717:AV731)</f>
        <v>0</v>
      </c>
    </row>
    <row r="742" spans="1:12" ht="14.25" x14ac:dyDescent="0.2">
      <c r="A742" s="63"/>
      <c r="B742" s="66"/>
      <c r="C742" s="136" t="s">
        <v>740</v>
      </c>
      <c r="D742" s="136"/>
      <c r="E742" s="136"/>
      <c r="F742" s="136"/>
      <c r="G742" s="136"/>
      <c r="H742" s="136"/>
      <c r="I742" s="52"/>
      <c r="J742" s="63"/>
      <c r="K742" s="50"/>
      <c r="L742" s="52">
        <f>L744+L745</f>
        <v>175.04</v>
      </c>
    </row>
    <row r="743" spans="1:12" ht="14.25" x14ac:dyDescent="0.2">
      <c r="A743" s="63"/>
      <c r="B743" s="66"/>
      <c r="C743" s="135" t="s">
        <v>737</v>
      </c>
      <c r="D743" s="136"/>
      <c r="E743" s="136"/>
      <c r="F743" s="136"/>
      <c r="G743" s="136"/>
      <c r="H743" s="136"/>
      <c r="I743" s="52"/>
      <c r="J743" s="63"/>
      <c r="K743" s="50"/>
      <c r="L743" s="52"/>
    </row>
    <row r="744" spans="1:12" ht="14.25" x14ac:dyDescent="0.2">
      <c r="A744" s="63"/>
      <c r="B744" s="66"/>
      <c r="C744" s="136" t="s">
        <v>741</v>
      </c>
      <c r="D744" s="136"/>
      <c r="E744" s="136"/>
      <c r="F744" s="136"/>
      <c r="G744" s="136"/>
      <c r="H744" s="136"/>
      <c r="I744" s="52"/>
      <c r="J744" s="63"/>
      <c r="K744" s="50"/>
      <c r="L744" s="52">
        <f>SUM(AW717:AW731)-SUM(BK717:BK731)</f>
        <v>175.04</v>
      </c>
    </row>
    <row r="745" spans="1:12" ht="14.25" hidden="1" x14ac:dyDescent="0.2">
      <c r="A745" s="63"/>
      <c r="B745" s="66"/>
      <c r="C745" s="136" t="s">
        <v>742</v>
      </c>
      <c r="D745" s="136"/>
      <c r="E745" s="136"/>
      <c r="F745" s="136"/>
      <c r="G745" s="136"/>
      <c r="H745" s="136"/>
      <c r="I745" s="52"/>
      <c r="J745" s="63"/>
      <c r="K745" s="50"/>
      <c r="L745" s="52">
        <f>SUM(BC717:BC731)</f>
        <v>0</v>
      </c>
    </row>
    <row r="746" spans="1:12" ht="14.25" x14ac:dyDescent="0.2">
      <c r="A746" s="63"/>
      <c r="B746" s="66"/>
      <c r="C746" s="136" t="s">
        <v>743</v>
      </c>
      <c r="D746" s="136"/>
      <c r="E746" s="136"/>
      <c r="F746" s="136"/>
      <c r="G746" s="136"/>
      <c r="H746" s="136"/>
      <c r="I746" s="52"/>
      <c r="J746" s="63"/>
      <c r="K746" s="50"/>
      <c r="L746" s="52">
        <f>SUM(BB717:BB731)</f>
        <v>630.46</v>
      </c>
    </row>
    <row r="747" spans="1:12" ht="14.25" x14ac:dyDescent="0.2">
      <c r="A747" s="63"/>
      <c r="B747" s="66"/>
      <c r="C747" s="136" t="s">
        <v>744</v>
      </c>
      <c r="D747" s="136"/>
      <c r="E747" s="136"/>
      <c r="F747" s="136"/>
      <c r="G747" s="136"/>
      <c r="H747" s="136"/>
      <c r="I747" s="52"/>
      <c r="J747" s="63"/>
      <c r="K747" s="50"/>
      <c r="L747" s="52">
        <f>SUM(AR717:AR731)+SUM(AT717:AT731)+SUM(AV717:AV731)</f>
        <v>172.5</v>
      </c>
    </row>
    <row r="748" spans="1:12" ht="14.25" x14ac:dyDescent="0.2">
      <c r="A748" s="63"/>
      <c r="B748" s="66"/>
      <c r="C748" s="136" t="s">
        <v>745</v>
      </c>
      <c r="D748" s="136"/>
      <c r="E748" s="136"/>
      <c r="F748" s="136"/>
      <c r="G748" s="136"/>
      <c r="H748" s="136"/>
      <c r="I748" s="52"/>
      <c r="J748" s="63"/>
      <c r="K748" s="50"/>
      <c r="L748" s="52">
        <f>SUM(AZ717:AZ731)</f>
        <v>158.69999999999999</v>
      </c>
    </row>
    <row r="749" spans="1:12" ht="14.25" x14ac:dyDescent="0.2">
      <c r="A749" s="63"/>
      <c r="B749" s="66"/>
      <c r="C749" s="136" t="s">
        <v>746</v>
      </c>
      <c r="D749" s="136"/>
      <c r="E749" s="136"/>
      <c r="F749" s="136"/>
      <c r="G749" s="136"/>
      <c r="H749" s="136"/>
      <c r="I749" s="52"/>
      <c r="J749" s="63"/>
      <c r="K749" s="50"/>
      <c r="L749" s="52">
        <f>SUM(BA717:BA731)</f>
        <v>75.900000000000006</v>
      </c>
    </row>
    <row r="750" spans="1:12" ht="14.25" hidden="1" x14ac:dyDescent="0.2">
      <c r="A750" s="63"/>
      <c r="B750" s="66"/>
      <c r="C750" s="136" t="s">
        <v>747</v>
      </c>
      <c r="D750" s="136"/>
      <c r="E750" s="136"/>
      <c r="F750" s="136"/>
      <c r="G750" s="136"/>
      <c r="H750" s="136"/>
      <c r="I750" s="52"/>
      <c r="J750" s="63"/>
      <c r="K750" s="50"/>
      <c r="L750" s="52">
        <f>L752+L753</f>
        <v>0</v>
      </c>
    </row>
    <row r="751" spans="1:12" ht="14.25" hidden="1" x14ac:dyDescent="0.2">
      <c r="A751" s="63"/>
      <c r="B751" s="66"/>
      <c r="C751" s="135" t="s">
        <v>734</v>
      </c>
      <c r="D751" s="136"/>
      <c r="E751" s="136"/>
      <c r="F751" s="136"/>
      <c r="G751" s="136"/>
      <c r="H751" s="136"/>
      <c r="I751" s="52"/>
      <c r="J751" s="63"/>
      <c r="K751" s="50"/>
      <c r="L751" s="52"/>
    </row>
    <row r="752" spans="1:12" ht="14.25" hidden="1" x14ac:dyDescent="0.2">
      <c r="A752" s="63"/>
      <c r="B752" s="66"/>
      <c r="C752" s="136" t="s">
        <v>748</v>
      </c>
      <c r="D752" s="136"/>
      <c r="E752" s="136"/>
      <c r="F752" s="136"/>
      <c r="G752" s="136"/>
      <c r="H752" s="136"/>
      <c r="I752" s="52"/>
      <c r="J752" s="63"/>
      <c r="K752" s="50"/>
      <c r="L752" s="52">
        <f>SUM(BK717:BK731)</f>
        <v>0</v>
      </c>
    </row>
    <row r="753" spans="1:12" ht="14.25" hidden="1" x14ac:dyDescent="0.2">
      <c r="A753" s="63"/>
      <c r="B753" s="66"/>
      <c r="C753" s="136" t="s">
        <v>749</v>
      </c>
      <c r="D753" s="136"/>
      <c r="E753" s="136"/>
      <c r="F753" s="136"/>
      <c r="G753" s="136"/>
      <c r="H753" s="136"/>
      <c r="I753" s="52"/>
      <c r="J753" s="63"/>
      <c r="K753" s="50"/>
      <c r="L753" s="52">
        <f>SUM(BD717:BD731)</f>
        <v>0</v>
      </c>
    </row>
    <row r="754" spans="1:12" ht="14.25" hidden="1" x14ac:dyDescent="0.2">
      <c r="A754" s="63"/>
      <c r="B754" s="66"/>
      <c r="C754" s="136" t="s">
        <v>750</v>
      </c>
      <c r="D754" s="136"/>
      <c r="E754" s="136"/>
      <c r="F754" s="136"/>
      <c r="G754" s="136"/>
      <c r="H754" s="136"/>
      <c r="I754" s="52"/>
      <c r="J754" s="63"/>
      <c r="K754" s="50"/>
      <c r="L754" s="52"/>
    </row>
    <row r="755" spans="1:12" ht="14.25" hidden="1" x14ac:dyDescent="0.2">
      <c r="A755" s="63"/>
      <c r="B755" s="66"/>
      <c r="C755" s="136" t="s">
        <v>750</v>
      </c>
      <c r="D755" s="136"/>
      <c r="E755" s="136"/>
      <c r="F755" s="136"/>
      <c r="G755" s="136"/>
      <c r="H755" s="136"/>
      <c r="I755" s="52"/>
      <c r="J755" s="63"/>
      <c r="K755" s="50"/>
      <c r="L755" s="52">
        <f>SUM(BQ717:BQ731)</f>
        <v>0</v>
      </c>
    </row>
    <row r="756" spans="1:12" ht="14.25" hidden="1" x14ac:dyDescent="0.2">
      <c r="A756" s="63"/>
      <c r="B756" s="66"/>
      <c r="C756" s="136" t="s">
        <v>751</v>
      </c>
      <c r="D756" s="136"/>
      <c r="E756" s="136"/>
      <c r="F756" s="136"/>
      <c r="G756" s="136"/>
      <c r="H756" s="136"/>
      <c r="I756" s="52"/>
      <c r="J756" s="63"/>
      <c r="K756" s="50"/>
      <c r="L756" s="52">
        <f>SUM(BO717:BO731)</f>
        <v>0</v>
      </c>
    </row>
    <row r="757" spans="1:12" ht="15" x14ac:dyDescent="0.2">
      <c r="A757" s="67"/>
      <c r="B757" s="68"/>
      <c r="C757" s="134" t="s">
        <v>752</v>
      </c>
      <c r="D757" s="134"/>
      <c r="E757" s="134"/>
      <c r="F757" s="134"/>
      <c r="G757" s="134"/>
      <c r="H757" s="134"/>
      <c r="I757" s="55"/>
      <c r="J757" s="67"/>
      <c r="K757" s="69"/>
      <c r="L757" s="55">
        <f>L733+L748+L749+L750+L755+L756</f>
        <v>1212.6000000000001</v>
      </c>
    </row>
    <row r="758" spans="1:12" ht="14.25" x14ac:dyDescent="0.2">
      <c r="A758" s="63"/>
      <c r="B758" s="66"/>
      <c r="C758" s="135" t="s">
        <v>753</v>
      </c>
      <c r="D758" s="136"/>
      <c r="E758" s="136"/>
      <c r="F758" s="136"/>
      <c r="G758" s="136"/>
      <c r="H758" s="136"/>
      <c r="I758" s="52"/>
      <c r="J758" s="63"/>
      <c r="K758" s="50"/>
      <c r="L758" s="52"/>
    </row>
    <row r="759" spans="1:12" ht="14.25" hidden="1" x14ac:dyDescent="0.2">
      <c r="A759" s="63"/>
      <c r="B759" s="66"/>
      <c r="C759" s="136" t="s">
        <v>754</v>
      </c>
      <c r="D759" s="136"/>
      <c r="E759" s="136"/>
      <c r="F759" s="136"/>
      <c r="G759" s="136"/>
      <c r="H759" s="136"/>
      <c r="I759" s="52"/>
      <c r="J759" s="63"/>
      <c r="K759" s="50"/>
      <c r="L759" s="52">
        <f>SUM(AX717:AX731)</f>
        <v>0</v>
      </c>
    </row>
    <row r="760" spans="1:12" ht="14.25" hidden="1" x14ac:dyDescent="0.2">
      <c r="A760" s="63"/>
      <c r="B760" s="66"/>
      <c r="C760" s="136" t="s">
        <v>755</v>
      </c>
      <c r="D760" s="136"/>
      <c r="E760" s="136"/>
      <c r="F760" s="136"/>
      <c r="G760" s="136"/>
      <c r="H760" s="136"/>
      <c r="I760" s="52"/>
      <c r="J760" s="63"/>
      <c r="K760" s="50"/>
      <c r="L760" s="52">
        <f>SUM(AY717:AY731)</f>
        <v>0</v>
      </c>
    </row>
    <row r="761" spans="1:12" ht="14.25" x14ac:dyDescent="0.2">
      <c r="A761" s="63"/>
      <c r="B761" s="66"/>
      <c r="C761" s="136" t="s">
        <v>756</v>
      </c>
      <c r="D761" s="136"/>
      <c r="E761" s="136"/>
      <c r="F761" s="137"/>
      <c r="G761" s="54">
        <f>Source!F220</f>
        <v>0.32012400000000002</v>
      </c>
      <c r="H761" s="63"/>
      <c r="I761" s="63"/>
      <c r="J761" s="63"/>
      <c r="K761" s="63"/>
      <c r="L761" s="63"/>
    </row>
    <row r="762" spans="1:12" ht="13.9" hidden="1" customHeight="1" x14ac:dyDescent="0.2">
      <c r="A762" s="63"/>
      <c r="B762" s="66"/>
      <c r="C762" s="136" t="s">
        <v>757</v>
      </c>
      <c r="D762" s="136"/>
      <c r="E762" s="136"/>
      <c r="F762" s="137"/>
      <c r="G762" s="54">
        <f>Source!F221</f>
        <v>0</v>
      </c>
      <c r="H762" s="63"/>
      <c r="I762" s="63"/>
      <c r="J762" s="63"/>
      <c r="K762" s="63"/>
      <c r="L762" s="63"/>
    </row>
    <row r="765" spans="1:12" ht="15" x14ac:dyDescent="0.2">
      <c r="A765" s="77"/>
      <c r="B765" s="78"/>
      <c r="C765" s="138" t="s">
        <v>824</v>
      </c>
      <c r="D765" s="138"/>
      <c r="E765" s="138"/>
      <c r="F765" s="138"/>
      <c r="G765" s="138"/>
      <c r="H765" s="138"/>
      <c r="I765" s="79"/>
      <c r="J765" s="77"/>
      <c r="K765" s="80"/>
      <c r="L765" s="79"/>
    </row>
    <row r="767" spans="1:12" ht="15" x14ac:dyDescent="0.2">
      <c r="A767" s="67"/>
      <c r="B767" s="68"/>
      <c r="C767" s="134" t="s">
        <v>825</v>
      </c>
      <c r="D767" s="134"/>
      <c r="E767" s="134"/>
      <c r="F767" s="134"/>
      <c r="G767" s="134"/>
      <c r="H767" s="134"/>
      <c r="I767" s="55"/>
      <c r="J767" s="67"/>
      <c r="K767" s="69"/>
      <c r="L767" s="55">
        <f>L769+L784+L785</f>
        <v>358004.47999999998</v>
      </c>
    </row>
    <row r="768" spans="1:12" ht="14.25" x14ac:dyDescent="0.2">
      <c r="A768" s="63"/>
      <c r="B768" s="66"/>
      <c r="C768" s="135" t="s">
        <v>734</v>
      </c>
      <c r="D768" s="136"/>
      <c r="E768" s="136"/>
      <c r="F768" s="136"/>
      <c r="G768" s="136"/>
      <c r="H768" s="136"/>
      <c r="I768" s="52"/>
      <c r="J768" s="63"/>
      <c r="K768" s="50"/>
      <c r="L768" s="52"/>
    </row>
    <row r="769" spans="1:12" ht="14.25" x14ac:dyDescent="0.2">
      <c r="A769" s="63"/>
      <c r="B769" s="66"/>
      <c r="C769" s="136" t="s">
        <v>826</v>
      </c>
      <c r="D769" s="136"/>
      <c r="E769" s="136"/>
      <c r="F769" s="136"/>
      <c r="G769" s="136"/>
      <c r="H769" s="136"/>
      <c r="I769" s="52"/>
      <c r="J769" s="63"/>
      <c r="K769" s="50"/>
      <c r="L769" s="52">
        <f>L771+L772+L778+L782</f>
        <v>194180.39</v>
      </c>
    </row>
    <row r="770" spans="1:12" ht="14.25" x14ac:dyDescent="0.2">
      <c r="A770" s="63"/>
      <c r="B770" s="66"/>
      <c r="C770" s="135" t="s">
        <v>734</v>
      </c>
      <c r="D770" s="136"/>
      <c r="E770" s="136"/>
      <c r="F770" s="136"/>
      <c r="G770" s="136"/>
      <c r="H770" s="136"/>
      <c r="I770" s="52"/>
      <c r="J770" s="63"/>
      <c r="K770" s="50"/>
      <c r="L770" s="52"/>
    </row>
    <row r="771" spans="1:12" ht="14.25" x14ac:dyDescent="0.2">
      <c r="A771" s="63"/>
      <c r="B771" s="66"/>
      <c r="C771" s="136" t="s">
        <v>827</v>
      </c>
      <c r="D771" s="136"/>
      <c r="E771" s="136"/>
      <c r="F771" s="136"/>
      <c r="G771" s="136"/>
      <c r="H771" s="136"/>
      <c r="I771" s="52"/>
      <c r="J771" s="63"/>
      <c r="K771" s="50"/>
      <c r="L771" s="52">
        <f>SUMIF(CD52:CD763, 1, AR52:AR763)</f>
        <v>102803.17000000001</v>
      </c>
    </row>
    <row r="772" spans="1:12" ht="14.25" hidden="1" x14ac:dyDescent="0.2">
      <c r="A772" s="63"/>
      <c r="B772" s="66"/>
      <c r="C772" s="136" t="s">
        <v>736</v>
      </c>
      <c r="D772" s="136"/>
      <c r="E772" s="136"/>
      <c r="F772" s="136"/>
      <c r="G772" s="136"/>
      <c r="H772" s="136"/>
      <c r="I772" s="52"/>
      <c r="J772" s="63"/>
      <c r="K772" s="50"/>
      <c r="L772" s="52">
        <f>L774+L777+L776</f>
        <v>1129.8100000000002</v>
      </c>
    </row>
    <row r="773" spans="1:12" ht="14.25" hidden="1" x14ac:dyDescent="0.2">
      <c r="A773" s="63"/>
      <c r="B773" s="66"/>
      <c r="C773" s="135" t="s">
        <v>737</v>
      </c>
      <c r="D773" s="136"/>
      <c r="E773" s="136"/>
      <c r="F773" s="136"/>
      <c r="G773" s="136"/>
      <c r="H773" s="136"/>
      <c r="I773" s="52"/>
      <c r="J773" s="63"/>
      <c r="K773" s="50"/>
      <c r="L773" s="52"/>
    </row>
    <row r="774" spans="1:12" ht="14.25" x14ac:dyDescent="0.2">
      <c r="A774" s="63"/>
      <c r="B774" s="66"/>
      <c r="C774" s="136" t="s">
        <v>736</v>
      </c>
      <c r="D774" s="136"/>
      <c r="E774" s="136"/>
      <c r="F774" s="136"/>
      <c r="G774" s="136"/>
      <c r="H774" s="136"/>
      <c r="I774" s="52"/>
      <c r="J774" s="63"/>
      <c r="K774" s="50"/>
      <c r="L774" s="52">
        <f>SUMIF(CD52:CD763, 1, AO52:AO763)</f>
        <v>749.46</v>
      </c>
    </row>
    <row r="775" spans="1:12" ht="14.25" hidden="1" x14ac:dyDescent="0.2">
      <c r="A775" s="63"/>
      <c r="B775" s="66"/>
      <c r="C775" s="135" t="s">
        <v>738</v>
      </c>
      <c r="D775" s="136"/>
      <c r="E775" s="136"/>
      <c r="F775" s="136"/>
      <c r="G775" s="136"/>
      <c r="H775" s="136"/>
      <c r="I775" s="52"/>
      <c r="J775" s="63"/>
      <c r="K775" s="50"/>
      <c r="L775" s="52"/>
    </row>
    <row r="776" spans="1:12" ht="14.25" x14ac:dyDescent="0.2">
      <c r="A776" s="63"/>
      <c r="B776" s="66"/>
      <c r="C776" s="136" t="s">
        <v>758</v>
      </c>
      <c r="D776" s="136"/>
      <c r="E776" s="136"/>
      <c r="F776" s="136"/>
      <c r="G776" s="136"/>
      <c r="H776" s="136"/>
      <c r="I776" s="52"/>
      <c r="J776" s="63"/>
      <c r="K776" s="50"/>
      <c r="L776" s="52">
        <f>SUMIF(CD52:CD763, 1, AT52:AT763)</f>
        <v>380.35000000000008</v>
      </c>
    </row>
    <row r="777" spans="1:12" ht="14.25" hidden="1" x14ac:dyDescent="0.2">
      <c r="A777" s="63"/>
      <c r="B777" s="66"/>
      <c r="C777" s="136" t="s">
        <v>739</v>
      </c>
      <c r="D777" s="136"/>
      <c r="E777" s="136"/>
      <c r="F777" s="136"/>
      <c r="G777" s="136"/>
      <c r="H777" s="136"/>
      <c r="I777" s="52"/>
      <c r="J777" s="63"/>
      <c r="K777" s="50"/>
      <c r="L777" s="52">
        <f>SUMIF(CD52:CD763, 1, AV52:AV763)</f>
        <v>0</v>
      </c>
    </row>
    <row r="778" spans="1:12" ht="14.25" x14ac:dyDescent="0.2">
      <c r="A778" s="63"/>
      <c r="B778" s="66"/>
      <c r="C778" s="136" t="s">
        <v>740</v>
      </c>
      <c r="D778" s="136"/>
      <c r="E778" s="136"/>
      <c r="F778" s="136"/>
      <c r="G778" s="136"/>
      <c r="H778" s="136"/>
      <c r="I778" s="52"/>
      <c r="J778" s="63"/>
      <c r="K778" s="50"/>
      <c r="L778" s="52">
        <f>L780+L781</f>
        <v>89616.950000000012</v>
      </c>
    </row>
    <row r="779" spans="1:12" ht="14.25" x14ac:dyDescent="0.2">
      <c r="A779" s="63"/>
      <c r="B779" s="66"/>
      <c r="C779" s="135" t="s">
        <v>737</v>
      </c>
      <c r="D779" s="136"/>
      <c r="E779" s="136"/>
      <c r="F779" s="136"/>
      <c r="G779" s="136"/>
      <c r="H779" s="136"/>
      <c r="I779" s="52"/>
      <c r="J779" s="63"/>
      <c r="K779" s="50"/>
      <c r="L779" s="52"/>
    </row>
    <row r="780" spans="1:12" ht="14.25" x14ac:dyDescent="0.2">
      <c r="A780" s="63"/>
      <c r="B780" s="66"/>
      <c r="C780" s="136" t="s">
        <v>741</v>
      </c>
      <c r="D780" s="136"/>
      <c r="E780" s="136"/>
      <c r="F780" s="136"/>
      <c r="G780" s="136"/>
      <c r="H780" s="136"/>
      <c r="I780" s="52"/>
      <c r="J780" s="63"/>
      <c r="K780" s="50"/>
      <c r="L780" s="52">
        <f>SUMIF(CD52:CD763, 1, AW52:AW763)-SUMIF(CD52:CD763, 1, BK52:BK763)</f>
        <v>89616.950000000012</v>
      </c>
    </row>
    <row r="781" spans="1:12" ht="14.25" hidden="1" x14ac:dyDescent="0.2">
      <c r="A781" s="63"/>
      <c r="B781" s="66"/>
      <c r="C781" s="136" t="s">
        <v>742</v>
      </c>
      <c r="D781" s="136"/>
      <c r="E781" s="136"/>
      <c r="F781" s="136"/>
      <c r="G781" s="136"/>
      <c r="H781" s="136"/>
      <c r="I781" s="52"/>
      <c r="J781" s="63"/>
      <c r="K781" s="50"/>
      <c r="L781" s="52">
        <f>SUMIF(CD52:CD763, 1, BC52:BC763)</f>
        <v>0</v>
      </c>
    </row>
    <row r="782" spans="1:12" ht="14.25" x14ac:dyDescent="0.2">
      <c r="A782" s="63"/>
      <c r="B782" s="66"/>
      <c r="C782" s="136" t="s">
        <v>743</v>
      </c>
      <c r="D782" s="136"/>
      <c r="E782" s="136"/>
      <c r="F782" s="136"/>
      <c r="G782" s="136"/>
      <c r="H782" s="136"/>
      <c r="I782" s="52"/>
      <c r="J782" s="63"/>
      <c r="K782" s="50"/>
      <c r="L782" s="52">
        <f>SUMIF(CD52:CD763, 1, BB52:BB763)</f>
        <v>630.46</v>
      </c>
    </row>
    <row r="783" spans="1:12" ht="14.25" x14ac:dyDescent="0.2">
      <c r="A783" s="63"/>
      <c r="B783" s="66"/>
      <c r="C783" s="136" t="s">
        <v>828</v>
      </c>
      <c r="D783" s="136"/>
      <c r="E783" s="136"/>
      <c r="F783" s="136"/>
      <c r="G783" s="136"/>
      <c r="H783" s="136"/>
      <c r="I783" s="52"/>
      <c r="J783" s="63"/>
      <c r="K783" s="50"/>
      <c r="L783" s="52">
        <f>SUMIF(CD52:CD763, 1, AR52:AR763)+SUMIF(CD52:CD763, 1, AT52:AT763)+SUMIF(CD52:CD763, 1, AV52:AV763)</f>
        <v>103183.52000000002</v>
      </c>
    </row>
    <row r="784" spans="1:12" ht="14.25" x14ac:dyDescent="0.2">
      <c r="A784" s="63"/>
      <c r="B784" s="66"/>
      <c r="C784" s="136" t="s">
        <v>829</v>
      </c>
      <c r="D784" s="136"/>
      <c r="E784" s="136"/>
      <c r="F784" s="136"/>
      <c r="G784" s="136"/>
      <c r="H784" s="136"/>
      <c r="I784" s="52"/>
      <c r="J784" s="63"/>
      <c r="K784" s="50"/>
      <c r="L784" s="52">
        <f>SUMIF(CD52:CD763, 1, AZ52:AZ763)</f>
        <v>107236.23</v>
      </c>
    </row>
    <row r="785" spans="1:12" ht="14.25" x14ac:dyDescent="0.2">
      <c r="A785" s="63"/>
      <c r="B785" s="66"/>
      <c r="C785" s="136" t="s">
        <v>830</v>
      </c>
      <c r="D785" s="136"/>
      <c r="E785" s="136"/>
      <c r="F785" s="136"/>
      <c r="G785" s="136"/>
      <c r="H785" s="136"/>
      <c r="I785" s="52"/>
      <c r="J785" s="63"/>
      <c r="K785" s="50"/>
      <c r="L785" s="52">
        <f>SUMIF(CD52:CD763, 1, BA52:BA763)</f>
        <v>56587.860000000008</v>
      </c>
    </row>
    <row r="787" spans="1:12" ht="15" x14ac:dyDescent="0.2">
      <c r="A787" s="67"/>
      <c r="B787" s="68"/>
      <c r="C787" s="134" t="s">
        <v>831</v>
      </c>
      <c r="D787" s="134"/>
      <c r="E787" s="134"/>
      <c r="F787" s="134"/>
      <c r="G787" s="134"/>
      <c r="H787" s="134"/>
      <c r="I787" s="55"/>
      <c r="J787" s="67"/>
      <c r="K787" s="69"/>
      <c r="L787" s="55">
        <f>L789+L804+L805</f>
        <v>87041.14</v>
      </c>
    </row>
    <row r="788" spans="1:12" ht="14.25" x14ac:dyDescent="0.2">
      <c r="A788" s="63"/>
      <c r="B788" s="66"/>
      <c r="C788" s="135" t="s">
        <v>734</v>
      </c>
      <c r="D788" s="136"/>
      <c r="E788" s="136"/>
      <c r="F788" s="136"/>
      <c r="G788" s="136"/>
      <c r="H788" s="136"/>
      <c r="I788" s="52"/>
      <c r="J788" s="63"/>
      <c r="K788" s="50"/>
      <c r="L788" s="52"/>
    </row>
    <row r="789" spans="1:12" ht="14.25" x14ac:dyDescent="0.2">
      <c r="A789" s="63"/>
      <c r="B789" s="66"/>
      <c r="C789" s="136" t="s">
        <v>826</v>
      </c>
      <c r="D789" s="136"/>
      <c r="E789" s="136"/>
      <c r="F789" s="136"/>
      <c r="G789" s="136"/>
      <c r="H789" s="136"/>
      <c r="I789" s="52"/>
      <c r="J789" s="63"/>
      <c r="K789" s="50"/>
      <c r="L789" s="52">
        <f>L791+L792+L798+L802</f>
        <v>52439.780000000006</v>
      </c>
    </row>
    <row r="790" spans="1:12" ht="14.25" x14ac:dyDescent="0.2">
      <c r="A790" s="63"/>
      <c r="B790" s="66"/>
      <c r="C790" s="135" t="s">
        <v>734</v>
      </c>
      <c r="D790" s="136"/>
      <c r="E790" s="136"/>
      <c r="F790" s="136"/>
      <c r="G790" s="136"/>
      <c r="H790" s="136"/>
      <c r="I790" s="52"/>
      <c r="J790" s="63"/>
      <c r="K790" s="50"/>
      <c r="L790" s="52"/>
    </row>
    <row r="791" spans="1:12" ht="14.25" x14ac:dyDescent="0.2">
      <c r="A791" s="63"/>
      <c r="B791" s="66"/>
      <c r="C791" s="136" t="s">
        <v>827</v>
      </c>
      <c r="D791" s="136"/>
      <c r="E791" s="136"/>
      <c r="F791" s="136"/>
      <c r="G791" s="136"/>
      <c r="H791" s="136"/>
      <c r="I791" s="52"/>
      <c r="J791" s="63"/>
      <c r="K791" s="50"/>
      <c r="L791" s="52">
        <f>SUMIF(CD52:CD785, 2, AR52:AR785)</f>
        <v>25156.230000000003</v>
      </c>
    </row>
    <row r="792" spans="1:12" ht="14.25" hidden="1" x14ac:dyDescent="0.2">
      <c r="A792" s="63"/>
      <c r="B792" s="66"/>
      <c r="C792" s="136" t="s">
        <v>736</v>
      </c>
      <c r="D792" s="136"/>
      <c r="E792" s="136"/>
      <c r="F792" s="136"/>
      <c r="G792" s="136"/>
      <c r="H792" s="136"/>
      <c r="I792" s="52"/>
      <c r="J792" s="63"/>
      <c r="K792" s="50"/>
      <c r="L792" s="52">
        <f>L794+L797+L796</f>
        <v>830.99</v>
      </c>
    </row>
    <row r="793" spans="1:12" ht="14.25" hidden="1" x14ac:dyDescent="0.2">
      <c r="A793" s="63"/>
      <c r="B793" s="66"/>
      <c r="C793" s="135" t="s">
        <v>737</v>
      </c>
      <c r="D793" s="136"/>
      <c r="E793" s="136"/>
      <c r="F793" s="136"/>
      <c r="G793" s="136"/>
      <c r="H793" s="136"/>
      <c r="I793" s="52"/>
      <c r="J793" s="63"/>
      <c r="K793" s="50"/>
      <c r="L793" s="52"/>
    </row>
    <row r="794" spans="1:12" ht="14.25" x14ac:dyDescent="0.2">
      <c r="A794" s="63"/>
      <c r="B794" s="66"/>
      <c r="C794" s="136" t="s">
        <v>736</v>
      </c>
      <c r="D794" s="136"/>
      <c r="E794" s="136"/>
      <c r="F794" s="136"/>
      <c r="G794" s="136"/>
      <c r="H794" s="136"/>
      <c r="I794" s="52"/>
      <c r="J794" s="63"/>
      <c r="K794" s="50"/>
      <c r="L794" s="52">
        <f>SUMIF(CD52:CD785, 2, AO52:AO785)</f>
        <v>545.04</v>
      </c>
    </row>
    <row r="795" spans="1:12" ht="14.25" hidden="1" x14ac:dyDescent="0.2">
      <c r="A795" s="63"/>
      <c r="B795" s="66"/>
      <c r="C795" s="135" t="s">
        <v>738</v>
      </c>
      <c r="D795" s="136"/>
      <c r="E795" s="136"/>
      <c r="F795" s="136"/>
      <c r="G795" s="136"/>
      <c r="H795" s="136"/>
      <c r="I795" s="52"/>
      <c r="J795" s="63"/>
      <c r="K795" s="50"/>
      <c r="L795" s="52"/>
    </row>
    <row r="796" spans="1:12" ht="14.25" x14ac:dyDescent="0.2">
      <c r="A796" s="63"/>
      <c r="B796" s="66"/>
      <c r="C796" s="136" t="s">
        <v>758</v>
      </c>
      <c r="D796" s="136"/>
      <c r="E796" s="136"/>
      <c r="F796" s="136"/>
      <c r="G796" s="136"/>
      <c r="H796" s="136"/>
      <c r="I796" s="52"/>
      <c r="J796" s="63"/>
      <c r="K796" s="50"/>
      <c r="L796" s="52">
        <f>SUMIF(CD52:CD785, 2, AT52:AT785)</f>
        <v>285.95</v>
      </c>
    </row>
    <row r="797" spans="1:12" ht="14.25" hidden="1" x14ac:dyDescent="0.2">
      <c r="A797" s="63"/>
      <c r="B797" s="66"/>
      <c r="C797" s="136" t="s">
        <v>739</v>
      </c>
      <c r="D797" s="136"/>
      <c r="E797" s="136"/>
      <c r="F797" s="136"/>
      <c r="G797" s="136"/>
      <c r="H797" s="136"/>
      <c r="I797" s="52"/>
      <c r="J797" s="63"/>
      <c r="K797" s="50"/>
      <c r="L797" s="52">
        <f>SUMIF(CD52:CD785, 2, AV52:AV785)</f>
        <v>0</v>
      </c>
    </row>
    <row r="798" spans="1:12" ht="14.25" x14ac:dyDescent="0.2">
      <c r="A798" s="63"/>
      <c r="B798" s="66"/>
      <c r="C798" s="136" t="s">
        <v>740</v>
      </c>
      <c r="D798" s="136"/>
      <c r="E798" s="136"/>
      <c r="F798" s="136"/>
      <c r="G798" s="136"/>
      <c r="H798" s="136"/>
      <c r="I798" s="52"/>
      <c r="J798" s="63"/>
      <c r="K798" s="50"/>
      <c r="L798" s="52">
        <f>L800+L801</f>
        <v>26452.560000000001</v>
      </c>
    </row>
    <row r="799" spans="1:12" ht="14.25" x14ac:dyDescent="0.2">
      <c r="A799" s="63"/>
      <c r="B799" s="66"/>
      <c r="C799" s="135" t="s">
        <v>737</v>
      </c>
      <c r="D799" s="136"/>
      <c r="E799" s="136"/>
      <c r="F799" s="136"/>
      <c r="G799" s="136"/>
      <c r="H799" s="136"/>
      <c r="I799" s="52"/>
      <c r="J799" s="63"/>
      <c r="K799" s="50"/>
      <c r="L799" s="52"/>
    </row>
    <row r="800" spans="1:12" ht="14.25" x14ac:dyDescent="0.2">
      <c r="A800" s="63"/>
      <c r="B800" s="66"/>
      <c r="C800" s="136" t="s">
        <v>741</v>
      </c>
      <c r="D800" s="136"/>
      <c r="E800" s="136"/>
      <c r="F800" s="136"/>
      <c r="G800" s="136"/>
      <c r="H800" s="136"/>
      <c r="I800" s="52"/>
      <c r="J800" s="63"/>
      <c r="K800" s="50"/>
      <c r="L800" s="52">
        <f>SUMIF(CD52:CD785, 2, AW52:AW785)-SUMIF(CD52:CD785, 2, BK52:BK785)</f>
        <v>26452.560000000001</v>
      </c>
    </row>
    <row r="801" spans="1:12" ht="14.25" hidden="1" x14ac:dyDescent="0.2">
      <c r="A801" s="63"/>
      <c r="B801" s="66"/>
      <c r="C801" s="136" t="s">
        <v>742</v>
      </c>
      <c r="D801" s="136"/>
      <c r="E801" s="136"/>
      <c r="F801" s="136"/>
      <c r="G801" s="136"/>
      <c r="H801" s="136"/>
      <c r="I801" s="52"/>
      <c r="J801" s="63"/>
      <c r="K801" s="50"/>
      <c r="L801" s="52">
        <f>SUMIF(CD52:CD785, 2, BC52:BC785)</f>
        <v>0</v>
      </c>
    </row>
    <row r="802" spans="1:12" ht="14.25" hidden="1" x14ac:dyDescent="0.2">
      <c r="A802" s="63"/>
      <c r="B802" s="66"/>
      <c r="C802" s="136" t="s">
        <v>743</v>
      </c>
      <c r="D802" s="136"/>
      <c r="E802" s="136"/>
      <c r="F802" s="136"/>
      <c r="G802" s="136"/>
      <c r="H802" s="136"/>
      <c r="I802" s="52"/>
      <c r="J802" s="63"/>
      <c r="K802" s="50"/>
      <c r="L802" s="52">
        <f>SUMIF(CD52:CD785, 2, BB52:BB785)</f>
        <v>0</v>
      </c>
    </row>
    <row r="803" spans="1:12" ht="14.25" x14ac:dyDescent="0.2">
      <c r="A803" s="63"/>
      <c r="B803" s="66"/>
      <c r="C803" s="136" t="s">
        <v>828</v>
      </c>
      <c r="D803" s="136"/>
      <c r="E803" s="136"/>
      <c r="F803" s="136"/>
      <c r="G803" s="136"/>
      <c r="H803" s="136"/>
      <c r="I803" s="52"/>
      <c r="J803" s="63"/>
      <c r="K803" s="50"/>
      <c r="L803" s="52">
        <f>SUMIF(CD52:CD785, 2, AR52:AR785)+SUMIF(CD52:CD785, 2, AT52:AT785)+SUMIF(CD52:CD785, 2, AV52:AV785)</f>
        <v>25442.180000000004</v>
      </c>
    </row>
    <row r="804" spans="1:12" ht="14.25" x14ac:dyDescent="0.2">
      <c r="A804" s="63"/>
      <c r="B804" s="66"/>
      <c r="C804" s="136" t="s">
        <v>829</v>
      </c>
      <c r="D804" s="136"/>
      <c r="E804" s="136"/>
      <c r="F804" s="136"/>
      <c r="G804" s="136"/>
      <c r="H804" s="136"/>
      <c r="I804" s="52"/>
      <c r="J804" s="63"/>
      <c r="K804" s="50"/>
      <c r="L804" s="52">
        <f>SUMIF(CD52:CD785, 2, AZ52:AZ785)</f>
        <v>22897.96</v>
      </c>
    </row>
    <row r="805" spans="1:12" ht="14.25" x14ac:dyDescent="0.2">
      <c r="A805" s="63"/>
      <c r="B805" s="66"/>
      <c r="C805" s="136" t="s">
        <v>830</v>
      </c>
      <c r="D805" s="136"/>
      <c r="E805" s="136"/>
      <c r="F805" s="136"/>
      <c r="G805" s="136"/>
      <c r="H805" s="136"/>
      <c r="I805" s="52"/>
      <c r="J805" s="63"/>
      <c r="K805" s="50"/>
      <c r="L805" s="52">
        <f>SUMIF(CD52:CD785, 2, BA52:BA785)</f>
        <v>11703.4</v>
      </c>
    </row>
    <row r="807" spans="1:12" ht="15" x14ac:dyDescent="0.2">
      <c r="A807" s="67"/>
      <c r="B807" s="68"/>
      <c r="C807" s="134" t="s">
        <v>832</v>
      </c>
      <c r="D807" s="134"/>
      <c r="E807" s="134"/>
      <c r="F807" s="134"/>
      <c r="G807" s="134"/>
      <c r="H807" s="134"/>
      <c r="I807" s="55"/>
      <c r="J807" s="67"/>
      <c r="K807" s="69"/>
      <c r="L807" s="55">
        <f>L809+L810</f>
        <v>38280.53</v>
      </c>
    </row>
    <row r="808" spans="1:12" ht="14.25" x14ac:dyDescent="0.2">
      <c r="A808" s="63"/>
      <c r="B808" s="66"/>
      <c r="C808" s="135" t="s">
        <v>734</v>
      </c>
      <c r="D808" s="136"/>
      <c r="E808" s="136"/>
      <c r="F808" s="136"/>
      <c r="G808" s="136"/>
      <c r="H808" s="136"/>
      <c r="I808" s="52"/>
      <c r="J808" s="63"/>
      <c r="K808" s="50"/>
      <c r="L808" s="52"/>
    </row>
    <row r="809" spans="1:12" ht="14.25" x14ac:dyDescent="0.2">
      <c r="A809" s="63"/>
      <c r="B809" s="66"/>
      <c r="C809" s="136" t="s">
        <v>748</v>
      </c>
      <c r="D809" s="136"/>
      <c r="E809" s="136"/>
      <c r="F809" s="136"/>
      <c r="G809" s="136"/>
      <c r="H809" s="136"/>
      <c r="I809" s="52"/>
      <c r="J809" s="63"/>
      <c r="K809" s="50"/>
      <c r="L809" s="52">
        <f>SUMIF(CD52:CD805, 3, BK52:BK805)</f>
        <v>38280.53</v>
      </c>
    </row>
    <row r="810" spans="1:12" ht="14.25" hidden="1" x14ac:dyDescent="0.2">
      <c r="A810" s="63"/>
      <c r="B810" s="66"/>
      <c r="C810" s="136" t="s">
        <v>749</v>
      </c>
      <c r="D810" s="136"/>
      <c r="E810" s="136"/>
      <c r="F810" s="136"/>
      <c r="G810" s="136"/>
      <c r="H810" s="136"/>
      <c r="I810" s="52"/>
      <c r="J810" s="63"/>
      <c r="K810" s="50"/>
      <c r="L810" s="52">
        <f>SUMIF(CD52:CD805, 3, BD52:BD805)</f>
        <v>0</v>
      </c>
    </row>
    <row r="811" spans="1:12" hidden="1" x14ac:dyDescent="0.2"/>
    <row r="812" spans="1:12" ht="15" hidden="1" x14ac:dyDescent="0.2">
      <c r="A812" s="67"/>
      <c r="B812" s="68"/>
      <c r="C812" s="134" t="s">
        <v>833</v>
      </c>
      <c r="D812" s="134"/>
      <c r="E812" s="134"/>
      <c r="F812" s="134"/>
      <c r="G812" s="134"/>
      <c r="H812" s="134"/>
      <c r="I812" s="55"/>
      <c r="J812" s="67"/>
      <c r="K812" s="69"/>
      <c r="L812" s="55">
        <f>L820+L835+L836+L814+L815+L816+L817</f>
        <v>0</v>
      </c>
    </row>
    <row r="813" spans="1:12" ht="14.25" hidden="1" x14ac:dyDescent="0.2">
      <c r="A813" s="63"/>
      <c r="B813" s="66"/>
      <c r="C813" s="135" t="s">
        <v>734</v>
      </c>
      <c r="D813" s="136"/>
      <c r="E813" s="136"/>
      <c r="F813" s="136"/>
      <c r="G813" s="136"/>
      <c r="H813" s="136"/>
      <c r="I813" s="52"/>
      <c r="J813" s="63"/>
      <c r="K813" s="50"/>
      <c r="L813" s="52"/>
    </row>
    <row r="814" spans="1:12" ht="14.25" hidden="1" x14ac:dyDescent="0.2">
      <c r="A814" s="63"/>
      <c r="B814" s="66"/>
      <c r="C814" s="136" t="s">
        <v>834</v>
      </c>
      <c r="D814" s="136"/>
      <c r="E814" s="136"/>
      <c r="F814" s="136"/>
      <c r="G814" s="136"/>
      <c r="H814" s="136"/>
      <c r="I814" s="52"/>
      <c r="J814" s="63"/>
      <c r="K814" s="50"/>
      <c r="L814" s="52"/>
    </row>
    <row r="815" spans="1:12" ht="14.25" hidden="1" x14ac:dyDescent="0.2">
      <c r="A815" s="63"/>
      <c r="B815" s="66"/>
      <c r="C815" s="136" t="s">
        <v>834</v>
      </c>
      <c r="D815" s="136"/>
      <c r="E815" s="136"/>
      <c r="F815" s="136"/>
      <c r="G815" s="136"/>
      <c r="H815" s="136"/>
      <c r="I815" s="52"/>
      <c r="J815" s="63"/>
      <c r="K815" s="50"/>
      <c r="L815" s="52">
        <f>SUM(BQ52:BQ810)</f>
        <v>0</v>
      </c>
    </row>
    <row r="816" spans="1:12" ht="14.25" hidden="1" x14ac:dyDescent="0.2">
      <c r="A816" s="63"/>
      <c r="B816" s="66"/>
      <c r="C816" s="136" t="s">
        <v>835</v>
      </c>
      <c r="D816" s="136"/>
      <c r="E816" s="136"/>
      <c r="F816" s="136"/>
      <c r="G816" s="136"/>
      <c r="H816" s="136"/>
      <c r="I816" s="52"/>
      <c r="J816" s="63"/>
      <c r="K816" s="50"/>
      <c r="L816" s="52">
        <f>SUMIF(CD52:CD810, 4, BB52:BB810)+SUMIF(CD52:CD810, 4, BC52:BC810)+SUMIF(CD52:CD810, 4, BD52:BD810)</f>
        <v>0</v>
      </c>
    </row>
    <row r="817" spans="1:12" ht="14.25" hidden="1" x14ac:dyDescent="0.2">
      <c r="A817" s="63"/>
      <c r="B817" s="66"/>
      <c r="C817" s="136" t="s">
        <v>836</v>
      </c>
      <c r="D817" s="136"/>
      <c r="E817" s="136"/>
      <c r="F817" s="136"/>
      <c r="G817" s="136"/>
      <c r="H817" s="136"/>
      <c r="I817" s="52"/>
      <c r="J817" s="63"/>
      <c r="K817" s="50"/>
      <c r="L817" s="52">
        <f>SUM(BO52:BO810)</f>
        <v>0</v>
      </c>
    </row>
    <row r="818" spans="1:12" ht="14.25" hidden="1" x14ac:dyDescent="0.2">
      <c r="A818" s="63"/>
      <c r="B818" s="66"/>
      <c r="C818" s="136" t="s">
        <v>837</v>
      </c>
      <c r="D818" s="136"/>
      <c r="E818" s="136"/>
      <c r="F818" s="136"/>
      <c r="G818" s="136"/>
      <c r="H818" s="136"/>
      <c r="I818" s="52"/>
      <c r="J818" s="63"/>
      <c r="K818" s="50"/>
      <c r="L818" s="52">
        <f>L820+L835+L836</f>
        <v>0</v>
      </c>
    </row>
    <row r="819" spans="1:12" ht="14.25" hidden="1" x14ac:dyDescent="0.2">
      <c r="A819" s="63"/>
      <c r="B819" s="66"/>
      <c r="C819" s="135" t="s">
        <v>734</v>
      </c>
      <c r="D819" s="136"/>
      <c r="E819" s="136"/>
      <c r="F819" s="136"/>
      <c r="G819" s="136"/>
      <c r="H819" s="136"/>
      <c r="I819" s="52"/>
      <c r="J819" s="63"/>
      <c r="K819" s="50"/>
      <c r="L819" s="52"/>
    </row>
    <row r="820" spans="1:12" ht="14.25" hidden="1" x14ac:dyDescent="0.2">
      <c r="A820" s="63"/>
      <c r="B820" s="66"/>
      <c r="C820" s="136" t="s">
        <v>826</v>
      </c>
      <c r="D820" s="136"/>
      <c r="E820" s="136"/>
      <c r="F820" s="136"/>
      <c r="G820" s="136"/>
      <c r="H820" s="136"/>
      <c r="I820" s="52"/>
      <c r="J820" s="63"/>
      <c r="K820" s="50"/>
      <c r="L820" s="52">
        <f>L822+L823+L829+L833</f>
        <v>0</v>
      </c>
    </row>
    <row r="821" spans="1:12" ht="14.25" hidden="1" x14ac:dyDescent="0.2">
      <c r="A821" s="63"/>
      <c r="B821" s="66"/>
      <c r="C821" s="135" t="s">
        <v>734</v>
      </c>
      <c r="D821" s="136"/>
      <c r="E821" s="136"/>
      <c r="F821" s="136"/>
      <c r="G821" s="136"/>
      <c r="H821" s="136"/>
      <c r="I821" s="52"/>
      <c r="J821" s="63"/>
      <c r="K821" s="50"/>
      <c r="L821" s="52"/>
    </row>
    <row r="822" spans="1:12" ht="14.25" hidden="1" x14ac:dyDescent="0.2">
      <c r="A822" s="63"/>
      <c r="B822" s="66"/>
      <c r="C822" s="136" t="s">
        <v>827</v>
      </c>
      <c r="D822" s="136"/>
      <c r="E822" s="136"/>
      <c r="F822" s="136"/>
      <c r="G822" s="136"/>
      <c r="H822" s="136"/>
      <c r="I822" s="52"/>
      <c r="J822" s="63"/>
      <c r="K822" s="50"/>
      <c r="L822" s="52">
        <f>SUMIF(CD52:CD810, 4, AR52:AR810)</f>
        <v>0</v>
      </c>
    </row>
    <row r="823" spans="1:12" ht="14.25" hidden="1" x14ac:dyDescent="0.2">
      <c r="A823" s="63"/>
      <c r="B823" s="66"/>
      <c r="C823" s="136" t="s">
        <v>736</v>
      </c>
      <c r="D823" s="136"/>
      <c r="E823" s="136"/>
      <c r="F823" s="136"/>
      <c r="G823" s="136"/>
      <c r="H823" s="136"/>
      <c r="I823" s="52"/>
      <c r="J823" s="63"/>
      <c r="K823" s="50"/>
      <c r="L823" s="52">
        <f>L825+L828+L827</f>
        <v>0</v>
      </c>
    </row>
    <row r="824" spans="1:12" ht="14.25" hidden="1" x14ac:dyDescent="0.2">
      <c r="A824" s="63"/>
      <c r="B824" s="66"/>
      <c r="C824" s="135" t="s">
        <v>737</v>
      </c>
      <c r="D824" s="136"/>
      <c r="E824" s="136"/>
      <c r="F824" s="136"/>
      <c r="G824" s="136"/>
      <c r="H824" s="136"/>
      <c r="I824" s="52"/>
      <c r="J824" s="63"/>
      <c r="K824" s="50"/>
      <c r="L824" s="52"/>
    </row>
    <row r="825" spans="1:12" ht="14.25" hidden="1" x14ac:dyDescent="0.2">
      <c r="A825" s="63"/>
      <c r="B825" s="66"/>
      <c r="C825" s="136" t="s">
        <v>736</v>
      </c>
      <c r="D825" s="136"/>
      <c r="E825" s="136"/>
      <c r="F825" s="136"/>
      <c r="G825" s="136"/>
      <c r="H825" s="136"/>
      <c r="I825" s="52"/>
      <c r="J825" s="63"/>
      <c r="K825" s="50"/>
      <c r="L825" s="52">
        <f>SUMIF(CD52:CD810, 4, AO52:AO810)</f>
        <v>0</v>
      </c>
    </row>
    <row r="826" spans="1:12" ht="14.25" hidden="1" x14ac:dyDescent="0.2">
      <c r="A826" s="63"/>
      <c r="B826" s="66"/>
      <c r="C826" s="135" t="s">
        <v>738</v>
      </c>
      <c r="D826" s="136"/>
      <c r="E826" s="136"/>
      <c r="F826" s="136"/>
      <c r="G826" s="136"/>
      <c r="H826" s="136"/>
      <c r="I826" s="52"/>
      <c r="J826" s="63"/>
      <c r="K826" s="50"/>
      <c r="L826" s="52"/>
    </row>
    <row r="827" spans="1:12" ht="14.25" hidden="1" x14ac:dyDescent="0.2">
      <c r="A827" s="63"/>
      <c r="B827" s="66"/>
      <c r="C827" s="136" t="s">
        <v>758</v>
      </c>
      <c r="D827" s="136"/>
      <c r="E827" s="136"/>
      <c r="F827" s="136"/>
      <c r="G827" s="136"/>
      <c r="H827" s="136"/>
      <c r="I827" s="52"/>
      <c r="J827" s="63"/>
      <c r="K827" s="50"/>
      <c r="L827" s="52">
        <f>SUMIF(CD52:CD810, 4, AT52:AT810)</f>
        <v>0</v>
      </c>
    </row>
    <row r="828" spans="1:12" ht="14.25" hidden="1" x14ac:dyDescent="0.2">
      <c r="A828" s="63"/>
      <c r="B828" s="66"/>
      <c r="C828" s="136" t="s">
        <v>739</v>
      </c>
      <c r="D828" s="136"/>
      <c r="E828" s="136"/>
      <c r="F828" s="136"/>
      <c r="G828" s="136"/>
      <c r="H828" s="136"/>
      <c r="I828" s="52"/>
      <c r="J828" s="63"/>
      <c r="K828" s="50"/>
      <c r="L828" s="52">
        <f>SUMIF(CD52:CD810, 4, AV52:AV810)</f>
        <v>0</v>
      </c>
    </row>
    <row r="829" spans="1:12" ht="14.25" hidden="1" x14ac:dyDescent="0.2">
      <c r="A829" s="63"/>
      <c r="B829" s="66"/>
      <c r="C829" s="136" t="s">
        <v>740</v>
      </c>
      <c r="D829" s="136"/>
      <c r="E829" s="136"/>
      <c r="F829" s="136"/>
      <c r="G829" s="136"/>
      <c r="H829" s="136"/>
      <c r="I829" s="52"/>
      <c r="J829" s="63"/>
      <c r="K829" s="50"/>
      <c r="L829" s="52">
        <f>L831+L832</f>
        <v>0</v>
      </c>
    </row>
    <row r="830" spans="1:12" ht="14.25" hidden="1" x14ac:dyDescent="0.2">
      <c r="A830" s="63"/>
      <c r="B830" s="66"/>
      <c r="C830" s="135" t="s">
        <v>737</v>
      </c>
      <c r="D830" s="136"/>
      <c r="E830" s="136"/>
      <c r="F830" s="136"/>
      <c r="G830" s="136"/>
      <c r="H830" s="136"/>
      <c r="I830" s="52"/>
      <c r="J830" s="63"/>
      <c r="K830" s="50"/>
      <c r="L830" s="52"/>
    </row>
    <row r="831" spans="1:12" ht="14.25" hidden="1" x14ac:dyDescent="0.2">
      <c r="A831" s="63"/>
      <c r="B831" s="66"/>
      <c r="C831" s="136" t="s">
        <v>741</v>
      </c>
      <c r="D831" s="136"/>
      <c r="E831" s="136"/>
      <c r="F831" s="136"/>
      <c r="G831" s="136"/>
      <c r="H831" s="136"/>
      <c r="I831" s="52"/>
      <c r="J831" s="63"/>
      <c r="K831" s="50"/>
      <c r="L831" s="52">
        <f>SUMIF(CD52:CD810, 4, AW52:AW810)-SUMIF(CD52:CD810, 4, BK52:BK810)</f>
        <v>0</v>
      </c>
    </row>
    <row r="832" spans="1:12" ht="14.25" hidden="1" x14ac:dyDescent="0.2">
      <c r="A832" s="63"/>
      <c r="B832" s="66"/>
      <c r="C832" s="136" t="s">
        <v>742</v>
      </c>
      <c r="D832" s="136"/>
      <c r="E832" s="136"/>
      <c r="F832" s="136"/>
      <c r="G832" s="136"/>
      <c r="H832" s="136"/>
      <c r="I832" s="52"/>
      <c r="J832" s="63"/>
      <c r="K832" s="50"/>
      <c r="L832" s="52">
        <f>SUMIF(CD52:CD810, 4, BC52:BC810)</f>
        <v>0</v>
      </c>
    </row>
    <row r="833" spans="1:12" ht="14.25" hidden="1" x14ac:dyDescent="0.2">
      <c r="A833" s="63"/>
      <c r="B833" s="66"/>
      <c r="C833" s="136" t="s">
        <v>743</v>
      </c>
      <c r="D833" s="136"/>
      <c r="E833" s="136"/>
      <c r="F833" s="136"/>
      <c r="G833" s="136"/>
      <c r="H833" s="136"/>
      <c r="I833" s="52"/>
      <c r="J833" s="63"/>
      <c r="K833" s="50"/>
      <c r="L833" s="52">
        <f>SUMIF(CD52:CD810, 4, BB52:BB810)</f>
        <v>0</v>
      </c>
    </row>
    <row r="834" spans="1:12" ht="14.25" hidden="1" x14ac:dyDescent="0.2">
      <c r="A834" s="63"/>
      <c r="B834" s="66"/>
      <c r="C834" s="136" t="s">
        <v>828</v>
      </c>
      <c r="D834" s="136"/>
      <c r="E834" s="136"/>
      <c r="F834" s="136"/>
      <c r="G834" s="136"/>
      <c r="H834" s="136"/>
      <c r="I834" s="52"/>
      <c r="J834" s="63"/>
      <c r="K834" s="50"/>
      <c r="L834" s="52">
        <f>SUMIF(CD52:CD810, 4, AR52:AR810)+SUMIF(CD52:CD810, 4, AT52:AT810)+SUMIF(CD52:CD810, 4, AV52:AV810)</f>
        <v>0</v>
      </c>
    </row>
    <row r="835" spans="1:12" ht="14.25" hidden="1" x14ac:dyDescent="0.2">
      <c r="A835" s="63"/>
      <c r="B835" s="66"/>
      <c r="C835" s="136" t="s">
        <v>829</v>
      </c>
      <c r="D835" s="136"/>
      <c r="E835" s="136"/>
      <c r="F835" s="136"/>
      <c r="G835" s="136"/>
      <c r="H835" s="136"/>
      <c r="I835" s="52"/>
      <c r="J835" s="63"/>
      <c r="K835" s="50"/>
      <c r="L835" s="52">
        <f>SUMIF(CD52:CD810, 4, AZ52:AZ810)</f>
        <v>0</v>
      </c>
    </row>
    <row r="836" spans="1:12" ht="14.25" hidden="1" x14ac:dyDescent="0.2">
      <c r="A836" s="63"/>
      <c r="B836" s="66"/>
      <c r="C836" s="136" t="s">
        <v>830</v>
      </c>
      <c r="D836" s="136"/>
      <c r="E836" s="136"/>
      <c r="F836" s="136"/>
      <c r="G836" s="136"/>
      <c r="H836" s="136"/>
      <c r="I836" s="52"/>
      <c r="J836" s="63"/>
      <c r="K836" s="50"/>
      <c r="L836" s="52">
        <f>SUMIF(CD52:CD810, 4, BA52:BA810)</f>
        <v>0</v>
      </c>
    </row>
    <row r="838" spans="1:12" ht="15" x14ac:dyDescent="0.2">
      <c r="A838" s="67"/>
      <c r="B838" s="68"/>
      <c r="C838" s="134" t="s">
        <v>838</v>
      </c>
      <c r="D838" s="134"/>
      <c r="E838" s="134"/>
      <c r="F838" s="134"/>
      <c r="G838" s="134"/>
      <c r="H838" s="134"/>
      <c r="I838" s="55"/>
      <c r="J838" s="67"/>
      <c r="K838" s="69"/>
      <c r="L838" s="55">
        <f>L767+L787+L807+L812</f>
        <v>483326.15</v>
      </c>
    </row>
    <row r="839" spans="1:12" ht="14.25" x14ac:dyDescent="0.2">
      <c r="A839" s="63"/>
      <c r="B839" s="66"/>
      <c r="C839" s="135" t="s">
        <v>734</v>
      </c>
      <c r="D839" s="136"/>
      <c r="E839" s="136"/>
      <c r="F839" s="136"/>
      <c r="G839" s="136"/>
      <c r="H839" s="136"/>
      <c r="I839" s="52"/>
      <c r="J839" s="63"/>
      <c r="K839" s="50"/>
      <c r="L839" s="52"/>
    </row>
    <row r="840" spans="1:12" ht="14.25" x14ac:dyDescent="0.2">
      <c r="A840" s="63"/>
      <c r="B840" s="66"/>
      <c r="C840" s="136" t="s">
        <v>826</v>
      </c>
      <c r="D840" s="136"/>
      <c r="E840" s="136"/>
      <c r="F840" s="136"/>
      <c r="G840" s="136"/>
      <c r="H840" s="136"/>
      <c r="I840" s="52"/>
      <c r="J840" s="63"/>
      <c r="K840" s="50"/>
      <c r="L840" s="52">
        <f>L842+L843+L849+L853</f>
        <v>246620.16999999998</v>
      </c>
    </row>
    <row r="841" spans="1:12" ht="14.25" x14ac:dyDescent="0.2">
      <c r="A841" s="63"/>
      <c r="B841" s="66"/>
      <c r="C841" s="135" t="s">
        <v>734</v>
      </c>
      <c r="D841" s="136"/>
      <c r="E841" s="136"/>
      <c r="F841" s="136"/>
      <c r="G841" s="136"/>
      <c r="H841" s="136"/>
      <c r="I841" s="52"/>
      <c r="J841" s="63"/>
      <c r="K841" s="50"/>
      <c r="L841" s="52"/>
    </row>
    <row r="842" spans="1:12" ht="14.25" x14ac:dyDescent="0.2">
      <c r="A842" s="63"/>
      <c r="B842" s="66"/>
      <c r="C842" s="136" t="s">
        <v>827</v>
      </c>
      <c r="D842" s="136"/>
      <c r="E842" s="136"/>
      <c r="F842" s="136"/>
      <c r="G842" s="136"/>
      <c r="H842" s="136"/>
      <c r="I842" s="52"/>
      <c r="J842" s="63"/>
      <c r="K842" s="50"/>
      <c r="L842" s="52">
        <f>SUM(AR52:AR836)</f>
        <v>127959.39999999998</v>
      </c>
    </row>
    <row r="843" spans="1:12" ht="14.25" hidden="1" x14ac:dyDescent="0.2">
      <c r="A843" s="63"/>
      <c r="B843" s="66"/>
      <c r="C843" s="136" t="s">
        <v>736</v>
      </c>
      <c r="D843" s="136"/>
      <c r="E843" s="136"/>
      <c r="F843" s="136"/>
      <c r="G843" s="136"/>
      <c r="H843" s="136"/>
      <c r="I843" s="52"/>
      <c r="J843" s="63"/>
      <c r="K843" s="50"/>
      <c r="L843" s="52">
        <f>L845+L848+L847</f>
        <v>1960.8000000000002</v>
      </c>
    </row>
    <row r="844" spans="1:12" ht="14.25" hidden="1" x14ac:dyDescent="0.2">
      <c r="A844" s="63"/>
      <c r="B844" s="66"/>
      <c r="C844" s="135" t="s">
        <v>737</v>
      </c>
      <c r="D844" s="136"/>
      <c r="E844" s="136"/>
      <c r="F844" s="136"/>
      <c r="G844" s="136"/>
      <c r="H844" s="136"/>
      <c r="I844" s="52"/>
      <c r="J844" s="63"/>
      <c r="K844" s="50"/>
      <c r="L844" s="52"/>
    </row>
    <row r="845" spans="1:12" ht="14.25" x14ac:dyDescent="0.2">
      <c r="A845" s="63"/>
      <c r="B845" s="66"/>
      <c r="C845" s="136" t="s">
        <v>736</v>
      </c>
      <c r="D845" s="136"/>
      <c r="E845" s="136"/>
      <c r="F845" s="136"/>
      <c r="G845" s="136"/>
      <c r="H845" s="136"/>
      <c r="I845" s="52"/>
      <c r="J845" s="63"/>
      <c r="K845" s="50"/>
      <c r="L845" s="52">
        <f>SUM(AO52:AO836)</f>
        <v>1294.5</v>
      </c>
    </row>
    <row r="846" spans="1:12" ht="14.25" hidden="1" x14ac:dyDescent="0.2">
      <c r="A846" s="63"/>
      <c r="B846" s="66"/>
      <c r="C846" s="135" t="s">
        <v>738</v>
      </c>
      <c r="D846" s="136"/>
      <c r="E846" s="136"/>
      <c r="F846" s="136"/>
      <c r="G846" s="136"/>
      <c r="H846" s="136"/>
      <c r="I846" s="52"/>
      <c r="J846" s="63"/>
      <c r="K846" s="50"/>
      <c r="L846" s="52"/>
    </row>
    <row r="847" spans="1:12" ht="14.25" x14ac:dyDescent="0.2">
      <c r="A847" s="63"/>
      <c r="B847" s="66"/>
      <c r="C847" s="136" t="s">
        <v>758</v>
      </c>
      <c r="D847" s="136"/>
      <c r="E847" s="136"/>
      <c r="F847" s="136"/>
      <c r="G847" s="136"/>
      <c r="H847" s="136"/>
      <c r="I847" s="52"/>
      <c r="J847" s="63"/>
      <c r="K847" s="50"/>
      <c r="L847" s="52">
        <f>SUM(AT52:AT836)</f>
        <v>666.30000000000007</v>
      </c>
    </row>
    <row r="848" spans="1:12" ht="14.25" hidden="1" x14ac:dyDescent="0.2">
      <c r="A848" s="63"/>
      <c r="B848" s="66"/>
      <c r="C848" s="136" t="s">
        <v>739</v>
      </c>
      <c r="D848" s="136"/>
      <c r="E848" s="136"/>
      <c r="F848" s="136"/>
      <c r="G848" s="136"/>
      <c r="H848" s="136"/>
      <c r="I848" s="52"/>
      <c r="J848" s="63"/>
      <c r="K848" s="50"/>
      <c r="L848" s="52">
        <f>SUM(AV52:AV836)</f>
        <v>0</v>
      </c>
    </row>
    <row r="849" spans="1:12" ht="14.25" x14ac:dyDescent="0.2">
      <c r="A849" s="63"/>
      <c r="B849" s="66"/>
      <c r="C849" s="136" t="s">
        <v>740</v>
      </c>
      <c r="D849" s="136"/>
      <c r="E849" s="136"/>
      <c r="F849" s="136"/>
      <c r="G849" s="136"/>
      <c r="H849" s="136"/>
      <c r="I849" s="52"/>
      <c r="J849" s="63"/>
      <c r="K849" s="50"/>
      <c r="L849" s="52">
        <f>L851+L852</f>
        <v>116069.51000000001</v>
      </c>
    </row>
    <row r="850" spans="1:12" ht="14.25" x14ac:dyDescent="0.2">
      <c r="A850" s="63"/>
      <c r="B850" s="66"/>
      <c r="C850" s="135" t="s">
        <v>737</v>
      </c>
      <c r="D850" s="136"/>
      <c r="E850" s="136"/>
      <c r="F850" s="136"/>
      <c r="G850" s="136"/>
      <c r="H850" s="136"/>
      <c r="I850" s="52"/>
      <c r="J850" s="63"/>
      <c r="K850" s="50"/>
      <c r="L850" s="52"/>
    </row>
    <row r="851" spans="1:12" ht="14.25" x14ac:dyDescent="0.2">
      <c r="A851" s="63"/>
      <c r="B851" s="66"/>
      <c r="C851" s="136" t="s">
        <v>741</v>
      </c>
      <c r="D851" s="136"/>
      <c r="E851" s="136"/>
      <c r="F851" s="136"/>
      <c r="G851" s="136"/>
      <c r="H851" s="136"/>
      <c r="I851" s="52"/>
      <c r="J851" s="63"/>
      <c r="K851" s="50"/>
      <c r="L851" s="52">
        <f>SUM(AW52:AW836)-SUM(BK52:BK836)</f>
        <v>116069.51000000001</v>
      </c>
    </row>
    <row r="852" spans="1:12" ht="14.25" hidden="1" x14ac:dyDescent="0.2">
      <c r="A852" s="63"/>
      <c r="B852" s="66"/>
      <c r="C852" s="136" t="s">
        <v>742</v>
      </c>
      <c r="D852" s="136"/>
      <c r="E852" s="136"/>
      <c r="F852" s="136"/>
      <c r="G852" s="136"/>
      <c r="H852" s="136"/>
      <c r="I852" s="52"/>
      <c r="J852" s="63"/>
      <c r="K852" s="50"/>
      <c r="L852" s="52">
        <f>SUM(BC52:BC836)</f>
        <v>0</v>
      </c>
    </row>
    <row r="853" spans="1:12" ht="14.25" x14ac:dyDescent="0.2">
      <c r="A853" s="63"/>
      <c r="B853" s="66"/>
      <c r="C853" s="136" t="s">
        <v>743</v>
      </c>
      <c r="D853" s="136"/>
      <c r="E853" s="136"/>
      <c r="F853" s="136"/>
      <c r="G853" s="136"/>
      <c r="H853" s="136"/>
      <c r="I853" s="52"/>
      <c r="J853" s="63"/>
      <c r="K853" s="50"/>
      <c r="L853" s="52">
        <f>SUM(BB52:BB836)</f>
        <v>630.46</v>
      </c>
    </row>
    <row r="854" spans="1:12" ht="14.25" x14ac:dyDescent="0.2">
      <c r="A854" s="63"/>
      <c r="B854" s="66"/>
      <c r="C854" s="136" t="s">
        <v>744</v>
      </c>
      <c r="D854" s="136"/>
      <c r="E854" s="136"/>
      <c r="F854" s="136"/>
      <c r="G854" s="136"/>
      <c r="H854" s="136"/>
      <c r="I854" s="52"/>
      <c r="J854" s="63"/>
      <c r="K854" s="50"/>
      <c r="L854" s="52">
        <f>SUM(AR52:AR836)+SUM(AT52:AT836)+SUM(AV52:AV836)</f>
        <v>128625.69999999998</v>
      </c>
    </row>
    <row r="855" spans="1:12" ht="14.25" x14ac:dyDescent="0.2">
      <c r="A855" s="63"/>
      <c r="B855" s="66"/>
      <c r="C855" s="136" t="s">
        <v>745</v>
      </c>
      <c r="D855" s="136"/>
      <c r="E855" s="136"/>
      <c r="F855" s="136"/>
      <c r="G855" s="136"/>
      <c r="H855" s="136"/>
      <c r="I855" s="52"/>
      <c r="J855" s="63"/>
      <c r="K855" s="50"/>
      <c r="L855" s="52">
        <f>SUM(AZ52:AZ836)</f>
        <v>130134.19000000002</v>
      </c>
    </row>
    <row r="856" spans="1:12" ht="14.25" x14ac:dyDescent="0.2">
      <c r="A856" s="63"/>
      <c r="B856" s="66"/>
      <c r="C856" s="136" t="s">
        <v>746</v>
      </c>
      <c r="D856" s="136"/>
      <c r="E856" s="136"/>
      <c r="F856" s="136"/>
      <c r="G856" s="136"/>
      <c r="H856" s="136"/>
      <c r="I856" s="52"/>
      <c r="J856" s="63"/>
      <c r="K856" s="50"/>
      <c r="L856" s="52">
        <f>SUM(BA52:BA836)</f>
        <v>68291.260000000009</v>
      </c>
    </row>
    <row r="857" spans="1:12" ht="14.25" x14ac:dyDescent="0.2">
      <c r="A857" s="63"/>
      <c r="B857" s="66"/>
      <c r="C857" s="136" t="s">
        <v>839</v>
      </c>
      <c r="D857" s="136"/>
      <c r="E857" s="136"/>
      <c r="F857" s="136"/>
      <c r="G857" s="136"/>
      <c r="H857" s="136"/>
      <c r="I857" s="52"/>
      <c r="J857" s="63"/>
      <c r="K857" s="50"/>
      <c r="L857" s="52">
        <f>L859+L860</f>
        <v>38280.53</v>
      </c>
    </row>
    <row r="858" spans="1:12" ht="14.25" x14ac:dyDescent="0.2">
      <c r="A858" s="63"/>
      <c r="B858" s="66"/>
      <c r="C858" s="135" t="s">
        <v>734</v>
      </c>
      <c r="D858" s="136"/>
      <c r="E858" s="136"/>
      <c r="F858" s="136"/>
      <c r="G858" s="136"/>
      <c r="H858" s="136"/>
      <c r="I858" s="52"/>
      <c r="J858" s="63"/>
      <c r="K858" s="50"/>
      <c r="L858" s="52"/>
    </row>
    <row r="859" spans="1:12" ht="14.25" x14ac:dyDescent="0.2">
      <c r="A859" s="63"/>
      <c r="B859" s="66"/>
      <c r="C859" s="136" t="s">
        <v>748</v>
      </c>
      <c r="D859" s="136"/>
      <c r="E859" s="136"/>
      <c r="F859" s="136"/>
      <c r="G859" s="136"/>
      <c r="H859" s="136"/>
      <c r="I859" s="52"/>
      <c r="J859" s="63"/>
      <c r="K859" s="50"/>
      <c r="L859" s="52">
        <f>SUM(BK52:BK836)</f>
        <v>38280.53</v>
      </c>
    </row>
    <row r="860" spans="1:12" ht="14.25" hidden="1" x14ac:dyDescent="0.2">
      <c r="A860" s="63"/>
      <c r="B860" s="66"/>
      <c r="C860" s="136" t="s">
        <v>749</v>
      </c>
      <c r="D860" s="136"/>
      <c r="E860" s="136"/>
      <c r="F860" s="136"/>
      <c r="G860" s="136"/>
      <c r="H860" s="136"/>
      <c r="I860" s="52"/>
      <c r="J860" s="63"/>
      <c r="K860" s="50"/>
      <c r="L860" s="52">
        <f>SUM(BD52:BD836)</f>
        <v>0</v>
      </c>
    </row>
    <row r="861" spans="1:12" ht="14.25" hidden="1" x14ac:dyDescent="0.2">
      <c r="A861" s="63"/>
      <c r="B861" s="66"/>
      <c r="C861" s="136" t="s">
        <v>840</v>
      </c>
      <c r="D861" s="136"/>
      <c r="E861" s="136"/>
      <c r="F861" s="136"/>
      <c r="G861" s="136"/>
      <c r="H861" s="136"/>
      <c r="I861" s="52"/>
      <c r="J861" s="63"/>
      <c r="K861" s="50"/>
      <c r="L861" s="52">
        <f>L812</f>
        <v>0</v>
      </c>
    </row>
    <row r="862" spans="1:12" ht="14.25" x14ac:dyDescent="0.2">
      <c r="A862" s="63"/>
      <c r="B862" s="66"/>
      <c r="C862" s="134" t="s">
        <v>753</v>
      </c>
      <c r="D862" s="136"/>
      <c r="E862" s="136"/>
      <c r="F862" s="136"/>
      <c r="G862" s="136"/>
      <c r="H862" s="136"/>
      <c r="I862" s="52"/>
      <c r="J862" s="63"/>
      <c r="K862" s="50"/>
      <c r="L862" s="52"/>
    </row>
    <row r="863" spans="1:12" ht="14.25" hidden="1" x14ac:dyDescent="0.2">
      <c r="A863" s="63"/>
      <c r="B863" s="66"/>
      <c r="C863" s="136" t="s">
        <v>754</v>
      </c>
      <c r="D863" s="136"/>
      <c r="E863" s="136"/>
      <c r="F863" s="136"/>
      <c r="G863" s="136"/>
      <c r="H863" s="136"/>
      <c r="I863" s="52"/>
      <c r="J863" s="63"/>
      <c r="K863" s="50"/>
      <c r="L863" s="52">
        <f>SUM(AX52:AX836)</f>
        <v>0</v>
      </c>
    </row>
    <row r="864" spans="1:12" ht="14.25" hidden="1" x14ac:dyDescent="0.2">
      <c r="A864" s="63"/>
      <c r="B864" s="66"/>
      <c r="C864" s="136" t="s">
        <v>755</v>
      </c>
      <c r="D864" s="136"/>
      <c r="E864" s="136"/>
      <c r="F864" s="136"/>
      <c r="G864" s="136"/>
      <c r="H864" s="136"/>
      <c r="I864" s="52"/>
      <c r="J864" s="63"/>
      <c r="K864" s="50"/>
      <c r="L864" s="52">
        <f>SUM(AY52:AY836)</f>
        <v>0</v>
      </c>
    </row>
    <row r="865" spans="1:12" ht="14.25" x14ac:dyDescent="0.2">
      <c r="A865" s="63"/>
      <c r="B865" s="66"/>
      <c r="C865" s="136" t="s">
        <v>756</v>
      </c>
      <c r="D865" s="136"/>
      <c r="E865" s="136"/>
      <c r="F865" s="137"/>
      <c r="G865" s="54">
        <f>Source!F250</f>
        <v>179.30515220000001</v>
      </c>
      <c r="H865" s="63"/>
      <c r="I865" s="63"/>
      <c r="J865" s="63"/>
      <c r="K865" s="63"/>
      <c r="L865" s="63"/>
    </row>
    <row r="866" spans="1:12" ht="14.25" x14ac:dyDescent="0.2">
      <c r="A866" s="63"/>
      <c r="B866" s="66"/>
      <c r="C866" s="136" t="s">
        <v>757</v>
      </c>
      <c r="D866" s="136"/>
      <c r="E866" s="136"/>
      <c r="F866" s="137"/>
      <c r="G866" s="54">
        <f>Source!F251</f>
        <v>0.84961500000000001</v>
      </c>
      <c r="H866" s="63"/>
      <c r="I866" s="63"/>
      <c r="J866" s="63"/>
      <c r="K866" s="63"/>
      <c r="L866" s="63"/>
    </row>
    <row r="867" spans="1:12" ht="14.25" x14ac:dyDescent="0.2">
      <c r="A867" s="63"/>
      <c r="B867" s="66"/>
      <c r="C867" s="48"/>
      <c r="D867" s="48"/>
      <c r="E867" s="48"/>
      <c r="F867" s="51"/>
      <c r="G867" s="54"/>
      <c r="H867" s="63"/>
      <c r="I867" s="63"/>
      <c r="J867" s="63"/>
      <c r="K867" s="63"/>
      <c r="L867" s="63"/>
    </row>
    <row r="868" spans="1:12" ht="14.25" x14ac:dyDescent="0.2">
      <c r="A868" s="63"/>
      <c r="B868" s="66"/>
      <c r="C868" s="48" t="s">
        <v>854</v>
      </c>
      <c r="D868" s="48"/>
      <c r="E868" s="48"/>
      <c r="F868" s="51"/>
      <c r="G868" s="54"/>
      <c r="H868" s="63"/>
      <c r="I868" s="63"/>
      <c r="J868" s="63"/>
      <c r="K868" s="63"/>
      <c r="L868" s="104">
        <f>L838</f>
        <v>483326.15</v>
      </c>
    </row>
    <row r="869" spans="1:12" s="45" customFormat="1" ht="14.25" x14ac:dyDescent="0.2">
      <c r="C869" s="45" t="s">
        <v>368</v>
      </c>
      <c r="L869" s="105">
        <f>L868*22/100</f>
        <v>106331.75300000001</v>
      </c>
    </row>
    <row r="870" spans="1:12" s="106" customFormat="1" ht="15" x14ac:dyDescent="0.25">
      <c r="C870" s="106" t="s">
        <v>838</v>
      </c>
      <c r="L870" s="107">
        <f>L868+L869</f>
        <v>589657.90300000005</v>
      </c>
    </row>
    <row r="872" spans="1:12" ht="13.9" customHeight="1" x14ac:dyDescent="0.2">
      <c r="A872" s="85"/>
      <c r="B872" s="86" t="s">
        <v>841</v>
      </c>
      <c r="C872" s="88" t="str">
        <f>IF(Source!AC12&lt;&gt;"", Source!AC12," ")</f>
        <v xml:space="preserve"> </v>
      </c>
      <c r="D872" s="36"/>
      <c r="E872" s="36"/>
      <c r="F872" s="36"/>
      <c r="G872" s="36"/>
      <c r="H872" s="87" t="str">
        <f>IF(Source!AB12&lt;&gt;"", Source!AB12," ")</f>
        <v xml:space="preserve"> </v>
      </c>
      <c r="I872" s="26"/>
      <c r="J872" s="26"/>
      <c r="K872" s="40"/>
      <c r="L872" s="40"/>
    </row>
    <row r="873" spans="1:12" ht="13.9" customHeight="1" x14ac:dyDescent="0.2">
      <c r="A873" s="85"/>
      <c r="B873" s="89"/>
      <c r="C873" s="139" t="s">
        <v>842</v>
      </c>
      <c r="D873" s="139"/>
      <c r="E873" s="139"/>
      <c r="F873" s="139"/>
      <c r="G873" s="139"/>
      <c r="H873" s="26"/>
      <c r="I873" s="26"/>
      <c r="J873" s="26"/>
      <c r="K873" s="40"/>
      <c r="L873" s="40"/>
    </row>
    <row r="874" spans="1:12" ht="13.9" customHeight="1" x14ac:dyDescent="0.2">
      <c r="A874" s="85"/>
      <c r="B874" s="89"/>
      <c r="C874" s="22"/>
      <c r="D874" s="22"/>
      <c r="E874" s="22"/>
      <c r="F874" s="22"/>
      <c r="G874" s="22"/>
      <c r="H874" s="26"/>
      <c r="I874" s="26"/>
      <c r="J874" s="26"/>
      <c r="K874" s="40"/>
      <c r="L874" s="40"/>
    </row>
    <row r="875" spans="1:12" ht="13.9" customHeight="1" x14ac:dyDescent="0.2">
      <c r="A875" s="85"/>
      <c r="B875" s="86" t="s">
        <v>843</v>
      </c>
      <c r="C875" s="88" t="str">
        <f>IF(Source!AE12&lt;&gt;"", Source!AE12," ")</f>
        <v xml:space="preserve"> </v>
      </c>
      <c r="D875" s="36"/>
      <c r="E875" s="36"/>
      <c r="F875" s="36"/>
      <c r="G875" s="36"/>
      <c r="H875" s="87" t="str">
        <f>IF(Source!AD12&lt;&gt;"", Source!AD12," ")</f>
        <v xml:space="preserve"> </v>
      </c>
      <c r="I875" s="26"/>
      <c r="J875" s="26"/>
      <c r="K875" s="40"/>
      <c r="L875" s="40"/>
    </row>
    <row r="876" spans="1:12" ht="13.9" customHeight="1" x14ac:dyDescent="0.2">
      <c r="A876" s="22"/>
      <c r="B876" s="22"/>
      <c r="C876" s="139" t="s">
        <v>842</v>
      </c>
      <c r="D876" s="139"/>
      <c r="E876" s="139"/>
      <c r="F876" s="139"/>
      <c r="G876" s="139"/>
      <c r="H876" s="26"/>
      <c r="I876" s="26"/>
      <c r="J876" s="26"/>
      <c r="K876" s="40"/>
      <c r="L876" s="40"/>
    </row>
  </sheetData>
  <mergeCells count="379">
    <mergeCell ref="C863:H863"/>
    <mergeCell ref="C864:H864"/>
    <mergeCell ref="C865:F865"/>
    <mergeCell ref="C866:F866"/>
    <mergeCell ref="C873:G873"/>
    <mergeCell ref="C876:G876"/>
    <mergeCell ref="C857:H857"/>
    <mergeCell ref="C858:H858"/>
    <mergeCell ref="C859:H859"/>
    <mergeCell ref="C860:H860"/>
    <mergeCell ref="C861:H861"/>
    <mergeCell ref="C862:H862"/>
    <mergeCell ref="C851:H851"/>
    <mergeCell ref="C852:H852"/>
    <mergeCell ref="C853:H853"/>
    <mergeCell ref="C854:H854"/>
    <mergeCell ref="C855:H855"/>
    <mergeCell ref="C856:H856"/>
    <mergeCell ref="C845:H845"/>
    <mergeCell ref="C846:H846"/>
    <mergeCell ref="C847:H847"/>
    <mergeCell ref="C848:H848"/>
    <mergeCell ref="C849:H849"/>
    <mergeCell ref="C850:H850"/>
    <mergeCell ref="C839:H839"/>
    <mergeCell ref="C840:H840"/>
    <mergeCell ref="C841:H841"/>
    <mergeCell ref="C842:H842"/>
    <mergeCell ref="C843:H843"/>
    <mergeCell ref="C844:H844"/>
    <mergeCell ref="C832:H832"/>
    <mergeCell ref="C833:H833"/>
    <mergeCell ref="C834:H834"/>
    <mergeCell ref="C835:H835"/>
    <mergeCell ref="C836:H836"/>
    <mergeCell ref="C838:H838"/>
    <mergeCell ref="C826:H826"/>
    <mergeCell ref="C827:H827"/>
    <mergeCell ref="C828:H828"/>
    <mergeCell ref="C829:H829"/>
    <mergeCell ref="C830:H830"/>
    <mergeCell ref="C831:H831"/>
    <mergeCell ref="C820:H820"/>
    <mergeCell ref="C821:H821"/>
    <mergeCell ref="C822:H822"/>
    <mergeCell ref="C823:H823"/>
    <mergeCell ref="C824:H824"/>
    <mergeCell ref="C825:H825"/>
    <mergeCell ref="C814:H814"/>
    <mergeCell ref="C815:H815"/>
    <mergeCell ref="C816:H816"/>
    <mergeCell ref="C817:H817"/>
    <mergeCell ref="C818:H818"/>
    <mergeCell ref="C819:H819"/>
    <mergeCell ref="C807:H807"/>
    <mergeCell ref="C808:H808"/>
    <mergeCell ref="C809:H809"/>
    <mergeCell ref="C810:H810"/>
    <mergeCell ref="C812:H812"/>
    <mergeCell ref="C813:H813"/>
    <mergeCell ref="C800:H800"/>
    <mergeCell ref="C801:H801"/>
    <mergeCell ref="C802:H802"/>
    <mergeCell ref="C803:H803"/>
    <mergeCell ref="C804:H804"/>
    <mergeCell ref="C805:H805"/>
    <mergeCell ref="C794:H794"/>
    <mergeCell ref="C795:H795"/>
    <mergeCell ref="C796:H796"/>
    <mergeCell ref="C797:H797"/>
    <mergeCell ref="C798:H798"/>
    <mergeCell ref="C799:H799"/>
    <mergeCell ref="C788:H788"/>
    <mergeCell ref="C789:H789"/>
    <mergeCell ref="C790:H790"/>
    <mergeCell ref="C791:H791"/>
    <mergeCell ref="C792:H792"/>
    <mergeCell ref="C793:H793"/>
    <mergeCell ref="C781:H781"/>
    <mergeCell ref="C782:H782"/>
    <mergeCell ref="C783:H783"/>
    <mergeCell ref="C784:H784"/>
    <mergeCell ref="C785:H785"/>
    <mergeCell ref="C787:H787"/>
    <mergeCell ref="C775:H775"/>
    <mergeCell ref="C776:H776"/>
    <mergeCell ref="C777:H777"/>
    <mergeCell ref="C778:H778"/>
    <mergeCell ref="C779:H779"/>
    <mergeCell ref="C780:H780"/>
    <mergeCell ref="C769:H769"/>
    <mergeCell ref="C770:H770"/>
    <mergeCell ref="C771:H771"/>
    <mergeCell ref="C772:H772"/>
    <mergeCell ref="C773:H773"/>
    <mergeCell ref="C774:H774"/>
    <mergeCell ref="C760:H760"/>
    <mergeCell ref="C761:F761"/>
    <mergeCell ref="C762:F762"/>
    <mergeCell ref="C765:H765"/>
    <mergeCell ref="C767:H767"/>
    <mergeCell ref="C768:H768"/>
    <mergeCell ref="C754:H754"/>
    <mergeCell ref="C755:H755"/>
    <mergeCell ref="C756:H756"/>
    <mergeCell ref="C757:H757"/>
    <mergeCell ref="C758:H758"/>
    <mergeCell ref="C759:H759"/>
    <mergeCell ref="C748:H748"/>
    <mergeCell ref="C749:H749"/>
    <mergeCell ref="C750:H750"/>
    <mergeCell ref="C751:H751"/>
    <mergeCell ref="C752:H752"/>
    <mergeCell ref="C753:H753"/>
    <mergeCell ref="C742:H742"/>
    <mergeCell ref="C743:H743"/>
    <mergeCell ref="C744:H744"/>
    <mergeCell ref="C745:H745"/>
    <mergeCell ref="C746:H746"/>
    <mergeCell ref="C747:H747"/>
    <mergeCell ref="C736:H736"/>
    <mergeCell ref="C737:H737"/>
    <mergeCell ref="C738:H738"/>
    <mergeCell ref="C739:H739"/>
    <mergeCell ref="C740:H740"/>
    <mergeCell ref="C741:H741"/>
    <mergeCell ref="C731:H731"/>
    <mergeCell ref="I731:J731"/>
    <mergeCell ref="K731:L731"/>
    <mergeCell ref="C733:H733"/>
    <mergeCell ref="C734:H734"/>
    <mergeCell ref="C735:H735"/>
    <mergeCell ref="A717:L717"/>
    <mergeCell ref="C727:H727"/>
    <mergeCell ref="I727:J727"/>
    <mergeCell ref="K727:L727"/>
    <mergeCell ref="C729:H729"/>
    <mergeCell ref="I729:J729"/>
    <mergeCell ref="K729:L729"/>
    <mergeCell ref="C709:H709"/>
    <mergeCell ref="C710:H710"/>
    <mergeCell ref="C711:H711"/>
    <mergeCell ref="C712:H712"/>
    <mergeCell ref="C713:F713"/>
    <mergeCell ref="C714:F714"/>
    <mergeCell ref="C703:H703"/>
    <mergeCell ref="C704:H704"/>
    <mergeCell ref="C705:H705"/>
    <mergeCell ref="C706:H706"/>
    <mergeCell ref="C707:H707"/>
    <mergeCell ref="C708:H708"/>
    <mergeCell ref="C697:H697"/>
    <mergeCell ref="C698:H698"/>
    <mergeCell ref="C699:H699"/>
    <mergeCell ref="C700:H700"/>
    <mergeCell ref="C701:H701"/>
    <mergeCell ref="C702:H702"/>
    <mergeCell ref="C691:H691"/>
    <mergeCell ref="C692:H692"/>
    <mergeCell ref="C693:H693"/>
    <mergeCell ref="C694:H694"/>
    <mergeCell ref="C695:H695"/>
    <mergeCell ref="C696:H696"/>
    <mergeCell ref="C685:H685"/>
    <mergeCell ref="C686:H686"/>
    <mergeCell ref="C687:H687"/>
    <mergeCell ref="C688:H688"/>
    <mergeCell ref="C689:H689"/>
    <mergeCell ref="C690:H690"/>
    <mergeCell ref="C681:H681"/>
    <mergeCell ref="I681:J681"/>
    <mergeCell ref="K681:L681"/>
    <mergeCell ref="C683:H683"/>
    <mergeCell ref="I683:J683"/>
    <mergeCell ref="K683:L683"/>
    <mergeCell ref="C632:H632"/>
    <mergeCell ref="I632:J632"/>
    <mergeCell ref="K632:L632"/>
    <mergeCell ref="C634:L634"/>
    <mergeCell ref="C657:H657"/>
    <mergeCell ref="I657:J657"/>
    <mergeCell ref="K657:L657"/>
    <mergeCell ref="C601:H601"/>
    <mergeCell ref="I601:J601"/>
    <mergeCell ref="K601:L601"/>
    <mergeCell ref="C603:L603"/>
    <mergeCell ref="C623:H623"/>
    <mergeCell ref="I623:J623"/>
    <mergeCell ref="K623:L623"/>
    <mergeCell ref="C571:H571"/>
    <mergeCell ref="I571:J571"/>
    <mergeCell ref="K571:L571"/>
    <mergeCell ref="C573:L573"/>
    <mergeCell ref="C592:H592"/>
    <mergeCell ref="I592:J592"/>
    <mergeCell ref="K592:L592"/>
    <mergeCell ref="C523:H523"/>
    <mergeCell ref="I523:J523"/>
    <mergeCell ref="K523:L523"/>
    <mergeCell ref="C550:H550"/>
    <mergeCell ref="I550:J550"/>
    <mergeCell ref="K550:L550"/>
    <mergeCell ref="C463:L463"/>
    <mergeCell ref="C479:H479"/>
    <mergeCell ref="I479:J479"/>
    <mergeCell ref="K479:L479"/>
    <mergeCell ref="C481:L481"/>
    <mergeCell ref="C493:H493"/>
    <mergeCell ref="I493:J493"/>
    <mergeCell ref="K493:L493"/>
    <mergeCell ref="A426:L426"/>
    <mergeCell ref="C443:H443"/>
    <mergeCell ref="I443:J443"/>
    <mergeCell ref="K443:L443"/>
    <mergeCell ref="C445:L445"/>
    <mergeCell ref="C461:H461"/>
    <mergeCell ref="I461:J461"/>
    <mergeCell ref="K461:L461"/>
    <mergeCell ref="C418:H418"/>
    <mergeCell ref="C419:H419"/>
    <mergeCell ref="C420:H420"/>
    <mergeCell ref="C421:H421"/>
    <mergeCell ref="C422:F422"/>
    <mergeCell ref="C423:F423"/>
    <mergeCell ref="C412:H412"/>
    <mergeCell ref="C413:H413"/>
    <mergeCell ref="C414:H414"/>
    <mergeCell ref="C415:H415"/>
    <mergeCell ref="C416:H416"/>
    <mergeCell ref="C417:H417"/>
    <mergeCell ref="C406:H406"/>
    <mergeCell ref="C407:H407"/>
    <mergeCell ref="C408:H408"/>
    <mergeCell ref="C409:H409"/>
    <mergeCell ref="C410:H410"/>
    <mergeCell ref="C411:H411"/>
    <mergeCell ref="C400:H400"/>
    <mergeCell ref="C401:H401"/>
    <mergeCell ref="C402:H402"/>
    <mergeCell ref="C403:H403"/>
    <mergeCell ref="C404:H404"/>
    <mergeCell ref="C405:H405"/>
    <mergeCell ref="C394:H394"/>
    <mergeCell ref="C395:H395"/>
    <mergeCell ref="C396:H396"/>
    <mergeCell ref="C397:H397"/>
    <mergeCell ref="C398:H398"/>
    <mergeCell ref="C399:H399"/>
    <mergeCell ref="C360:L360"/>
    <mergeCell ref="C372:H372"/>
    <mergeCell ref="I372:J372"/>
    <mergeCell ref="K372:L372"/>
    <mergeCell ref="C392:H392"/>
    <mergeCell ref="I392:J392"/>
    <mergeCell ref="K392:L392"/>
    <mergeCell ref="C326:L326"/>
    <mergeCell ref="C349:H349"/>
    <mergeCell ref="I349:J349"/>
    <mergeCell ref="K349:L349"/>
    <mergeCell ref="C358:H358"/>
    <mergeCell ref="I358:J358"/>
    <mergeCell ref="K358:L358"/>
    <mergeCell ref="C299:H299"/>
    <mergeCell ref="I299:J299"/>
    <mergeCell ref="K299:L299"/>
    <mergeCell ref="C301:L301"/>
    <mergeCell ref="C324:H324"/>
    <mergeCell ref="I324:J324"/>
    <mergeCell ref="K324:L324"/>
    <mergeCell ref="C267:H267"/>
    <mergeCell ref="I267:J267"/>
    <mergeCell ref="K267:L267"/>
    <mergeCell ref="C269:L269"/>
    <mergeCell ref="C289:H289"/>
    <mergeCell ref="I289:J289"/>
    <mergeCell ref="K289:L289"/>
    <mergeCell ref="C239:H239"/>
    <mergeCell ref="I239:J239"/>
    <mergeCell ref="K239:L239"/>
    <mergeCell ref="C241:L241"/>
    <mergeCell ref="C253:H253"/>
    <mergeCell ref="I253:J253"/>
    <mergeCell ref="K253:L253"/>
    <mergeCell ref="A200:L200"/>
    <mergeCell ref="C214:H214"/>
    <mergeCell ref="I214:J214"/>
    <mergeCell ref="K214:L214"/>
    <mergeCell ref="C216:L216"/>
    <mergeCell ref="C230:H230"/>
    <mergeCell ref="I230:J230"/>
    <mergeCell ref="K230:L230"/>
    <mergeCell ref="C192:H192"/>
    <mergeCell ref="C193:H193"/>
    <mergeCell ref="C194:H194"/>
    <mergeCell ref="C195:H195"/>
    <mergeCell ref="C196:F196"/>
    <mergeCell ref="C197:F197"/>
    <mergeCell ref="C186:H186"/>
    <mergeCell ref="C187:H187"/>
    <mergeCell ref="C188:H188"/>
    <mergeCell ref="C189:H189"/>
    <mergeCell ref="C190:H190"/>
    <mergeCell ref="C191:H191"/>
    <mergeCell ref="C180:H180"/>
    <mergeCell ref="C181:H181"/>
    <mergeCell ref="C182:H182"/>
    <mergeCell ref="C183:H183"/>
    <mergeCell ref="C184:H184"/>
    <mergeCell ref="C185:H185"/>
    <mergeCell ref="C174:H174"/>
    <mergeCell ref="C175:H175"/>
    <mergeCell ref="C176:H176"/>
    <mergeCell ref="C177:H177"/>
    <mergeCell ref="C178:H178"/>
    <mergeCell ref="C179:H179"/>
    <mergeCell ref="C168:H168"/>
    <mergeCell ref="C169:H169"/>
    <mergeCell ref="C170:H170"/>
    <mergeCell ref="C171:H171"/>
    <mergeCell ref="C172:H172"/>
    <mergeCell ref="C173:H173"/>
    <mergeCell ref="C148:H148"/>
    <mergeCell ref="I148:J148"/>
    <mergeCell ref="K148:L148"/>
    <mergeCell ref="C150:L150"/>
    <mergeCell ref="C166:H166"/>
    <mergeCell ref="I166:J166"/>
    <mergeCell ref="K166:L166"/>
    <mergeCell ref="C88:L88"/>
    <mergeCell ref="C112:H112"/>
    <mergeCell ref="I112:J112"/>
    <mergeCell ref="K112:L112"/>
    <mergeCell ref="C114:L114"/>
    <mergeCell ref="C130:H130"/>
    <mergeCell ref="I130:J130"/>
    <mergeCell ref="K130:L130"/>
    <mergeCell ref="A53:L53"/>
    <mergeCell ref="C72:H72"/>
    <mergeCell ref="I72:J72"/>
    <mergeCell ref="K72:L72"/>
    <mergeCell ref="C86:H86"/>
    <mergeCell ref="I86:J86"/>
    <mergeCell ref="K86:L86"/>
    <mergeCell ref="A46:A50"/>
    <mergeCell ref="B46:B50"/>
    <mergeCell ref="C46:C50"/>
    <mergeCell ref="D46:D50"/>
    <mergeCell ref="E46:G49"/>
    <mergeCell ref="H46:L49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</mergeCells>
  <pageMargins left="0.4" right="0.2" top="0.2" bottom="0.4" header="0.2" footer="0.2"/>
  <pageSetup paperSize="9" scale="70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1"/>
  <sheetViews>
    <sheetView zoomScaleNormal="100" workbookViewId="0"/>
  </sheetViews>
  <sheetFormatPr defaultRowHeight="12.75" x14ac:dyDescent="0.2"/>
  <cols>
    <col min="1" max="2" width="6.7109375" customWidth="1"/>
    <col min="3" max="3" width="75.7109375" customWidth="1"/>
    <col min="4" max="8" width="15.7109375" customWidth="1"/>
    <col min="30" max="30" width="0" hidden="1" customWidth="1"/>
    <col min="31" max="31" width="114.7109375" hidden="1" customWidth="1"/>
    <col min="32" max="32" width="165.7109375" hidden="1" customWidth="1"/>
  </cols>
  <sheetData>
    <row r="1" spans="1:31" x14ac:dyDescent="0.2">
      <c r="A1" s="14" t="str">
        <f>Source!B1</f>
        <v>Smeta.RU  (495) 974-1589</v>
      </c>
    </row>
    <row r="2" spans="1:31" ht="14.25" x14ac:dyDescent="0.2">
      <c r="D2" s="45"/>
      <c r="E2" s="45"/>
    </row>
    <row r="3" spans="1:31" ht="15" x14ac:dyDescent="0.25">
      <c r="D3" s="45"/>
      <c r="E3" s="90" t="s">
        <v>844</v>
      </c>
    </row>
    <row r="4" spans="1:31" ht="15" x14ac:dyDescent="0.25">
      <c r="D4" s="90"/>
      <c r="E4" s="90"/>
    </row>
    <row r="5" spans="1:31" ht="15" x14ac:dyDescent="0.25">
      <c r="D5" s="141" t="s">
        <v>845</v>
      </c>
      <c r="E5" s="141"/>
    </row>
    <row r="6" spans="1:31" ht="15" x14ac:dyDescent="0.25">
      <c r="D6" s="91"/>
      <c r="E6" s="91"/>
    </row>
    <row r="7" spans="1:31" ht="15" x14ac:dyDescent="0.25">
      <c r="D7" s="141" t="s">
        <v>845</v>
      </c>
      <c r="E7" s="141"/>
    </row>
    <row r="8" spans="1:31" ht="15" x14ac:dyDescent="0.25">
      <c r="D8" s="91"/>
      <c r="E8" s="91"/>
    </row>
    <row r="9" spans="1:31" ht="15" x14ac:dyDescent="0.25">
      <c r="D9" s="90" t="s">
        <v>846</v>
      </c>
      <c r="E9" s="45"/>
    </row>
    <row r="10" spans="1:31" ht="14.25" x14ac:dyDescent="0.2">
      <c r="D10" s="45"/>
      <c r="E10" s="45"/>
    </row>
    <row r="12" spans="1:31" ht="15.75" x14ac:dyDescent="0.2">
      <c r="B12" s="142" t="str">
        <f>CONCATENATE("Ведомость объемов работ ", IF(Source!AN15&lt;&gt;"", Source!AN15," "))</f>
        <v xml:space="preserve">Ведомость объемов работ  </v>
      </c>
      <c r="C12" s="142"/>
      <c r="D12" s="142"/>
      <c r="E12" s="142"/>
    </row>
    <row r="13" spans="1:31" ht="45" x14ac:dyDescent="0.2">
      <c r="B13" s="143" t="str">
        <f>CONCATENATE(Source!F12, " ", Source!G12)</f>
        <v xml:space="preserve"> 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  <c r="C13" s="143"/>
      <c r="D13" s="143"/>
      <c r="E13" s="143"/>
      <c r="AE13" s="92" t="str">
        <f>CONCATENATE(Source!F12, " ", Source!G12)</f>
        <v xml:space="preserve"> 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</row>
    <row r="14" spans="1:31" hidden="1" x14ac:dyDescent="0.2"/>
    <row r="16" spans="1:31" ht="99.75" x14ac:dyDescent="0.2">
      <c r="A16" s="94" t="s">
        <v>679</v>
      </c>
      <c r="B16" s="94" t="s">
        <v>847</v>
      </c>
      <c r="C16" s="94" t="s">
        <v>681</v>
      </c>
      <c r="D16" s="94" t="s">
        <v>682</v>
      </c>
      <c r="E16" s="94" t="s">
        <v>683</v>
      </c>
      <c r="F16" s="94" t="s">
        <v>848</v>
      </c>
      <c r="G16" s="94" t="s">
        <v>849</v>
      </c>
      <c r="H16" s="94" t="s">
        <v>850</v>
      </c>
    </row>
    <row r="17" spans="1:32" ht="14.25" x14ac:dyDescent="0.2">
      <c r="A17" s="94">
        <v>1</v>
      </c>
      <c r="B17" s="94">
        <v>2</v>
      </c>
      <c r="C17" s="94">
        <v>3</v>
      </c>
      <c r="D17" s="94">
        <v>4</v>
      </c>
      <c r="E17" s="94">
        <v>5</v>
      </c>
      <c r="F17" s="94">
        <v>6</v>
      </c>
      <c r="G17" s="94">
        <v>7</v>
      </c>
      <c r="H17" s="94">
        <v>8</v>
      </c>
    </row>
    <row r="18" spans="1:32" ht="33" x14ac:dyDescent="0.25">
      <c r="A18" s="140" t="str">
        <f>CONCATENATE("Локальная смета: ", Source!G20)</f>
        <v>Локальная смета: Замена элементов систем водоснабжения, отопления и канализации с последующими ремонтно-восстановительными работами</v>
      </c>
      <c r="B18" s="140"/>
      <c r="C18" s="140"/>
      <c r="D18" s="140"/>
      <c r="E18" s="140"/>
      <c r="F18" s="140"/>
      <c r="G18" s="140"/>
      <c r="H18" s="140"/>
      <c r="AF18" s="95" t="str">
        <f>CONCATENATE("Локальная смета: ", Source!G20)</f>
        <v>Локальная смета: Замена элементов систем водоснабжения, отопления и канализации с последующими ремонтно-восстановительными работами</v>
      </c>
    </row>
    <row r="19" spans="1:32" ht="16.5" x14ac:dyDescent="0.25">
      <c r="A19" s="140" t="str">
        <f>CONCATENATE("Раздел: ", Source!G24)</f>
        <v>Раздел: Работа 1</v>
      </c>
      <c r="B19" s="140"/>
      <c r="C19" s="140"/>
      <c r="D19" s="140"/>
      <c r="E19" s="140"/>
      <c r="F19" s="140"/>
      <c r="G19" s="140"/>
      <c r="H19" s="140"/>
    </row>
    <row r="20" spans="1:32" ht="14.25" x14ac:dyDescent="0.2">
      <c r="A20" s="94">
        <v>1</v>
      </c>
      <c r="B20" s="94" t="str">
        <f>Source!E28</f>
        <v>1</v>
      </c>
      <c r="C20" s="98" t="str">
        <f>Source!G28</f>
        <v>Смена задвижек диаметром: 100 мм</v>
      </c>
      <c r="D20" s="94" t="s">
        <v>19</v>
      </c>
      <c r="E20" s="99">
        <f>Source!I28</f>
        <v>0.01</v>
      </c>
      <c r="F20" s="94" t="str">
        <f>Source!U24</f>
        <v/>
      </c>
      <c r="G20" s="94" t="str">
        <f>"=1/"&amp;"100"</f>
        <v>=1/100</v>
      </c>
      <c r="H20" s="98"/>
    </row>
    <row r="21" spans="1:32" ht="42.75" x14ac:dyDescent="0.2">
      <c r="A21" s="94">
        <v>1.1000000000000001</v>
      </c>
      <c r="B21" s="94" t="str">
        <f>Source!E29</f>
        <v>1,1</v>
      </c>
      <c r="C21" s="98" t="str">
        <f>Source!G29</f>
        <v>Кран шаровой стальной для воды, нефтепродуктов, горюче-смазочных материалов, полнопроходной, фланцевый, с рукояткой, сталь 20, номинальное давление 1,6 МПа, номинальный диаметр 100 мм</v>
      </c>
      <c r="D21" s="94" t="s">
        <v>30</v>
      </c>
      <c r="E21" s="99">
        <f>Source!I29</f>
        <v>1</v>
      </c>
      <c r="F21" s="94" t="str">
        <f>Source!U24</f>
        <v/>
      </c>
      <c r="G21" s="94"/>
      <c r="H21" s="98"/>
    </row>
    <row r="22" spans="1:32" ht="14.25" x14ac:dyDescent="0.2">
      <c r="A22" s="94">
        <v>1.2</v>
      </c>
      <c r="B22" s="94" t="str">
        <f>Source!E30</f>
        <v>1,2</v>
      </c>
      <c r="C22" s="98" t="str">
        <f>Source!G30</f>
        <v>Строительный мусор и масса возвратных материалов</v>
      </c>
      <c r="D22" s="94" t="s">
        <v>35</v>
      </c>
      <c r="E22" s="99">
        <f>Source!I30</f>
        <v>3.8399999999999997E-2</v>
      </c>
      <c r="F22" s="94" t="str">
        <f>Source!U24</f>
        <v/>
      </c>
      <c r="G22" s="94"/>
      <c r="H22" s="98"/>
    </row>
    <row r="23" spans="1:32" ht="14.25" x14ac:dyDescent="0.2">
      <c r="A23" s="94">
        <v>2</v>
      </c>
      <c r="B23" s="94" t="str">
        <f>Source!E31</f>
        <v>2</v>
      </c>
      <c r="C23" s="98" t="str">
        <f>Source!G31</f>
        <v>Снятие задвижек диаметром: до 100 мм</v>
      </c>
      <c r="D23" s="94" t="s">
        <v>19</v>
      </c>
      <c r="E23" s="99">
        <f>Source!I31</f>
        <v>0.01</v>
      </c>
      <c r="F23" s="94" t="str">
        <f>Source!U24</f>
        <v/>
      </c>
      <c r="G23" s="94" t="str">
        <f>"=1/"&amp;"100"</f>
        <v>=1/100</v>
      </c>
      <c r="H23" s="98"/>
    </row>
    <row r="24" spans="1:32" ht="14.25" x14ac:dyDescent="0.2">
      <c r="A24" s="94">
        <v>2.1</v>
      </c>
      <c r="B24" s="94" t="str">
        <f>Source!E32</f>
        <v>2,1</v>
      </c>
      <c r="C24" s="98" t="str">
        <f>Source!G32</f>
        <v>Строительный мусор и масса возвратных материалов</v>
      </c>
      <c r="D24" s="94" t="s">
        <v>35</v>
      </c>
      <c r="E24" s="99">
        <f>Source!I32</f>
        <v>3.9800000000000002E-2</v>
      </c>
      <c r="F24" s="94" t="str">
        <f>Source!U24</f>
        <v/>
      </c>
      <c r="G24" s="94"/>
      <c r="H24" s="98"/>
    </row>
    <row r="25" spans="1:32" ht="28.5" x14ac:dyDescent="0.2">
      <c r="A25" s="94">
        <v>3</v>
      </c>
      <c r="B25" s="94" t="str">
        <f>Source!E33</f>
        <v>3</v>
      </c>
      <c r="C25" s="98" t="str">
        <f>Source!G33</f>
        <v>Установка вентилей, задвижек, затворов, клапанов обратных, кранов проходных на трубопроводах из стальных труб диаметром: до 100 мм</v>
      </c>
      <c r="D25" s="94" t="s">
        <v>30</v>
      </c>
      <c r="E25" s="99">
        <f>Source!I33</f>
        <v>1</v>
      </c>
      <c r="F25" s="94" t="str">
        <f>Source!U24</f>
        <v/>
      </c>
      <c r="G25" s="94">
        <f>Source!I33</f>
        <v>1</v>
      </c>
      <c r="H25" s="98"/>
    </row>
    <row r="26" spans="1:32" ht="42.75" x14ac:dyDescent="0.2">
      <c r="A26" s="94">
        <v>3.1</v>
      </c>
      <c r="B26" s="94" t="str">
        <f>Source!E34</f>
        <v>3,1</v>
      </c>
      <c r="C26" s="98" t="str">
        <f>Source!G34</f>
        <v>Кран шаровой фланцевый для воды, нефтепродуктов, горюче-смазочных материалов, стандартнопроходной, из стали 20, номинальное давление 2,5 МПа, условный диаметр 65 мм</v>
      </c>
      <c r="D26" s="94" t="s">
        <v>30</v>
      </c>
      <c r="E26" s="99">
        <f>Source!I34</f>
        <v>1</v>
      </c>
      <c r="F26" s="94" t="str">
        <f>Source!U24</f>
        <v/>
      </c>
      <c r="G26" s="94"/>
      <c r="H26" s="98"/>
    </row>
    <row r="27" spans="1:32" ht="28.5" x14ac:dyDescent="0.2">
      <c r="A27" s="94">
        <v>3.2</v>
      </c>
      <c r="B27" s="94" t="str">
        <f>Source!E35</f>
        <v>3,2</v>
      </c>
      <c r="C27" s="98" t="str">
        <f>Source!G35</f>
        <v>Фланец стальной плоский приварной с соединительным выступом, марка стали 20, номинальное давление 2,5 МПа, номинальный диаметр 65 мм</v>
      </c>
      <c r="D27" s="94" t="s">
        <v>30</v>
      </c>
      <c r="E27" s="99">
        <f>Source!I35</f>
        <v>2</v>
      </c>
      <c r="F27" s="94" t="str">
        <f>Source!U24</f>
        <v/>
      </c>
      <c r="G27" s="94"/>
      <c r="H27" s="98"/>
    </row>
    <row r="28" spans="1:32" ht="42.75" x14ac:dyDescent="0.2">
      <c r="A28" s="94">
        <v>4</v>
      </c>
      <c r="B28" s="94" t="str">
        <f>Source!E36</f>
        <v>4</v>
      </c>
      <c r="C28" s="98" t="str">
        <f>Source!G36</f>
        <v>Арматура муфтовая с ручным приводом или без привода водопроводная на номинальное давление до 10 МПа, номинальный диаметр: 20 мм/ДЕМОНТАЖ</v>
      </c>
      <c r="D28" s="94" t="s">
        <v>30</v>
      </c>
      <c r="E28" s="99">
        <f>Source!I36</f>
        <v>3</v>
      </c>
      <c r="F28" s="94" t="str">
        <f>Source!U24</f>
        <v/>
      </c>
      <c r="G28" s="94">
        <f>Source!I36</f>
        <v>3</v>
      </c>
      <c r="H28" s="98"/>
    </row>
    <row r="29" spans="1:32" ht="28.5" x14ac:dyDescent="0.2">
      <c r="A29" s="94">
        <v>4.0999999999999996</v>
      </c>
      <c r="B29" s="94" t="str">
        <f>Source!E37</f>
        <v>4,1</v>
      </c>
      <c r="C29" s="98" t="str">
        <f>Source!G37</f>
        <v>Сметная стоимость вспомогательных ненормируемых материальных ресурсов, не учтенная в сметной норме, 2%</v>
      </c>
      <c r="D29" s="94" t="s">
        <v>83</v>
      </c>
      <c r="E29" s="99">
        <f>Source!I37</f>
        <v>2</v>
      </c>
      <c r="F29" s="94" t="str">
        <f>Source!U24</f>
        <v/>
      </c>
      <c r="G29" s="94"/>
      <c r="H29" s="98"/>
    </row>
    <row r="30" spans="1:32" ht="28.5" x14ac:dyDescent="0.2">
      <c r="A30" s="94">
        <v>5</v>
      </c>
      <c r="B30" s="94" t="str">
        <f>Source!E38</f>
        <v>5</v>
      </c>
      <c r="C30" s="98" t="str">
        <f>Source!G38</f>
        <v>Арматура муфтовая с ручным приводом или без привода водопроводная на номинальное давление до 10 МПа, номинальный диаметр: 20 мм</v>
      </c>
      <c r="D30" s="94" t="s">
        <v>30</v>
      </c>
      <c r="E30" s="99">
        <f>Source!I38</f>
        <v>3</v>
      </c>
      <c r="F30" s="94" t="str">
        <f>Source!U24</f>
        <v/>
      </c>
      <c r="G30" s="94">
        <f>Source!I38</f>
        <v>3</v>
      </c>
      <c r="H30" s="98"/>
    </row>
    <row r="31" spans="1:32" ht="28.5" x14ac:dyDescent="0.2">
      <c r="A31" s="94">
        <v>5.0999999999999996</v>
      </c>
      <c r="B31" s="94" t="str">
        <f>Source!E39</f>
        <v>5,1</v>
      </c>
      <c r="C31" s="98" t="str">
        <f>Source!G39</f>
        <v>Сметная стоимость вспомогательных ненормируемых материальных ресурсов, не учтенная в сметной норме, 2%</v>
      </c>
      <c r="D31" s="94" t="s">
        <v>83</v>
      </c>
      <c r="E31" s="99">
        <f>Source!I39</f>
        <v>2</v>
      </c>
      <c r="F31" s="94" t="str">
        <f>Source!U24</f>
        <v/>
      </c>
      <c r="G31" s="94"/>
      <c r="H31" s="98"/>
    </row>
    <row r="32" spans="1:32" ht="42.75" x14ac:dyDescent="0.2">
      <c r="A32" s="94">
        <v>5.2</v>
      </c>
      <c r="B32" s="94" t="str">
        <f>Source!E40</f>
        <v>5,2</v>
      </c>
      <c r="C32" s="98" t="str">
        <f>Source!G40</f>
        <v>Комплект ручного балансировочного и запорного клапанов, с внутренним резьбовым присоединением, номинальное давление 2,0 МПа, номинальный диаметр 20 мм</v>
      </c>
      <c r="D32" s="94" t="s">
        <v>90</v>
      </c>
      <c r="E32" s="99">
        <f>Source!I40</f>
        <v>3</v>
      </c>
      <c r="F32" s="94" t="str">
        <f>Source!U24</f>
        <v/>
      </c>
      <c r="G32" s="94"/>
      <c r="H32" s="98"/>
    </row>
    <row r="33" spans="1:8" ht="42.75" x14ac:dyDescent="0.2">
      <c r="A33" s="94">
        <v>6</v>
      </c>
      <c r="B33" s="94" t="str">
        <f>Source!E41</f>
        <v>6</v>
      </c>
      <c r="C33" s="98" t="str">
        <f>Source!G41</f>
        <v>Гидравлическое испытание трубопроводов систем отопления, водопровода и горячего водоснабжения диаметром: до 100 мм /диам.65 мм</v>
      </c>
      <c r="D33" s="94" t="s">
        <v>95</v>
      </c>
      <c r="E33" s="99">
        <f>Source!I41</f>
        <v>2.35</v>
      </c>
      <c r="F33" s="94" t="str">
        <f>Source!U24</f>
        <v/>
      </c>
      <c r="G33" s="94" t="str">
        <f>"=235/"&amp;"100"</f>
        <v>=235/100</v>
      </c>
      <c r="H33" s="98"/>
    </row>
    <row r="34" spans="1:8" ht="16.5" x14ac:dyDescent="0.25">
      <c r="A34" s="140" t="str">
        <f>CONCATENATE("Раздел: ", Source!G73)</f>
        <v>Раздел: Работа 2</v>
      </c>
      <c r="B34" s="140"/>
      <c r="C34" s="140"/>
      <c r="D34" s="140"/>
      <c r="E34" s="140"/>
      <c r="F34" s="140"/>
      <c r="G34" s="140"/>
      <c r="H34" s="140"/>
    </row>
    <row r="35" spans="1:8" ht="28.5" x14ac:dyDescent="0.2">
      <c r="A35" s="94">
        <v>7</v>
      </c>
      <c r="B35" s="94" t="str">
        <f>Source!E77</f>
        <v>7</v>
      </c>
      <c r="C35" s="98" t="str">
        <f>Source!G77</f>
        <v>Прочистка и промывка: радиаторов отопления весом до 80 кг внутри здания</v>
      </c>
      <c r="D35" s="94" t="s">
        <v>19</v>
      </c>
      <c r="E35" s="99">
        <f>Source!I77</f>
        <v>7.0000000000000007E-2</v>
      </c>
      <c r="F35" s="94" t="str">
        <f>Source!U73</f>
        <v/>
      </c>
      <c r="G35" s="94" t="str">
        <f>"=7/"&amp;"100"</f>
        <v>=7/100</v>
      </c>
      <c r="H35" s="98"/>
    </row>
    <row r="36" spans="1:8" ht="14.25" x14ac:dyDescent="0.2">
      <c r="A36" s="94">
        <v>8</v>
      </c>
      <c r="B36" s="94" t="str">
        <f>Source!E78</f>
        <v>8</v>
      </c>
      <c r="C36" s="98" t="str">
        <f>Source!G78</f>
        <v>Установка термометров в оправе прямых и угловых</v>
      </c>
      <c r="D36" s="94" t="s">
        <v>90</v>
      </c>
      <c r="E36" s="99">
        <f>Source!I78</f>
        <v>8</v>
      </c>
      <c r="F36" s="94" t="str">
        <f>Source!U73</f>
        <v/>
      </c>
      <c r="G36" s="94">
        <f>Source!I78</f>
        <v>8</v>
      </c>
      <c r="H36" s="98"/>
    </row>
    <row r="37" spans="1:8" ht="14.25" x14ac:dyDescent="0.2">
      <c r="A37" s="94">
        <v>8.1</v>
      </c>
      <c r="B37" s="94" t="str">
        <f>Source!E79</f>
        <v>8,1</v>
      </c>
      <c r="C37" s="98" t="str">
        <f>Source!G79</f>
        <v>Термометр биметаллический А 5000-63 (от 0 до +200 °C)</v>
      </c>
      <c r="D37" s="94" t="s">
        <v>30</v>
      </c>
      <c r="E37" s="99">
        <f>Source!I79</f>
        <v>3</v>
      </c>
      <c r="F37" s="94" t="str">
        <f>Source!U73</f>
        <v/>
      </c>
      <c r="G37" s="94"/>
      <c r="H37" s="98"/>
    </row>
    <row r="38" spans="1:8" ht="28.5" x14ac:dyDescent="0.2">
      <c r="A38" s="94">
        <v>8.1999999999999993</v>
      </c>
      <c r="B38" s="94" t="str">
        <f>Source!E80</f>
        <v>8,2</v>
      </c>
      <c r="C38" s="98" t="str">
        <f>Source!G80</f>
        <v>Термометр ртутный, диапазон измерений до 160 °C, в оправе, длина нижней части 104 мм, исполнение угловое</v>
      </c>
      <c r="D38" s="94" t="s">
        <v>90</v>
      </c>
      <c r="E38" s="99">
        <f>Source!I80</f>
        <v>5</v>
      </c>
      <c r="F38" s="94" t="str">
        <f>Source!U73</f>
        <v/>
      </c>
      <c r="G38" s="94"/>
      <c r="H38" s="98"/>
    </row>
    <row r="39" spans="1:8" ht="14.25" x14ac:dyDescent="0.2">
      <c r="A39" s="94">
        <v>9</v>
      </c>
      <c r="B39" s="94" t="str">
        <f>Source!E81</f>
        <v>9</v>
      </c>
      <c r="C39" s="98" t="str">
        <f>Source!G81</f>
        <v>Демонтаж: манометров</v>
      </c>
      <c r="D39" s="94" t="s">
        <v>19</v>
      </c>
      <c r="E39" s="99">
        <f>Source!I81</f>
        <v>0.05</v>
      </c>
      <c r="F39" s="94" t="str">
        <f>Source!U73</f>
        <v/>
      </c>
      <c r="G39" s="94" t="str">
        <f>"=5/"&amp;"100"</f>
        <v>=5/100</v>
      </c>
      <c r="H39" s="98"/>
    </row>
    <row r="40" spans="1:8" ht="14.25" x14ac:dyDescent="0.2">
      <c r="A40" s="94">
        <v>10</v>
      </c>
      <c r="B40" s="94" t="str">
        <f>Source!E82</f>
        <v>10</v>
      </c>
      <c r="C40" s="98" t="str">
        <f>Source!G82</f>
        <v>Установка манометров: с трехходовым краном</v>
      </c>
      <c r="D40" s="94" t="s">
        <v>90</v>
      </c>
      <c r="E40" s="99">
        <f>Source!I82</f>
        <v>6</v>
      </c>
      <c r="F40" s="94" t="str">
        <f>Source!U73</f>
        <v/>
      </c>
      <c r="G40" s="94">
        <f>Source!I82</f>
        <v>6</v>
      </c>
      <c r="H40" s="98"/>
    </row>
    <row r="41" spans="1:8" ht="28.5" x14ac:dyDescent="0.2">
      <c r="A41" s="94">
        <v>10.1</v>
      </c>
      <c r="B41" s="94" t="str">
        <f>Source!E83</f>
        <v>10,1</v>
      </c>
      <c r="C41" s="98" t="str">
        <f>Source!G83</f>
        <v>Манометр для измерения избыточного давления от 0 до 400 кгс/см2, диаметр корпуса 100 мм, класс точности 1,5</v>
      </c>
      <c r="D41" s="94" t="s">
        <v>30</v>
      </c>
      <c r="E41" s="99">
        <f>Source!I83</f>
        <v>6</v>
      </c>
      <c r="F41" s="94" t="str">
        <f>Source!U73</f>
        <v/>
      </c>
      <c r="G41" s="94"/>
      <c r="H41" s="98"/>
    </row>
    <row r="42" spans="1:8" ht="14.25" x14ac:dyDescent="0.2">
      <c r="A42" s="94">
        <v>11</v>
      </c>
      <c r="B42" s="94" t="str">
        <f>Source!E84</f>
        <v>11</v>
      </c>
      <c r="C42" s="98" t="str">
        <f>Source!G84</f>
        <v>Снятие задвижек диаметром: до 100 мм/затвор диам.40 мм</v>
      </c>
      <c r="D42" s="94" t="s">
        <v>19</v>
      </c>
      <c r="E42" s="99">
        <f>Source!I84</f>
        <v>0.03</v>
      </c>
      <c r="F42" s="94" t="str">
        <f>Source!U73</f>
        <v/>
      </c>
      <c r="G42" s="94" t="str">
        <f>"=3/"&amp;"100"</f>
        <v>=3/100</v>
      </c>
      <c r="H42" s="98"/>
    </row>
    <row r="43" spans="1:8" ht="14.25" x14ac:dyDescent="0.2">
      <c r="A43" s="94">
        <v>11.1</v>
      </c>
      <c r="B43" s="94" t="str">
        <f>Source!E85</f>
        <v>11,1</v>
      </c>
      <c r="C43" s="98" t="str">
        <f>Source!G85</f>
        <v>Строительный мусор и масса возвратных материалов</v>
      </c>
      <c r="D43" s="94" t="s">
        <v>35</v>
      </c>
      <c r="E43" s="99">
        <f>Source!I85</f>
        <v>0.11940000000000001</v>
      </c>
      <c r="F43" s="94" t="str">
        <f>Source!U73</f>
        <v/>
      </c>
      <c r="G43" s="94"/>
      <c r="H43" s="98"/>
    </row>
    <row r="44" spans="1:8" ht="28.5" x14ac:dyDescent="0.2">
      <c r="A44" s="94">
        <v>12</v>
      </c>
      <c r="B44" s="94" t="str">
        <f>Source!E86</f>
        <v>12</v>
      </c>
      <c r="C44" s="98" t="str">
        <f>Source!G86</f>
        <v>Установка вентилей, задвижек, затворов, клапанов обратных, кранов проходных на трубопроводах из стальных труб диаметром: до 50 мм</v>
      </c>
      <c r="D44" s="94" t="s">
        <v>30</v>
      </c>
      <c r="E44" s="99">
        <f>Source!I86</f>
        <v>3</v>
      </c>
      <c r="F44" s="94" t="str">
        <f>Source!U73</f>
        <v/>
      </c>
      <c r="G44" s="94">
        <f>Source!I86</f>
        <v>3</v>
      </c>
      <c r="H44" s="98"/>
    </row>
    <row r="45" spans="1:8" ht="28.5" x14ac:dyDescent="0.2">
      <c r="A45" s="94">
        <v>12.1</v>
      </c>
      <c r="B45" s="94" t="str">
        <f>Source!E87</f>
        <v>12,1</v>
      </c>
      <c r="C45" s="98" t="str">
        <f>Source!G87</f>
        <v>Затвор дисковый поворотный чугунный межфланцевый, с ручным приводом, давление 1,6 МПа, диаметр 40 мм</v>
      </c>
      <c r="D45" s="94" t="s">
        <v>30</v>
      </c>
      <c r="E45" s="99">
        <f>Source!I87</f>
        <v>3</v>
      </c>
      <c r="F45" s="94" t="str">
        <f>Source!U73</f>
        <v/>
      </c>
      <c r="G45" s="94"/>
      <c r="H45" s="98"/>
    </row>
    <row r="46" spans="1:8" ht="28.5" x14ac:dyDescent="0.2">
      <c r="A46" s="94">
        <v>12.2</v>
      </c>
      <c r="B46" s="94" t="str">
        <f>Source!E88</f>
        <v>12,2</v>
      </c>
      <c r="C46" s="98" t="str">
        <f>Source!G88</f>
        <v>Фланец стальной плоский приварной с соединительным выступом, марка стали 20, номинальное давление 1,6 МПа, номинальный диаметр 40 мм</v>
      </c>
      <c r="D46" s="94" t="s">
        <v>30</v>
      </c>
      <c r="E46" s="99">
        <f>Source!I88</f>
        <v>6</v>
      </c>
      <c r="F46" s="94" t="str">
        <f>Source!U73</f>
        <v/>
      </c>
      <c r="G46" s="94"/>
      <c r="H46" s="98"/>
    </row>
    <row r="47" spans="1:8" ht="14.25" x14ac:dyDescent="0.2">
      <c r="A47" s="94">
        <v>13</v>
      </c>
      <c r="B47" s="94" t="str">
        <f>Source!E89</f>
        <v>13</v>
      </c>
      <c r="C47" s="98" t="str">
        <f>Source!G89</f>
        <v>Демонтаж: грязевиков/диам.80 мм и 100 мм</v>
      </c>
      <c r="D47" s="94" t="s">
        <v>19</v>
      </c>
      <c r="E47" s="99">
        <f>Source!I89</f>
        <v>0.02</v>
      </c>
      <c r="F47" s="94" t="str">
        <f>Source!U73</f>
        <v/>
      </c>
      <c r="G47" s="94" t="str">
        <f>"=2/"&amp;"100"</f>
        <v>=2/100</v>
      </c>
      <c r="H47" s="98"/>
    </row>
    <row r="48" spans="1:8" ht="14.25" x14ac:dyDescent="0.2">
      <c r="A48" s="94">
        <v>13.1</v>
      </c>
      <c r="B48" s="94" t="str">
        <f>Source!E90</f>
        <v>13,1</v>
      </c>
      <c r="C48" s="98" t="str">
        <f>Source!G90</f>
        <v>Строительный мусор и масса возвратных материалов</v>
      </c>
      <c r="D48" s="94" t="s">
        <v>35</v>
      </c>
      <c r="E48" s="99">
        <f>Source!I90</f>
        <v>0.106</v>
      </c>
      <c r="F48" s="94" t="str">
        <f>Source!U73</f>
        <v/>
      </c>
      <c r="G48" s="94"/>
      <c r="H48" s="98"/>
    </row>
    <row r="49" spans="1:8" ht="28.5" x14ac:dyDescent="0.2">
      <c r="A49" s="94">
        <v>14</v>
      </c>
      <c r="B49" s="94" t="str">
        <f>Source!E91</f>
        <v>14</v>
      </c>
      <c r="C49" s="98" t="str">
        <f>Source!G91</f>
        <v>Установка грязевиков наружным диаметром патрубков: свыше 57 до 89 мм</v>
      </c>
      <c r="D49" s="94" t="s">
        <v>30</v>
      </c>
      <c r="E49" s="99">
        <f>Source!I91</f>
        <v>1</v>
      </c>
      <c r="F49" s="94" t="str">
        <f>Source!U73</f>
        <v/>
      </c>
      <c r="G49" s="94">
        <f>Source!I91</f>
        <v>1</v>
      </c>
      <c r="H49" s="98"/>
    </row>
    <row r="50" spans="1:8" ht="28.5" x14ac:dyDescent="0.2">
      <c r="A50" s="94">
        <v>14.1</v>
      </c>
      <c r="B50" s="94" t="str">
        <f>Source!E92</f>
        <v>14,1</v>
      </c>
      <c r="C50" s="98" t="str">
        <f>Source!G92</f>
        <v>Фланец стальной плоский приварной с соединительным выступом, марка стали 20, номинальное давление 1,6 МПа, номинальный диаметр 80 мм</v>
      </c>
      <c r="D50" s="94" t="s">
        <v>30</v>
      </c>
      <c r="E50" s="99">
        <f>Source!I92</f>
        <v>4</v>
      </c>
      <c r="F50" s="94" t="str">
        <f>Source!U73</f>
        <v/>
      </c>
      <c r="G50" s="94"/>
      <c r="H50" s="98"/>
    </row>
    <row r="51" spans="1:8" ht="28.5" x14ac:dyDescent="0.2">
      <c r="A51" s="94">
        <v>15</v>
      </c>
      <c r="B51" s="94" t="str">
        <f>Source!E93</f>
        <v>15</v>
      </c>
      <c r="C51" s="98" t="str">
        <f>Source!G93</f>
        <v>Установка грязевиков наружным диаметром патрубков: свыше 89 до 108 мм</v>
      </c>
      <c r="D51" s="94" t="s">
        <v>30</v>
      </c>
      <c r="E51" s="99">
        <f>Source!I93</f>
        <v>1</v>
      </c>
      <c r="F51" s="94" t="str">
        <f>Source!U73</f>
        <v/>
      </c>
      <c r="G51" s="94">
        <f>Source!I93</f>
        <v>1</v>
      </c>
      <c r="H51" s="98"/>
    </row>
    <row r="52" spans="1:8" ht="28.5" x14ac:dyDescent="0.2">
      <c r="A52" s="94">
        <v>15.1</v>
      </c>
      <c r="B52" s="94" t="str">
        <f>Source!E94</f>
        <v>15,1</v>
      </c>
      <c r="C52" s="98" t="str">
        <f>Source!G94</f>
        <v>Фланец стальной плоский приварной с соединительным выступом, марка стали 20, номинальное давление 1,6 МПа, номинальный диаметр 100 мм</v>
      </c>
      <c r="D52" s="94" t="s">
        <v>30</v>
      </c>
      <c r="E52" s="99">
        <f>Source!I94</f>
        <v>4</v>
      </c>
      <c r="F52" s="94" t="str">
        <f>Source!U73</f>
        <v/>
      </c>
      <c r="G52" s="94"/>
      <c r="H52" s="98"/>
    </row>
    <row r="53" spans="1:8" ht="14.25" x14ac:dyDescent="0.2">
      <c r="A53" s="94">
        <v>16</v>
      </c>
      <c r="B53" s="94" t="str">
        <f>Source!E95</f>
        <v>16</v>
      </c>
      <c r="C53" s="98" t="str">
        <f>Source!G95</f>
        <v>Демонтаж: манометров</v>
      </c>
      <c r="D53" s="94" t="s">
        <v>19</v>
      </c>
      <c r="E53" s="99">
        <f>Source!I95</f>
        <v>0.32</v>
      </c>
      <c r="F53" s="94" t="str">
        <f>Source!U73</f>
        <v/>
      </c>
      <c r="G53" s="94" t="str">
        <f>"=32/"&amp;"100"</f>
        <v>=32/100</v>
      </c>
      <c r="H53" s="98"/>
    </row>
    <row r="54" spans="1:8" ht="14.25" x14ac:dyDescent="0.2">
      <c r="A54" s="94">
        <v>17</v>
      </c>
      <c r="B54" s="94" t="str">
        <f>Source!E96</f>
        <v>17</v>
      </c>
      <c r="C54" s="98" t="str">
        <f>Source!G96</f>
        <v>Установка манометров: с трехходовым краном</v>
      </c>
      <c r="D54" s="94" t="s">
        <v>90</v>
      </c>
      <c r="E54" s="99">
        <f>Source!I96</f>
        <v>32</v>
      </c>
      <c r="F54" s="94" t="str">
        <f>Source!U73</f>
        <v/>
      </c>
      <c r="G54" s="94">
        <f>Source!I96</f>
        <v>32</v>
      </c>
      <c r="H54" s="98"/>
    </row>
    <row r="55" spans="1:8" ht="28.5" x14ac:dyDescent="0.2">
      <c r="A55" s="94">
        <v>17.100000000000001</v>
      </c>
      <c r="B55" s="94" t="str">
        <f>Source!E97</f>
        <v>17,1</v>
      </c>
      <c r="C55" s="98" t="str">
        <f>Source!G97</f>
        <v>Манометр для измерения избыточного давления от 0 до 400 кгс/см2, диаметр корпуса 100 мм, класс точности 1,5</v>
      </c>
      <c r="D55" s="94" t="s">
        <v>30</v>
      </c>
      <c r="E55" s="99">
        <f>Source!I97</f>
        <v>32</v>
      </c>
      <c r="F55" s="94" t="str">
        <f>Source!U73</f>
        <v/>
      </c>
      <c r="G55" s="94"/>
      <c r="H55" s="98"/>
    </row>
    <row r="56" spans="1:8" ht="28.5" x14ac:dyDescent="0.2">
      <c r="A56" s="94">
        <v>18</v>
      </c>
      <c r="B56" s="94" t="str">
        <f>Source!E98</f>
        <v>18</v>
      </c>
      <c r="C56" s="98" t="str">
        <f>Source!G98</f>
        <v>Смена вентилей и клапанов обратных муфтовых диаметром: свыше 32 до 50 мм</v>
      </c>
      <c r="D56" s="94" t="s">
        <v>19</v>
      </c>
      <c r="E56" s="99">
        <f>Source!I98</f>
        <v>0.03</v>
      </c>
      <c r="F56" s="94" t="str">
        <f>Source!U73</f>
        <v/>
      </c>
      <c r="G56" s="94" t="str">
        <f>"=3/"&amp;"100"</f>
        <v>=3/100</v>
      </c>
      <c r="H56" s="98"/>
    </row>
    <row r="57" spans="1:8" ht="42.75" x14ac:dyDescent="0.2">
      <c r="A57" s="94">
        <v>18.100000000000001</v>
      </c>
      <c r="B57" s="94" t="str">
        <f>Source!E99</f>
        <v>18,1</v>
      </c>
      <c r="C57" s="98" t="str">
        <f>Source!G99</f>
        <v>Клапан обратный канализационный ПВХ с запирающим устройством для внутренней и наружной канализации под раструб с резиновым кольцом, диаметр 50 мм</v>
      </c>
      <c r="D57" s="94" t="s">
        <v>30</v>
      </c>
      <c r="E57" s="99">
        <f>Source!I99</f>
        <v>3</v>
      </c>
      <c r="F57" s="94" t="str">
        <f>Source!U73</f>
        <v/>
      </c>
      <c r="G57" s="94"/>
      <c r="H57" s="98"/>
    </row>
    <row r="58" spans="1:8" ht="14.25" x14ac:dyDescent="0.2">
      <c r="A58" s="94">
        <v>18.2</v>
      </c>
      <c r="B58" s="94" t="str">
        <f>Source!E100</f>
        <v>18,2</v>
      </c>
      <c r="C58" s="98" t="str">
        <f>Source!G100</f>
        <v>Строительный мусор и масса возвратных материалов</v>
      </c>
      <c r="D58" s="94" t="s">
        <v>35</v>
      </c>
      <c r="E58" s="99">
        <f>Source!I100</f>
        <v>7.1999999999999998E-3</v>
      </c>
      <c r="F58" s="94" t="str">
        <f>Source!U73</f>
        <v/>
      </c>
      <c r="G58" s="94"/>
      <c r="H58" s="98"/>
    </row>
    <row r="59" spans="1:8" ht="16.5" x14ac:dyDescent="0.25">
      <c r="A59" s="140" t="str">
        <f>CONCATENATE("Раздел: ", Source!G132)</f>
        <v>Раздел: Работа 3</v>
      </c>
      <c r="B59" s="140"/>
      <c r="C59" s="140"/>
      <c r="D59" s="140"/>
      <c r="E59" s="140"/>
      <c r="F59" s="140"/>
      <c r="G59" s="140"/>
      <c r="H59" s="140"/>
    </row>
    <row r="60" spans="1:8" ht="14.25" x14ac:dyDescent="0.2">
      <c r="A60" s="94">
        <v>19</v>
      </c>
      <c r="B60" s="94" t="str">
        <f>Source!E136</f>
        <v>19</v>
      </c>
      <c r="C60" s="98" t="str">
        <f>Source!G136</f>
        <v>Ремонт задвижек диаметром: до 100 мм без снятия с места</v>
      </c>
      <c r="D60" s="94" t="s">
        <v>19</v>
      </c>
      <c r="E60" s="99">
        <f>Source!I136</f>
        <v>0.06</v>
      </c>
      <c r="F60" s="94" t="str">
        <f>Source!U132</f>
        <v/>
      </c>
      <c r="G60" s="94" t="str">
        <f>"=6/"&amp;"100"</f>
        <v>=6/100</v>
      </c>
      <c r="H60" s="98"/>
    </row>
    <row r="61" spans="1:8" ht="28.5" x14ac:dyDescent="0.2">
      <c r="A61" s="94">
        <v>20</v>
      </c>
      <c r="B61" s="94" t="str">
        <f>Source!E137</f>
        <v>20</v>
      </c>
      <c r="C61" s="98" t="str">
        <f>Source!G137</f>
        <v>Гидравлическое испытание трубопроводов систем отопления, водопровода и горячего водоснабжения диаметром: до 50 мм</v>
      </c>
      <c r="D61" s="94" t="s">
        <v>95</v>
      </c>
      <c r="E61" s="99">
        <f>Source!I137</f>
        <v>0.3</v>
      </c>
      <c r="F61" s="94" t="str">
        <f>Source!U132</f>
        <v/>
      </c>
      <c r="G61" s="94" t="str">
        <f>"=30/"&amp;"100"</f>
        <v>=30/100</v>
      </c>
      <c r="H61" s="98"/>
    </row>
    <row r="62" spans="1:8" ht="28.5" x14ac:dyDescent="0.2">
      <c r="A62" s="94">
        <v>21</v>
      </c>
      <c r="B62" s="94" t="str">
        <f>Source!E138</f>
        <v>21</v>
      </c>
      <c r="C62" s="98" t="str">
        <f>Source!G138</f>
        <v>Гидравлическое испытание трубопроводов систем отопления, водопровода и горячего водоснабжения диаметром: до 100 мм</v>
      </c>
      <c r="D62" s="94" t="s">
        <v>95</v>
      </c>
      <c r="E62" s="99">
        <f>Source!I138</f>
        <v>0.65</v>
      </c>
      <c r="F62" s="94" t="str">
        <f>Source!U132</f>
        <v/>
      </c>
      <c r="G62" s="94" t="str">
        <f>"=65/"&amp;"100"</f>
        <v>=65/100</v>
      </c>
      <c r="H62" s="98"/>
    </row>
    <row r="63" spans="1:8" ht="14.25" x14ac:dyDescent="0.2">
      <c r="A63" s="94">
        <v>22</v>
      </c>
      <c r="B63" s="94" t="str">
        <f>Source!E139</f>
        <v>22</v>
      </c>
      <c r="C63" s="98" t="str">
        <f>Source!G139</f>
        <v>Установка манометров: с трехходовым краном</v>
      </c>
      <c r="D63" s="94" t="s">
        <v>90</v>
      </c>
      <c r="E63" s="99">
        <f>Source!I139</f>
        <v>12</v>
      </c>
      <c r="F63" s="94" t="str">
        <f>Source!U132</f>
        <v/>
      </c>
      <c r="G63" s="94">
        <f>Source!I139</f>
        <v>12</v>
      </c>
      <c r="H63" s="98"/>
    </row>
    <row r="64" spans="1:8" ht="28.5" x14ac:dyDescent="0.2">
      <c r="A64" s="94">
        <v>22.1</v>
      </c>
      <c r="B64" s="94" t="str">
        <f>Source!E140</f>
        <v>22,1</v>
      </c>
      <c r="C64" s="98" t="str">
        <f>Source!G140</f>
        <v>Манометр для измерения избыточного давления от 0 до 400 кгс/см2, диаметр корпуса 100 мм, класс точности 1,5</v>
      </c>
      <c r="D64" s="94" t="s">
        <v>30</v>
      </c>
      <c r="E64" s="99">
        <f>Source!I140</f>
        <v>12</v>
      </c>
      <c r="F64" s="94" t="str">
        <f>Source!U132</f>
        <v/>
      </c>
      <c r="G64" s="94"/>
      <c r="H64" s="98"/>
    </row>
    <row r="65" spans="1:8" ht="14.25" x14ac:dyDescent="0.2">
      <c r="A65" s="94">
        <v>23</v>
      </c>
      <c r="B65" s="94" t="str">
        <f>Source!E141</f>
        <v>23</v>
      </c>
      <c r="C65" s="98" t="str">
        <f>Source!G141</f>
        <v>Смена внутренних трубопроводов из стальных труб диаметром: до 40 мм</v>
      </c>
      <c r="D65" s="94" t="s">
        <v>95</v>
      </c>
      <c r="E65" s="99">
        <f>Source!I141</f>
        <v>0.12</v>
      </c>
      <c r="F65" s="94" t="str">
        <f>Source!U132</f>
        <v/>
      </c>
      <c r="G65" s="94" t="str">
        <f>"=12/"&amp;"100"</f>
        <v>=12/100</v>
      </c>
      <c r="H65" s="98"/>
    </row>
    <row r="66" spans="1:8" ht="42.75" x14ac:dyDescent="0.2">
      <c r="A66" s="94">
        <v>23.1</v>
      </c>
      <c r="B66" s="94" t="str">
        <f>Source!E142</f>
        <v>23,1</v>
      </c>
      <c r="C66" s="98" t="str">
        <f>Source!G142</f>
        <v>Трубы стальные сварные неоцинкованные водогазопроводные с резьбой, обыкновенные, номинальный диаметр 40 мм, толщина стенки 3,5 мм</v>
      </c>
      <c r="D66" s="94" t="s">
        <v>253</v>
      </c>
      <c r="E66" s="99">
        <f>Source!I142</f>
        <v>12</v>
      </c>
      <c r="F66" s="94" t="str">
        <f>Source!U132</f>
        <v/>
      </c>
      <c r="G66" s="94"/>
      <c r="H66" s="98"/>
    </row>
    <row r="67" spans="1:8" ht="42.75" x14ac:dyDescent="0.2">
      <c r="A67" s="94">
        <v>23.2</v>
      </c>
      <c r="B67" s="94" t="str">
        <f>Source!E143</f>
        <v>23,2</v>
      </c>
      <c r="C67" s="98" t="str">
        <f>Source!G143</f>
        <v>Хомут металлический оцинкованный с одним быстродействующим замком и резиновым профилем для крепления трубопроводов, гайка крепления М8, диаметр от 40 до 45 мм</v>
      </c>
      <c r="D67" s="94" t="s">
        <v>30</v>
      </c>
      <c r="E67" s="99">
        <f>Source!I143</f>
        <v>12</v>
      </c>
      <c r="F67" s="94" t="str">
        <f>Source!U132</f>
        <v/>
      </c>
      <c r="G67" s="94"/>
      <c r="H67" s="98"/>
    </row>
    <row r="68" spans="1:8" ht="28.5" x14ac:dyDescent="0.2">
      <c r="A68" s="94">
        <v>24</v>
      </c>
      <c r="B68" s="94" t="str">
        <f>Source!E144</f>
        <v>24</v>
      </c>
      <c r="C68" s="98" t="str">
        <f>Source!G144</f>
        <v>Смена внутренних трубопроводов из стальных труб диаметром: до 100 мм</v>
      </c>
      <c r="D68" s="94" t="s">
        <v>95</v>
      </c>
      <c r="E68" s="99">
        <f>Source!I144</f>
        <v>0.09</v>
      </c>
      <c r="F68" s="94" t="str">
        <f>Source!U132</f>
        <v/>
      </c>
      <c r="G68" s="94" t="str">
        <f>"=9/"&amp;"100"</f>
        <v>=9/100</v>
      </c>
      <c r="H68" s="98"/>
    </row>
    <row r="69" spans="1:8" ht="28.5" x14ac:dyDescent="0.2">
      <c r="A69" s="94">
        <v>24.1</v>
      </c>
      <c r="B69" s="94" t="str">
        <f>Source!E145</f>
        <v>24,1</v>
      </c>
      <c r="C69" s="98" t="str">
        <f>Source!G145</f>
        <v>Трубы стальные сварные неоцинкованные водогазопроводные с резьбой, легкие, номинальный диаметр 100 мм, толщина стенки 4 мм</v>
      </c>
      <c r="D69" s="94" t="s">
        <v>253</v>
      </c>
      <c r="E69" s="99">
        <f>Source!I145</f>
        <v>9</v>
      </c>
      <c r="F69" s="94" t="str">
        <f>Source!U132</f>
        <v/>
      </c>
      <c r="G69" s="94"/>
      <c r="H69" s="98"/>
    </row>
    <row r="70" spans="1:8" ht="42.75" x14ac:dyDescent="0.2">
      <c r="A70" s="94">
        <v>24.2</v>
      </c>
      <c r="B70" s="94" t="str">
        <f>Source!E146</f>
        <v>24,2</v>
      </c>
      <c r="C70" s="98" t="str">
        <f>Source!G146</f>
        <v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v>
      </c>
      <c r="D70" s="94" t="s">
        <v>30</v>
      </c>
      <c r="E70" s="99">
        <f>Source!I146</f>
        <v>9</v>
      </c>
      <c r="F70" s="94" t="str">
        <f>Source!U132</f>
        <v/>
      </c>
      <c r="G70" s="94"/>
      <c r="H70" s="98"/>
    </row>
    <row r="71" spans="1:8" ht="14.25" x14ac:dyDescent="0.2">
      <c r="A71" s="94">
        <v>25</v>
      </c>
      <c r="B71" s="94" t="str">
        <f>Source!E147</f>
        <v>25</v>
      </c>
      <c r="C71" s="98" t="str">
        <f>Source!G147</f>
        <v>Огрунтовка металлических поверхностей за один раз: грунтовкой ГФ-021</v>
      </c>
      <c r="D71" s="94" t="s">
        <v>274</v>
      </c>
      <c r="E71" s="99">
        <f>Source!I147</f>
        <v>4.3400000000000001E-2</v>
      </c>
      <c r="F71" s="94" t="str">
        <f>Source!U132</f>
        <v/>
      </c>
      <c r="G71" s="94" t="str">
        <f>"=4,34/"&amp;"100"</f>
        <v>=4,34/100</v>
      </c>
      <c r="H71" s="98"/>
    </row>
    <row r="72" spans="1:8" ht="28.5" x14ac:dyDescent="0.2">
      <c r="A72" s="94">
        <v>26</v>
      </c>
      <c r="B72" s="94" t="str">
        <f>Source!E148</f>
        <v>26</v>
      </c>
      <c r="C72" s="98" t="str">
        <f>Source!G148</f>
        <v>Масляная окраска металлических поверхностей: стальных балок, труб диаметром более 50 мм и т.п., количество окрасок 2</v>
      </c>
      <c r="D72" s="94" t="s">
        <v>274</v>
      </c>
      <c r="E72" s="99">
        <f>Source!I148</f>
        <v>4.3400000000000001E-2</v>
      </c>
      <c r="F72" s="94" t="str">
        <f>Source!U132</f>
        <v/>
      </c>
      <c r="G72" s="94" t="str">
        <f>"=4,34/"&amp;"100"</f>
        <v>=4,34/100</v>
      </c>
      <c r="H72" s="98"/>
    </row>
    <row r="73" spans="1:8" ht="14.25" x14ac:dyDescent="0.2">
      <c r="A73" s="94">
        <v>26.1</v>
      </c>
      <c r="B73" s="94" t="str">
        <f>Source!E149</f>
        <v>26,1</v>
      </c>
      <c r="C73" s="98" t="str">
        <f>Source!G149</f>
        <v>Краска масляная МА-25, цветная</v>
      </c>
      <c r="D73" s="94" t="s">
        <v>295</v>
      </c>
      <c r="E73" s="99">
        <f>Source!I149</f>
        <v>1.0676399999999999</v>
      </c>
      <c r="F73" s="94" t="str">
        <f>Source!U132</f>
        <v/>
      </c>
      <c r="G73" s="94"/>
      <c r="H73" s="98"/>
    </row>
    <row r="74" spans="1:8" ht="14.25" x14ac:dyDescent="0.2">
      <c r="A74" s="94">
        <v>27</v>
      </c>
      <c r="B74" s="94" t="str">
        <f>Source!E150</f>
        <v>27</v>
      </c>
      <c r="C74" s="98" t="str">
        <f>Source!G150</f>
        <v>Разборка тепловой изоляции: из ваты минеральной/диам.100 мм</v>
      </c>
      <c r="D74" s="94" t="s">
        <v>274</v>
      </c>
      <c r="E74" s="99">
        <f>Source!I150</f>
        <v>2.8299999999999999E-2</v>
      </c>
      <c r="F74" s="94" t="str">
        <f>Source!U132</f>
        <v/>
      </c>
      <c r="G74" s="94" t="str">
        <f>"=2,83/"&amp;"100"</f>
        <v>=2,83/100</v>
      </c>
      <c r="H74" s="98"/>
    </row>
    <row r="75" spans="1:8" ht="28.5" x14ac:dyDescent="0.2">
      <c r="A75" s="94">
        <v>28</v>
      </c>
      <c r="B75" s="94" t="str">
        <f>Source!E151</f>
        <v>28</v>
      </c>
      <c r="C75" s="98" t="str">
        <f>Source!G151</f>
        <v>Изоляция трубопроводов цилиндрами и полуцилиндрами из минеральной ваты на синтетическом связующем</v>
      </c>
      <c r="D75" s="94" t="s">
        <v>309</v>
      </c>
      <c r="E75" s="99">
        <f>Source!I151</f>
        <v>0.11</v>
      </c>
      <c r="F75" s="94" t="str">
        <f>Source!U132</f>
        <v/>
      </c>
      <c r="G75" s="94">
        <f>Source!I151</f>
        <v>0.11</v>
      </c>
      <c r="H75" s="98"/>
    </row>
    <row r="76" spans="1:8" ht="71.25" x14ac:dyDescent="0.2">
      <c r="A76" s="94">
        <v>28.1</v>
      </c>
      <c r="B76" s="94" t="str">
        <f>Source!E152</f>
        <v>28,1</v>
      </c>
      <c r="C76" s="98" t="str">
        <f>Source!G152</f>
        <v>Цилиндры теплоизоляционные из минеральной ваты на основе базальтовых пород, кашированные армированной алюминиевой фольгой, группа горючести Г1, плотность до 100 кг/м3, теплопроводность при +10/+25 °C не более 0,036/0,039 Вт/(м*К), максимальная температура применения +250 °C, толщина стенки 30 мм, внутренний диаметр 108 мм</v>
      </c>
      <c r="D76" s="94" t="s">
        <v>253</v>
      </c>
      <c r="E76" s="99">
        <f>Source!I152</f>
        <v>9.27</v>
      </c>
      <c r="F76" s="94" t="str">
        <f>Source!U132</f>
        <v/>
      </c>
      <c r="G76" s="94"/>
      <c r="H76" s="98"/>
    </row>
    <row r="77" spans="1:8" ht="14.25" x14ac:dyDescent="0.2">
      <c r="A77" s="94">
        <v>29</v>
      </c>
      <c r="B77" s="94" t="str">
        <f>Source!E153</f>
        <v>29</v>
      </c>
      <c r="C77" s="98" t="str">
        <f>Source!G153</f>
        <v>Слив и наполнение водой системы отопления: с осмотром системы</v>
      </c>
      <c r="D77" s="94" t="s">
        <v>321</v>
      </c>
      <c r="E77" s="99">
        <f>Source!I153</f>
        <v>6.4</v>
      </c>
      <c r="F77" s="94" t="str">
        <f>Source!U132</f>
        <v/>
      </c>
      <c r="G77" s="94" t="str">
        <f>"=6400/"&amp;"1000"</f>
        <v>=6400/1000</v>
      </c>
      <c r="H77" s="98"/>
    </row>
    <row r="78" spans="1:8" ht="28.5" x14ac:dyDescent="0.2">
      <c r="A78" s="94">
        <v>30</v>
      </c>
      <c r="B78" s="94" t="str">
        <f>Source!E154</f>
        <v>30</v>
      </c>
      <c r="C78" s="98" t="str">
        <f>Source!G154</f>
        <v>Компенсатор стальной сальниковый двухсторонний на номинальное давление 1,6 МПа, номинальный диаметр: 100 мм/ ДЕМОНТАЖ</v>
      </c>
      <c r="D78" s="94" t="s">
        <v>326</v>
      </c>
      <c r="E78" s="99">
        <f>Source!I154</f>
        <v>0.2</v>
      </c>
      <c r="F78" s="94" t="str">
        <f>Source!U132</f>
        <v/>
      </c>
      <c r="G78" s="94" t="str">
        <f>"=2/"&amp;"10"</f>
        <v>=2/10</v>
      </c>
      <c r="H78" s="98"/>
    </row>
    <row r="79" spans="1:8" ht="28.5" x14ac:dyDescent="0.2">
      <c r="A79" s="94">
        <v>30.1</v>
      </c>
      <c r="B79" s="94" t="str">
        <f>Source!E155</f>
        <v>30,1</v>
      </c>
      <c r="C79" s="98" t="str">
        <f>Source!G155</f>
        <v>Сметная стоимость вспомогательных ненормируемых материальных ресурсов, не учтенная в сметной норме, 2%</v>
      </c>
      <c r="D79" s="94" t="s">
        <v>83</v>
      </c>
      <c r="E79" s="99">
        <f>Source!I155</f>
        <v>2</v>
      </c>
      <c r="F79" s="94" t="str">
        <f>Source!U132</f>
        <v/>
      </c>
      <c r="G79" s="94"/>
      <c r="H79" s="98"/>
    </row>
    <row r="80" spans="1:8" ht="28.5" x14ac:dyDescent="0.2">
      <c r="A80" s="94">
        <v>31</v>
      </c>
      <c r="B80" s="94" t="str">
        <f>Source!E156</f>
        <v>31</v>
      </c>
      <c r="C80" s="98" t="str">
        <f>Source!G156</f>
        <v>Компенсатор стальной сальниковый двухсторонний на номинальное давление 1,6 МПа, номинальный диаметр: 100 мм</v>
      </c>
      <c r="D80" s="94" t="s">
        <v>326</v>
      </c>
      <c r="E80" s="99">
        <f>Source!I156</f>
        <v>0.2</v>
      </c>
      <c r="F80" s="94" t="str">
        <f>Source!U132</f>
        <v/>
      </c>
      <c r="G80" s="94" t="str">
        <f>"=2/"&amp;"10"</f>
        <v>=2/10</v>
      </c>
      <c r="H80" s="98"/>
    </row>
    <row r="81" spans="1:8" ht="28.5" x14ac:dyDescent="0.2">
      <c r="A81" s="94">
        <v>31.1</v>
      </c>
      <c r="B81" s="94" t="str">
        <f>Source!E157</f>
        <v>31,1</v>
      </c>
      <c r="C81" s="98" t="str">
        <f>Source!G157</f>
        <v>Сметная стоимость вспомогательных ненормируемых материальных ресурсов, не учтенная в сметной норме, 2%</v>
      </c>
      <c r="D81" s="94" t="s">
        <v>83</v>
      </c>
      <c r="E81" s="99">
        <f>Source!I157</f>
        <v>2</v>
      </c>
      <c r="F81" s="94" t="str">
        <f>Source!U132</f>
        <v/>
      </c>
      <c r="G81" s="94"/>
      <c r="H81" s="98"/>
    </row>
    <row r="82" spans="1:8" ht="28.5" x14ac:dyDescent="0.2">
      <c r="A82" s="94">
        <v>32</v>
      </c>
      <c r="B82" s="94" t="str">
        <f>Source!E158</f>
        <v>32</v>
      </c>
      <c r="C82" s="98" t="str">
        <f>Source!G158</f>
        <v>Компенсатор антивибрационный муфтовый, номинальное давление 1,6 МПа, номинальный диаметр 100 мм</v>
      </c>
      <c r="D82" s="94" t="s">
        <v>30</v>
      </c>
      <c r="E82" s="99">
        <f>Source!I158</f>
        <v>2</v>
      </c>
      <c r="F82" s="94" t="str">
        <f>Source!U132</f>
        <v/>
      </c>
      <c r="G82" s="94">
        <f>Source!I158</f>
        <v>2</v>
      </c>
      <c r="H82" s="98"/>
    </row>
    <row r="83" spans="1:8" ht="16.5" x14ac:dyDescent="0.25">
      <c r="A83" s="140" t="str">
        <f>CONCATENATE("Раздел: ", Source!G190)</f>
        <v>Раздел: Работа 4</v>
      </c>
      <c r="B83" s="140"/>
      <c r="C83" s="140"/>
      <c r="D83" s="140"/>
      <c r="E83" s="140"/>
      <c r="F83" s="140"/>
      <c r="G83" s="140"/>
      <c r="H83" s="140"/>
    </row>
    <row r="84" spans="1:8" ht="14.25" x14ac:dyDescent="0.2">
      <c r="A84" s="94">
        <v>33</v>
      </c>
      <c r="B84" s="94" t="str">
        <f>Source!E194</f>
        <v>33</v>
      </c>
      <c r="C84" s="98" t="str">
        <f>Source!G194</f>
        <v>Затаривание строительного мусора в мешки</v>
      </c>
      <c r="D84" s="94" t="s">
        <v>35</v>
      </c>
      <c r="E84" s="99">
        <f>Source!I194</f>
        <v>0.31080000000000002</v>
      </c>
      <c r="F84" s="94" t="str">
        <f>Source!U190</f>
        <v/>
      </c>
      <c r="G84" s="94">
        <f>Source!I194</f>
        <v>0.31080000000000002</v>
      </c>
      <c r="H84" s="98"/>
    </row>
    <row r="85" spans="1:8" ht="28.5" x14ac:dyDescent="0.2">
      <c r="A85" s="94">
        <v>34</v>
      </c>
      <c r="B85" s="94" t="str">
        <f>Source!E195</f>
        <v>34</v>
      </c>
      <c r="C85" s="98" t="str">
        <f>Source!G195</f>
        <v>Погрузка в автотранспортное средство: мусор строительный с погрузкой вручную</v>
      </c>
      <c r="D85" s="94" t="s">
        <v>351</v>
      </c>
      <c r="E85" s="99">
        <f>Source!I195</f>
        <v>0.31080000000000002</v>
      </c>
      <c r="F85" s="94" t="str">
        <f>Source!U190</f>
        <v/>
      </c>
      <c r="G85" s="94">
        <f>Source!I195</f>
        <v>0.31080000000000002</v>
      </c>
      <c r="H85" s="98"/>
    </row>
    <row r="86" spans="1:8" ht="71.25" x14ac:dyDescent="0.2">
      <c r="A86" s="93">
        <v>35</v>
      </c>
      <c r="B86" s="93" t="str">
        <f>Source!E196</f>
        <v>35</v>
      </c>
      <c r="C86" s="96" t="str">
        <f>Source!G196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v>
      </c>
      <c r="D86" s="93" t="s">
        <v>351</v>
      </c>
      <c r="E86" s="97">
        <f>Source!I196</f>
        <v>0.31080000000000002</v>
      </c>
      <c r="F86" s="93" t="str">
        <f>Source!U190</f>
        <v/>
      </c>
      <c r="G86" s="93">
        <f>Source!I196</f>
        <v>0.31080000000000002</v>
      </c>
      <c r="H86" s="96"/>
    </row>
    <row r="89" spans="1:8" ht="15" x14ac:dyDescent="0.25">
      <c r="C89" s="100" t="s">
        <v>851</v>
      </c>
      <c r="D89" s="100" t="str">
        <f>IF(Source!X12&lt;&gt;"", Source!X12," ")</f>
        <v xml:space="preserve"> </v>
      </c>
      <c r="E89" s="101"/>
    </row>
    <row r="90" spans="1:8" ht="15" x14ac:dyDescent="0.25">
      <c r="C90" s="45"/>
      <c r="D90" s="101"/>
      <c r="E90" s="101"/>
    </row>
    <row r="91" spans="1:8" ht="15" x14ac:dyDescent="0.25">
      <c r="C91" s="102" t="s">
        <v>852</v>
      </c>
      <c r="D91" s="102" t="str">
        <f>IF(Source!AB12&lt;&gt;"", Source!AB12," ")</f>
        <v xml:space="preserve"> </v>
      </c>
      <c r="E91" s="101"/>
    </row>
  </sheetData>
  <mergeCells count="9">
    <mergeCell ref="A34:H34"/>
    <mergeCell ref="A59:H59"/>
    <mergeCell ref="A83:H83"/>
    <mergeCell ref="D5:E5"/>
    <mergeCell ref="D7:E7"/>
    <mergeCell ref="B12:E12"/>
    <mergeCell ref="B13:E13"/>
    <mergeCell ref="A18:H18"/>
    <mergeCell ref="A19:H19"/>
  </mergeCells>
  <pageMargins left="0.4" right="0.2" top="0.2" bottom="0.4" header="0.2" footer="0.2"/>
  <pageSetup paperSize="9" scale="59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24"/>
  <sheetViews>
    <sheetView topLeftCell="A12" workbookViewId="0">
      <selection activeCell="G12" sqref="G12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72597</v>
      </c>
      <c r="M1">
        <v>63736869</v>
      </c>
      <c r="N1">
        <v>12</v>
      </c>
      <c r="O1">
        <v>1</v>
      </c>
      <c r="P1">
        <v>0</v>
      </c>
      <c r="Q1">
        <v>4</v>
      </c>
    </row>
    <row r="12" spans="1:133" ht="409.5" x14ac:dyDescent="0.2">
      <c r="A12" s="1">
        <v>1</v>
      </c>
      <c r="B12" s="1">
        <v>318</v>
      </c>
      <c r="C12" s="1">
        <v>0</v>
      </c>
      <c r="D12" s="1">
        <f>ROW(A258)</f>
        <v>258</v>
      </c>
      <c r="E12" s="1">
        <v>0</v>
      </c>
      <c r="F12" s="1" t="s">
        <v>3</v>
      </c>
      <c r="G12" s="103" t="s">
        <v>853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5</v>
      </c>
      <c r="BI12" s="1" t="s">
        <v>6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1</v>
      </c>
      <c r="BU12" s="1">
        <v>0</v>
      </c>
      <c r="BV12" s="1">
        <v>1</v>
      </c>
      <c r="BW12" s="1">
        <v>1</v>
      </c>
      <c r="BX12" s="1">
        <v>0</v>
      </c>
      <c r="BY12" s="1" t="s">
        <v>7</v>
      </c>
      <c r="BZ12" s="1" t="s">
        <v>8</v>
      </c>
      <c r="CA12" s="1" t="s">
        <v>9</v>
      </c>
      <c r="CB12" s="1" t="s">
        <v>9</v>
      </c>
      <c r="CC12" s="1" t="s">
        <v>9</v>
      </c>
      <c r="CD12" s="1" t="s">
        <v>9</v>
      </c>
      <c r="CE12" s="1" t="s">
        <v>10</v>
      </c>
      <c r="CF12" s="1">
        <v>0</v>
      </c>
      <c r="CG12" s="1">
        <v>0</v>
      </c>
      <c r="CH12" s="1">
        <v>487096330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11</v>
      </c>
      <c r="CR12" s="1" t="s">
        <v>12</v>
      </c>
      <c r="CS12" s="1">
        <v>46073</v>
      </c>
      <c r="CT12" s="1">
        <v>540</v>
      </c>
      <c r="CU12" s="1">
        <v>17</v>
      </c>
      <c r="CV12" s="1" t="s">
        <v>649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B258</f>
        <v>318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/>
      </c>
      <c r="G18" s="3" t="str">
        <f t="shared" si="0"/>
        <v xml:space="preserve">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  <c r="H18" s="3"/>
      <c r="I18" s="3"/>
      <c r="J18" s="3"/>
      <c r="K18" s="3"/>
      <c r="L18" s="3"/>
      <c r="M18" s="3"/>
      <c r="N18" s="3"/>
      <c r="O18" s="3">
        <f t="shared" ref="O18:AT18" si="1">O258</f>
        <v>284270.24</v>
      </c>
      <c r="P18" s="3">
        <f t="shared" si="1"/>
        <v>154350.04</v>
      </c>
      <c r="Q18" s="3">
        <f t="shared" si="1"/>
        <v>1294.5</v>
      </c>
      <c r="R18" s="3">
        <f t="shared" si="1"/>
        <v>666.3</v>
      </c>
      <c r="S18" s="3">
        <f t="shared" si="1"/>
        <v>127959.4</v>
      </c>
      <c r="T18" s="3">
        <f t="shared" si="1"/>
        <v>0</v>
      </c>
      <c r="U18" s="3">
        <f t="shared" si="1"/>
        <v>179.30515219999998</v>
      </c>
      <c r="V18" s="3">
        <f t="shared" si="1"/>
        <v>0.84961500000000001</v>
      </c>
      <c r="W18" s="3">
        <f t="shared" si="1"/>
        <v>0</v>
      </c>
      <c r="X18" s="3">
        <f t="shared" si="1"/>
        <v>130134.19</v>
      </c>
      <c r="Y18" s="3">
        <f t="shared" si="1"/>
        <v>68291.259999999995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38280.53</v>
      </c>
      <c r="AQ18" s="3">
        <f t="shared" si="1"/>
        <v>0</v>
      </c>
      <c r="AR18" s="3">
        <f t="shared" si="1"/>
        <v>483326.15</v>
      </c>
      <c r="AS18" s="3">
        <f t="shared" si="1"/>
        <v>358004.47999999998</v>
      </c>
      <c r="AT18" s="3">
        <f t="shared" si="1"/>
        <v>87041.14</v>
      </c>
      <c r="AU18" s="3">
        <f t="shared" ref="AU18:BZ18" si="2">AU258</f>
        <v>0</v>
      </c>
      <c r="AV18" s="3">
        <f t="shared" si="2"/>
        <v>154350.04</v>
      </c>
      <c r="AW18" s="3">
        <f t="shared" si="2"/>
        <v>116069.51</v>
      </c>
      <c r="AX18" s="3">
        <f t="shared" si="2"/>
        <v>0</v>
      </c>
      <c r="AY18" s="3">
        <f t="shared" si="2"/>
        <v>116069.51</v>
      </c>
      <c r="AZ18" s="3">
        <f t="shared" si="2"/>
        <v>38280.53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630.46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CA258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DG258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EM258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FS258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ROW(A228)</f>
        <v>228</v>
      </c>
      <c r="E20" s="1"/>
      <c r="F20" s="1" t="s">
        <v>3</v>
      </c>
      <c r="G20" s="1" t="s">
        <v>13</v>
      </c>
      <c r="H20" s="1" t="s">
        <v>3</v>
      </c>
      <c r="I20" s="1">
        <v>0</v>
      </c>
      <c r="J20" s="1" t="s">
        <v>3</v>
      </c>
      <c r="K20" s="1">
        <v>0</v>
      </c>
      <c r="L20" s="1" t="s">
        <v>3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B228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/>
      </c>
      <c r="G22" s="3" t="str">
        <f t="shared" si="7"/>
        <v>Замена элементов систем водоснабжения, отопления и канализации с последующими ремонтно-восстановительными работами</v>
      </c>
      <c r="H22" s="3"/>
      <c r="I22" s="3"/>
      <c r="J22" s="3"/>
      <c r="K22" s="3"/>
      <c r="L22" s="3"/>
      <c r="M22" s="3"/>
      <c r="N22" s="3"/>
      <c r="O22" s="3">
        <f t="shared" ref="O22:AT22" si="8">O228</f>
        <v>284270.24</v>
      </c>
      <c r="P22" s="3">
        <f t="shared" si="8"/>
        <v>154350.04</v>
      </c>
      <c r="Q22" s="3">
        <f t="shared" si="8"/>
        <v>1294.5</v>
      </c>
      <c r="R22" s="3">
        <f t="shared" si="8"/>
        <v>666.3</v>
      </c>
      <c r="S22" s="3">
        <f t="shared" si="8"/>
        <v>127959.4</v>
      </c>
      <c r="T22" s="3">
        <f t="shared" si="8"/>
        <v>0</v>
      </c>
      <c r="U22" s="3">
        <f t="shared" si="8"/>
        <v>179.30515219999998</v>
      </c>
      <c r="V22" s="3">
        <f t="shared" si="8"/>
        <v>0.84961500000000001</v>
      </c>
      <c r="W22" s="3">
        <f t="shared" si="8"/>
        <v>0</v>
      </c>
      <c r="X22" s="3">
        <f t="shared" si="8"/>
        <v>130134.19</v>
      </c>
      <c r="Y22" s="3">
        <f t="shared" si="8"/>
        <v>68291.259999999995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38280.53</v>
      </c>
      <c r="AQ22" s="3">
        <f t="shared" si="8"/>
        <v>0</v>
      </c>
      <c r="AR22" s="3">
        <f t="shared" si="8"/>
        <v>483326.15</v>
      </c>
      <c r="AS22" s="3">
        <f t="shared" si="8"/>
        <v>358004.47999999998</v>
      </c>
      <c r="AT22" s="3">
        <f t="shared" si="8"/>
        <v>87041.14</v>
      </c>
      <c r="AU22" s="3">
        <f t="shared" ref="AU22:BZ22" si="9">AU228</f>
        <v>0</v>
      </c>
      <c r="AV22" s="3">
        <f t="shared" si="9"/>
        <v>154350.04</v>
      </c>
      <c r="AW22" s="3">
        <f t="shared" si="9"/>
        <v>116069.51</v>
      </c>
      <c r="AX22" s="3">
        <f t="shared" si="9"/>
        <v>0</v>
      </c>
      <c r="AY22" s="3">
        <f t="shared" si="9"/>
        <v>116069.51</v>
      </c>
      <c r="AZ22" s="3">
        <f t="shared" si="9"/>
        <v>38280.53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630.46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CA228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DG228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EM228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FS228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ROW(A43)</f>
        <v>43</v>
      </c>
      <c r="E24" s="1"/>
      <c r="F24" s="1" t="s">
        <v>14</v>
      </c>
      <c r="G24" s="1" t="s">
        <v>15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B43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Новый раздел</v>
      </c>
      <c r="G26" s="3" t="str">
        <f t="shared" si="14"/>
        <v>Работа 1</v>
      </c>
      <c r="H26" s="3"/>
      <c r="I26" s="3"/>
      <c r="J26" s="3"/>
      <c r="K26" s="3"/>
      <c r="L26" s="3"/>
      <c r="M26" s="3"/>
      <c r="N26" s="3"/>
      <c r="O26" s="3">
        <f t="shared" ref="O26:AT26" si="15">O43</f>
        <v>75659.740000000005</v>
      </c>
      <c r="P26" s="3">
        <f t="shared" si="15"/>
        <v>45254.36</v>
      </c>
      <c r="Q26" s="3">
        <f t="shared" si="15"/>
        <v>261.51</v>
      </c>
      <c r="R26" s="3">
        <f t="shared" si="15"/>
        <v>74.22</v>
      </c>
      <c r="S26" s="3">
        <f t="shared" si="15"/>
        <v>30069.65</v>
      </c>
      <c r="T26" s="3">
        <f t="shared" si="15"/>
        <v>0</v>
      </c>
      <c r="U26" s="3">
        <f t="shared" si="15"/>
        <v>39.282525</v>
      </c>
      <c r="V26" s="3">
        <f t="shared" si="15"/>
        <v>9.4500000000000001E-2</v>
      </c>
      <c r="W26" s="3">
        <f t="shared" si="15"/>
        <v>0</v>
      </c>
      <c r="X26" s="3">
        <f t="shared" si="15"/>
        <v>30012.16</v>
      </c>
      <c r="Y26" s="3">
        <f t="shared" si="15"/>
        <v>16092.18</v>
      </c>
      <c r="Z26" s="3">
        <f t="shared" si="15"/>
        <v>0</v>
      </c>
      <c r="AA26" s="3">
        <f t="shared" si="15"/>
        <v>0</v>
      </c>
      <c r="AB26" s="3">
        <f t="shared" si="15"/>
        <v>75659.740000000005</v>
      </c>
      <c r="AC26" s="3">
        <f t="shared" si="15"/>
        <v>45254.36</v>
      </c>
      <c r="AD26" s="3">
        <f t="shared" si="15"/>
        <v>261.51</v>
      </c>
      <c r="AE26" s="3">
        <f t="shared" si="15"/>
        <v>74.22</v>
      </c>
      <c r="AF26" s="3">
        <f t="shared" si="15"/>
        <v>30069.65</v>
      </c>
      <c r="AG26" s="3">
        <f t="shared" si="15"/>
        <v>0</v>
      </c>
      <c r="AH26" s="3">
        <f t="shared" si="15"/>
        <v>39.282525</v>
      </c>
      <c r="AI26" s="3">
        <f t="shared" si="15"/>
        <v>9.4500000000000001E-2</v>
      </c>
      <c r="AJ26" s="3">
        <f t="shared" si="15"/>
        <v>0</v>
      </c>
      <c r="AK26" s="3">
        <f t="shared" si="15"/>
        <v>30012.16</v>
      </c>
      <c r="AL26" s="3">
        <f t="shared" si="15"/>
        <v>16092.18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121764.08</v>
      </c>
      <c r="AS26" s="3">
        <f t="shared" si="15"/>
        <v>63798.94</v>
      </c>
      <c r="AT26" s="3">
        <f t="shared" si="15"/>
        <v>57965.14</v>
      </c>
      <c r="AU26" s="3">
        <f t="shared" ref="AU26:BZ26" si="16">AU43</f>
        <v>0</v>
      </c>
      <c r="AV26" s="3">
        <f t="shared" si="16"/>
        <v>45254.36</v>
      </c>
      <c r="AW26" s="3">
        <f t="shared" si="16"/>
        <v>45254.36</v>
      </c>
      <c r="AX26" s="3">
        <f t="shared" si="16"/>
        <v>0</v>
      </c>
      <c r="AY26" s="3">
        <f t="shared" si="16"/>
        <v>45254.36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0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CA43</f>
        <v>121764.08</v>
      </c>
      <c r="CB26" s="3">
        <f t="shared" si="17"/>
        <v>63798.94</v>
      </c>
      <c r="CC26" s="3">
        <f t="shared" si="17"/>
        <v>57965.14</v>
      </c>
      <c r="CD26" s="3">
        <f t="shared" si="17"/>
        <v>0</v>
      </c>
      <c r="CE26" s="3">
        <f t="shared" si="17"/>
        <v>45254.36</v>
      </c>
      <c r="CF26" s="3">
        <f t="shared" si="17"/>
        <v>45254.36</v>
      </c>
      <c r="CG26" s="3">
        <f t="shared" si="17"/>
        <v>0</v>
      </c>
      <c r="CH26" s="3">
        <f t="shared" si="17"/>
        <v>45254.36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0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DG43</f>
        <v>0</v>
      </c>
      <c r="DH26" s="4">
        <f t="shared" si="18"/>
        <v>0</v>
      </c>
      <c r="DI26" s="4">
        <f t="shared" si="18"/>
        <v>0</v>
      </c>
      <c r="DJ26" s="4">
        <f t="shared" si="18"/>
        <v>0</v>
      </c>
      <c r="DK26" s="4">
        <f t="shared" si="18"/>
        <v>0</v>
      </c>
      <c r="DL26" s="4">
        <f t="shared" si="18"/>
        <v>0</v>
      </c>
      <c r="DM26" s="4">
        <f t="shared" si="18"/>
        <v>0</v>
      </c>
      <c r="DN26" s="4">
        <f t="shared" si="18"/>
        <v>0</v>
      </c>
      <c r="DO26" s="4">
        <f t="shared" si="18"/>
        <v>0</v>
      </c>
      <c r="DP26" s="4">
        <f t="shared" si="18"/>
        <v>0</v>
      </c>
      <c r="DQ26" s="4">
        <f t="shared" si="18"/>
        <v>0</v>
      </c>
      <c r="DR26" s="4">
        <f t="shared" si="18"/>
        <v>0</v>
      </c>
      <c r="DS26" s="4">
        <f t="shared" si="18"/>
        <v>0</v>
      </c>
      <c r="DT26" s="4">
        <f t="shared" si="18"/>
        <v>0</v>
      </c>
      <c r="DU26" s="4">
        <f t="shared" si="18"/>
        <v>0</v>
      </c>
      <c r="DV26" s="4">
        <f t="shared" si="18"/>
        <v>0</v>
      </c>
      <c r="DW26" s="4">
        <f t="shared" si="18"/>
        <v>0</v>
      </c>
      <c r="DX26" s="4">
        <f t="shared" si="18"/>
        <v>0</v>
      </c>
      <c r="DY26" s="4">
        <f t="shared" si="18"/>
        <v>0</v>
      </c>
      <c r="DZ26" s="4">
        <f t="shared" si="18"/>
        <v>0</v>
      </c>
      <c r="EA26" s="4">
        <f t="shared" si="18"/>
        <v>0</v>
      </c>
      <c r="EB26" s="4">
        <f t="shared" si="18"/>
        <v>0</v>
      </c>
      <c r="EC26" s="4">
        <f t="shared" si="18"/>
        <v>0</v>
      </c>
      <c r="ED26" s="4">
        <f t="shared" si="18"/>
        <v>0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0</v>
      </c>
      <c r="EK26" s="4">
        <f t="shared" si="18"/>
        <v>0</v>
      </c>
      <c r="EL26" s="4">
        <f t="shared" si="18"/>
        <v>0</v>
      </c>
      <c r="EM26" s="4">
        <f t="shared" ref="EM26:FR26" si="19">EM43</f>
        <v>0</v>
      </c>
      <c r="EN26" s="4">
        <f t="shared" si="19"/>
        <v>0</v>
      </c>
      <c r="EO26" s="4">
        <f t="shared" si="19"/>
        <v>0</v>
      </c>
      <c r="EP26" s="4">
        <f t="shared" si="19"/>
        <v>0</v>
      </c>
      <c r="EQ26" s="4">
        <f t="shared" si="19"/>
        <v>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FS43</f>
        <v>0</v>
      </c>
      <c r="FT26" s="4">
        <f t="shared" si="20"/>
        <v>0</v>
      </c>
      <c r="FU26" s="4">
        <f t="shared" si="20"/>
        <v>0</v>
      </c>
      <c r="FV26" s="4">
        <f t="shared" si="20"/>
        <v>0</v>
      </c>
      <c r="FW26" s="4">
        <f t="shared" si="20"/>
        <v>0</v>
      </c>
      <c r="FX26" s="4">
        <f t="shared" si="20"/>
        <v>0</v>
      </c>
      <c r="FY26" s="4">
        <f t="shared" si="20"/>
        <v>0</v>
      </c>
      <c r="FZ26" s="4">
        <f t="shared" si="20"/>
        <v>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17</v>
      </c>
      <c r="B28" s="2">
        <v>1</v>
      </c>
      <c r="C28" s="2">
        <f>ROW(SmtRes!A7)</f>
        <v>7</v>
      </c>
      <c r="D28" s="2">
        <f>ROW(EtalonRes!A7)</f>
        <v>7</v>
      </c>
      <c r="E28" s="2" t="s">
        <v>16</v>
      </c>
      <c r="F28" s="2" t="s">
        <v>17</v>
      </c>
      <c r="G28" s="2" t="s">
        <v>18</v>
      </c>
      <c r="H28" s="2" t="s">
        <v>19</v>
      </c>
      <c r="I28" s="2">
        <f>ROUND(1/100,7)</f>
        <v>0.01</v>
      </c>
      <c r="J28" s="2">
        <v>0</v>
      </c>
      <c r="K28" s="2">
        <f>ROUND(1/100,7)</f>
        <v>0.01</v>
      </c>
      <c r="L28" s="2"/>
      <c r="M28" s="2"/>
      <c r="N28" s="2"/>
      <c r="O28" s="2">
        <f t="shared" ref="O28:O36" si="21">ROUND(CP28,2)</f>
        <v>2536.4</v>
      </c>
      <c r="P28" s="2">
        <f>SUMIF(SmtRes!AQ1:'SmtRes'!AQ7,"=1",SmtRes!DF1:'SmtRes'!DF7)</f>
        <v>379.63</v>
      </c>
      <c r="Q28" s="2">
        <f>SUMIF(SmtRes!AQ1:'SmtRes'!AQ7,"=1",SmtRes!DG1:'SmtRes'!DG7)</f>
        <v>27.02</v>
      </c>
      <c r="R28" s="2">
        <f>SUMIF(SmtRes!AQ1:'SmtRes'!AQ7,"=1",SmtRes!DH1:'SmtRes'!DH7)</f>
        <v>30.33</v>
      </c>
      <c r="S28" s="2">
        <f>SUMIF(SmtRes!AQ1:'SmtRes'!AQ7,"=1",SmtRes!DI1:'SmtRes'!DI7)</f>
        <v>2099.42</v>
      </c>
      <c r="T28" s="2">
        <f t="shared" ref="T28:T41" si="22">ROUND(CU28*I28,2)</f>
        <v>0</v>
      </c>
      <c r="U28" s="2">
        <f>SUMIF(SmtRes!AQ1:'SmtRes'!AQ7,"=1",SmtRes!CV1:'SmtRes'!CV7)</f>
        <v>3.08</v>
      </c>
      <c r="V28" s="2">
        <f>SUMIF(SmtRes!AQ1:'SmtRes'!AQ7,"=1",SmtRes!CW1:'SmtRes'!CW7)</f>
        <v>4.2000000000000003E-2</v>
      </c>
      <c r="W28" s="2">
        <f t="shared" ref="W28:W41" si="23">ROUND(CX28*I28,2)</f>
        <v>0</v>
      </c>
      <c r="X28" s="2">
        <f t="shared" ref="X28:X41" si="24">ROUND(CY28,2)</f>
        <v>2193.64</v>
      </c>
      <c r="Y28" s="2">
        <f t="shared" ref="Y28:Y41" si="25">ROUND(CZ28,2)</f>
        <v>1107.47</v>
      </c>
      <c r="Z28" s="2"/>
      <c r="AA28" s="2">
        <v>80308166</v>
      </c>
      <c r="AB28" s="2">
        <f t="shared" ref="AB28:AB41" si="26">ROUND((AC28+AD28+AF28),6)</f>
        <v>247246.37549999999</v>
      </c>
      <c r="AC28" s="2">
        <f>ROUND((SUM(SmtRes!BQ1:'SmtRes'!BQ7)),6)</f>
        <v>34602.517500000002</v>
      </c>
      <c r="AD28" s="2">
        <f>ROUND((((SUM(SmtRes!BR1:'SmtRes'!BR7))-(SUM(SmtRes!BS1:'SmtRes'!BS7)))+AE28),6)</f>
        <v>2701.8180000000002</v>
      </c>
      <c r="AE28" s="2">
        <f>ROUND((SUM(SmtRes!BS1:'SmtRes'!BS7)),6)</f>
        <v>3032.61</v>
      </c>
      <c r="AF28" s="2">
        <f>ROUND((SUM(SmtRes!BT1:'SmtRes'!BT7)),6)</f>
        <v>209942.04</v>
      </c>
      <c r="AG28" s="2">
        <f t="shared" ref="AG28:AG41" si="27">ROUND((AP28),6)</f>
        <v>0</v>
      </c>
      <c r="AH28" s="2">
        <f>(SUM(SmtRes!BU1:'SmtRes'!BU7))</f>
        <v>308</v>
      </c>
      <c r="AI28" s="2">
        <f>(SUM(SmtRes!BV1:'SmtRes'!BV7))</f>
        <v>4.2</v>
      </c>
      <c r="AJ28" s="2">
        <f t="shared" ref="AJ28:AJ41" si="28">(AS28)</f>
        <v>0</v>
      </c>
      <c r="AK28" s="2">
        <v>250278.98550000001</v>
      </c>
      <c r="AL28" s="2">
        <v>34602.517500000002</v>
      </c>
      <c r="AM28" s="2">
        <v>2701.8179999999998</v>
      </c>
      <c r="AN28" s="2">
        <v>3032.61</v>
      </c>
      <c r="AO28" s="2">
        <v>209942.04</v>
      </c>
      <c r="AP28" s="2">
        <v>0</v>
      </c>
      <c r="AQ28" s="2">
        <v>308</v>
      </c>
      <c r="AR28" s="2">
        <v>4.2</v>
      </c>
      <c r="AS28" s="2">
        <v>0</v>
      </c>
      <c r="AT28" s="2">
        <v>103</v>
      </c>
      <c r="AU28" s="2">
        <v>52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20</v>
      </c>
      <c r="BK28" s="2"/>
      <c r="BL28" s="2"/>
      <c r="BM28" s="2">
        <v>65007</v>
      </c>
      <c r="BN28" s="2">
        <v>0</v>
      </c>
      <c r="BO28" s="2" t="s">
        <v>3</v>
      </c>
      <c r="BP28" s="2">
        <v>0</v>
      </c>
      <c r="BQ28" s="2">
        <v>6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103</v>
      </c>
      <c r="CA28" s="2">
        <v>52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 t="shared" ref="CP28:CP36" si="29">(P28+Q28+S28+R28)</f>
        <v>2536.4</v>
      </c>
      <c r="CQ28" s="2">
        <f>SUMIF(SmtRes!AQ1:'SmtRes'!AQ7,"=1",SmtRes!AA1:'SmtRes'!AA7)</f>
        <v>181544.86</v>
      </c>
      <c r="CR28" s="2">
        <f>SUMIF(SmtRes!AQ1:'SmtRes'!AQ7,"=1",SmtRes!AB1:'SmtRes'!AB7)</f>
        <v>643.29</v>
      </c>
      <c r="CS28" s="2">
        <f>SUMIF(SmtRes!AQ1:'SmtRes'!AQ7,"=1",SmtRes!AC1:'SmtRes'!AC7)</f>
        <v>722.05</v>
      </c>
      <c r="CT28" s="2">
        <f>SUMIF(SmtRes!AQ1:'SmtRes'!AQ7,"=1",SmtRes!AD1:'SmtRes'!AD7)</f>
        <v>681.63</v>
      </c>
      <c r="CU28" s="2">
        <f t="shared" ref="CU28:CU36" si="30">AG28</f>
        <v>0</v>
      </c>
      <c r="CV28" s="2">
        <f>SUMIF(SmtRes!AQ1:'SmtRes'!AQ7,"=1",SmtRes!BU1:'SmtRes'!BU7)</f>
        <v>308</v>
      </c>
      <c r="CW28" s="2">
        <f>SUMIF(SmtRes!AQ1:'SmtRes'!AQ7,"=1",SmtRes!BV1:'SmtRes'!BV7)</f>
        <v>4.2</v>
      </c>
      <c r="CX28" s="2">
        <f t="shared" ref="CX28:CX36" si="31">AJ28</f>
        <v>0</v>
      </c>
      <c r="CY28" s="2">
        <f t="shared" ref="CY28:CY36" si="32">(((S28+R28)*AT28)/100)</f>
        <v>2193.6424999999999</v>
      </c>
      <c r="CZ28" s="2">
        <f t="shared" ref="CZ28:CZ36" si="33">(((S28+R28)*AU28)/100)</f>
        <v>1107.47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1013</v>
      </c>
      <c r="DV28" s="2" t="s">
        <v>19</v>
      </c>
      <c r="DW28" s="2" t="s">
        <v>19</v>
      </c>
      <c r="DX28" s="2">
        <v>1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77313190</v>
      </c>
      <c r="EF28" s="2">
        <v>6</v>
      </c>
      <c r="EG28" s="2" t="s">
        <v>21</v>
      </c>
      <c r="EH28" s="2">
        <v>99</v>
      </c>
      <c r="EI28" s="2" t="s">
        <v>22</v>
      </c>
      <c r="EJ28" s="2">
        <v>1</v>
      </c>
      <c r="EK28" s="2">
        <v>65007</v>
      </c>
      <c r="EL28" s="2" t="s">
        <v>23</v>
      </c>
      <c r="EM28" s="2" t="s">
        <v>24</v>
      </c>
      <c r="EN28" s="2"/>
      <c r="EO28" s="2" t="s">
        <v>3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308</v>
      </c>
      <c r="EX28" s="2">
        <v>4.2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103</v>
      </c>
      <c r="FY28" s="2">
        <v>52</v>
      </c>
      <c r="FZ28" s="2"/>
      <c r="GA28" s="2" t="s">
        <v>3</v>
      </c>
      <c r="GB28" s="2"/>
      <c r="GC28" s="2"/>
      <c r="GD28" s="2">
        <v>1</v>
      </c>
      <c r="GE28" s="2"/>
      <c r="GF28" s="2">
        <v>542561091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ref="GL28:GL41" si="34">ROUND(IF(AND(BH28=3,BI28=3,FS28&lt;&gt;0),P28,0),2)</f>
        <v>0</v>
      </c>
      <c r="GM28" s="2">
        <f t="shared" ref="GM28:GM41" si="35">ROUND(O28+X28+Y28,2)+GX28</f>
        <v>5837.51</v>
      </c>
      <c r="GN28" s="2">
        <f t="shared" ref="GN28:GN41" si="36">IF(OR(BI28=0,BI28=1),GM28-GX28,0)</f>
        <v>5837.51</v>
      </c>
      <c r="GO28" s="2">
        <f t="shared" ref="GO28:GO41" si="37">IF(BI28=2,GM28-GX28,0)</f>
        <v>0</v>
      </c>
      <c r="GP28" s="2">
        <f t="shared" ref="GP28:GP41" si="38">IF(BI28=4,GM28-GX28,0)</f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ref="GV28:GV41" si="39">ROUND((GT28),6)</f>
        <v>0</v>
      </c>
      <c r="GW28" s="2">
        <v>1</v>
      </c>
      <c r="GX28" s="2">
        <f t="shared" ref="GX28:GX41" si="40">ROUND(HC28*I28,2)</f>
        <v>0</v>
      </c>
      <c r="GY28" s="2"/>
      <c r="GZ28" s="2"/>
      <c r="HA28" s="2">
        <v>0</v>
      </c>
      <c r="HB28" s="2">
        <v>0</v>
      </c>
      <c r="HC28" s="2">
        <f t="shared" ref="HC28:HC36" si="41"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25</v>
      </c>
      <c r="HO28" s="2" t="s">
        <v>26</v>
      </c>
      <c r="HP28" s="2" t="s">
        <v>23</v>
      </c>
      <c r="HQ28" s="2" t="s">
        <v>23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18</v>
      </c>
      <c r="B29" s="2">
        <v>1</v>
      </c>
      <c r="C29" s="2">
        <v>6</v>
      </c>
      <c r="D29" s="2"/>
      <c r="E29" s="2" t="s">
        <v>27</v>
      </c>
      <c r="F29" s="2" t="s">
        <v>28</v>
      </c>
      <c r="G29" s="2" t="s">
        <v>29</v>
      </c>
      <c r="H29" s="2" t="s">
        <v>30</v>
      </c>
      <c r="I29" s="2">
        <f>I28*J29</f>
        <v>1</v>
      </c>
      <c r="J29" s="2">
        <v>100</v>
      </c>
      <c r="K29" s="2">
        <v>100</v>
      </c>
      <c r="L29" s="2"/>
      <c r="M29" s="2"/>
      <c r="N29" s="2"/>
      <c r="O29" s="2">
        <f t="shared" si="21"/>
        <v>12923.91</v>
      </c>
      <c r="P29" s="2">
        <f>ROUND(CQ29*I29,2)</f>
        <v>12923.91</v>
      </c>
      <c r="Q29" s="2">
        <f>ROUND(CR29*I29,2)</f>
        <v>0</v>
      </c>
      <c r="R29" s="2">
        <f>ROUND(CS29*I29,2)</f>
        <v>0</v>
      </c>
      <c r="S29" s="2">
        <f>ROUND(CT29*I29,2)</f>
        <v>0</v>
      </c>
      <c r="T29" s="2">
        <f t="shared" si="22"/>
        <v>0</v>
      </c>
      <c r="U29" s="2">
        <f>ROUND(CV29*I29,7)</f>
        <v>0</v>
      </c>
      <c r="V29" s="2">
        <f>ROUND(CW29*I29,7)</f>
        <v>0</v>
      </c>
      <c r="W29" s="2">
        <f t="shared" si="23"/>
        <v>0</v>
      </c>
      <c r="X29" s="2">
        <f t="shared" si="24"/>
        <v>0</v>
      </c>
      <c r="Y29" s="2">
        <f t="shared" si="25"/>
        <v>0</v>
      </c>
      <c r="Z29" s="2"/>
      <c r="AA29" s="2">
        <v>80308166</v>
      </c>
      <c r="AB29" s="2">
        <f t="shared" si="26"/>
        <v>9790.84</v>
      </c>
      <c r="AC29" s="2">
        <f>ROUND((ES29),6)</f>
        <v>9790.84</v>
      </c>
      <c r="AD29" s="2">
        <f>ROUND((((ET29)-(EU29))+AE29),6)</f>
        <v>0</v>
      </c>
      <c r="AE29" s="2">
        <f>ROUND((EU29),6)</f>
        <v>0</v>
      </c>
      <c r="AF29" s="2">
        <f>ROUND((EV29),6)</f>
        <v>0</v>
      </c>
      <c r="AG29" s="2">
        <f t="shared" si="27"/>
        <v>0</v>
      </c>
      <c r="AH29" s="2">
        <f>(EW29)</f>
        <v>0</v>
      </c>
      <c r="AI29" s="2">
        <f>(EX29)</f>
        <v>0</v>
      </c>
      <c r="AJ29" s="2">
        <f t="shared" si="28"/>
        <v>0</v>
      </c>
      <c r="AK29" s="2">
        <v>9790.84</v>
      </c>
      <c r="AL29" s="2">
        <v>9790.84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103</v>
      </c>
      <c r="AU29" s="2">
        <v>52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1.32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3</v>
      </c>
      <c r="BI29" s="2">
        <v>1</v>
      </c>
      <c r="BJ29" s="2" t="s">
        <v>31</v>
      </c>
      <c r="BK29" s="2"/>
      <c r="BL29" s="2"/>
      <c r="BM29" s="2">
        <v>65007</v>
      </c>
      <c r="BN29" s="2">
        <v>0</v>
      </c>
      <c r="BO29" s="2" t="s">
        <v>28</v>
      </c>
      <c r="BP29" s="2">
        <v>1</v>
      </c>
      <c r="BQ29" s="2">
        <v>6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103</v>
      </c>
      <c r="CA29" s="2">
        <v>52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 t="shared" si="29"/>
        <v>12923.91</v>
      </c>
      <c r="CQ29" s="2">
        <f>ROUND(AL29*BC29,2)</f>
        <v>12923.91</v>
      </c>
      <c r="CR29" s="2">
        <f>ROUND(AM29*BB29,2)</f>
        <v>0</v>
      </c>
      <c r="CS29" s="2">
        <f>ROUND(AN29*BS29,2)</f>
        <v>0</v>
      </c>
      <c r="CT29" s="2">
        <f>ROUND(AO29*BA29,2)</f>
        <v>0</v>
      </c>
      <c r="CU29" s="2">
        <f t="shared" si="30"/>
        <v>0</v>
      </c>
      <c r="CV29" s="2">
        <f>AH29</f>
        <v>0</v>
      </c>
      <c r="CW29" s="2">
        <f>AI29</f>
        <v>0</v>
      </c>
      <c r="CX29" s="2">
        <f t="shared" si="31"/>
        <v>0</v>
      </c>
      <c r="CY29" s="2">
        <f t="shared" si="32"/>
        <v>0</v>
      </c>
      <c r="CZ29" s="2">
        <f t="shared" si="33"/>
        <v>0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1013</v>
      </c>
      <c r="DV29" s="2" t="s">
        <v>30</v>
      </c>
      <c r="DW29" s="2" t="s">
        <v>30</v>
      </c>
      <c r="DX29" s="2">
        <v>1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77313190</v>
      </c>
      <c r="EF29" s="2">
        <v>6</v>
      </c>
      <c r="EG29" s="2" t="s">
        <v>21</v>
      </c>
      <c r="EH29" s="2">
        <v>99</v>
      </c>
      <c r="EI29" s="2" t="s">
        <v>22</v>
      </c>
      <c r="EJ29" s="2">
        <v>1</v>
      </c>
      <c r="EK29" s="2">
        <v>65007</v>
      </c>
      <c r="EL29" s="2" t="s">
        <v>23</v>
      </c>
      <c r="EM29" s="2" t="s">
        <v>24</v>
      </c>
      <c r="EN29" s="2"/>
      <c r="EO29" s="2" t="s">
        <v>3</v>
      </c>
      <c r="EP29" s="2"/>
      <c r="EQ29" s="2">
        <v>0</v>
      </c>
      <c r="ER29" s="2">
        <v>9790.84</v>
      </c>
      <c r="ES29" s="2">
        <v>9790.84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103</v>
      </c>
      <c r="FY29" s="2">
        <v>52</v>
      </c>
      <c r="FZ29" s="2"/>
      <c r="GA29" s="2" t="s">
        <v>3</v>
      </c>
      <c r="GB29" s="2"/>
      <c r="GC29" s="2"/>
      <c r="GD29" s="2">
        <v>1</v>
      </c>
      <c r="GE29" s="2"/>
      <c r="GF29" s="2">
        <v>-219717153</v>
      </c>
      <c r="GG29" s="2">
        <v>2</v>
      </c>
      <c r="GH29" s="2">
        <v>1</v>
      </c>
      <c r="GI29" s="2">
        <v>2</v>
      </c>
      <c r="GJ29" s="2">
        <v>0</v>
      </c>
      <c r="GK29" s="2">
        <v>0</v>
      </c>
      <c r="GL29" s="2">
        <f t="shared" si="34"/>
        <v>0</v>
      </c>
      <c r="GM29" s="2">
        <f t="shared" si="35"/>
        <v>12923.91</v>
      </c>
      <c r="GN29" s="2">
        <f t="shared" si="36"/>
        <v>12923.91</v>
      </c>
      <c r="GO29" s="2">
        <f t="shared" si="37"/>
        <v>0</v>
      </c>
      <c r="GP29" s="2">
        <f t="shared" si="38"/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si="39"/>
        <v>0</v>
      </c>
      <c r="GW29" s="2">
        <v>1</v>
      </c>
      <c r="GX29" s="2">
        <f t="shared" si="40"/>
        <v>0</v>
      </c>
      <c r="GY29" s="2"/>
      <c r="GZ29" s="2"/>
      <c r="HA29" s="2">
        <v>0</v>
      </c>
      <c r="HB29" s="2">
        <v>0</v>
      </c>
      <c r="HC29" s="2">
        <f t="shared" si="41"/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25</v>
      </c>
      <c r="HO29" s="2" t="s">
        <v>26</v>
      </c>
      <c r="HP29" s="2" t="s">
        <v>23</v>
      </c>
      <c r="HQ29" s="2" t="s">
        <v>23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18</v>
      </c>
      <c r="B30" s="2">
        <v>1</v>
      </c>
      <c r="C30" s="2">
        <v>7</v>
      </c>
      <c r="D30" s="2"/>
      <c r="E30" s="2" t="s">
        <v>32</v>
      </c>
      <c r="F30" s="2" t="s">
        <v>33</v>
      </c>
      <c r="G30" s="2" t="s">
        <v>34</v>
      </c>
      <c r="H30" s="2" t="s">
        <v>35</v>
      </c>
      <c r="I30" s="2">
        <f>I28*J30</f>
        <v>3.8399999999999997E-2</v>
      </c>
      <c r="J30" s="2">
        <v>3.8399999999999994</v>
      </c>
      <c r="K30" s="2">
        <v>3.84</v>
      </c>
      <c r="L30" s="2"/>
      <c r="M30" s="2"/>
      <c r="N30" s="2"/>
      <c r="O30" s="2">
        <f t="shared" si="21"/>
        <v>0</v>
      </c>
      <c r="P30" s="2">
        <f>ROUND(CQ30*I30,2)</f>
        <v>0</v>
      </c>
      <c r="Q30" s="2">
        <f>ROUND(CR30*I30,2)</f>
        <v>0</v>
      </c>
      <c r="R30" s="2">
        <f>ROUND(CS30*I30,2)</f>
        <v>0</v>
      </c>
      <c r="S30" s="2">
        <f>ROUND(CT30*I30,2)</f>
        <v>0</v>
      </c>
      <c r="T30" s="2">
        <f t="shared" si="22"/>
        <v>0</v>
      </c>
      <c r="U30" s="2">
        <f>ROUND(CV30*I30,7)</f>
        <v>0</v>
      </c>
      <c r="V30" s="2">
        <f>ROUND(CW30*I30,7)</f>
        <v>0</v>
      </c>
      <c r="W30" s="2">
        <f t="shared" si="23"/>
        <v>0</v>
      </c>
      <c r="X30" s="2">
        <f t="shared" si="24"/>
        <v>0</v>
      </c>
      <c r="Y30" s="2">
        <f t="shared" si="25"/>
        <v>0</v>
      </c>
      <c r="Z30" s="2"/>
      <c r="AA30" s="2">
        <v>80308166</v>
      </c>
      <c r="AB30" s="2">
        <f t="shared" si="26"/>
        <v>0</v>
      </c>
      <c r="AC30" s="2">
        <f>ROUND((ES30),6)</f>
        <v>0</v>
      </c>
      <c r="AD30" s="2">
        <f>ROUND((((ET30)-(EU30))+AE30),6)</f>
        <v>0</v>
      </c>
      <c r="AE30" s="2">
        <f>ROUND((EU30),6)</f>
        <v>0</v>
      </c>
      <c r="AF30" s="2">
        <f>ROUND((EV30),6)</f>
        <v>0</v>
      </c>
      <c r="AG30" s="2">
        <f t="shared" si="27"/>
        <v>0</v>
      </c>
      <c r="AH30" s="2">
        <f>(EW30)</f>
        <v>0</v>
      </c>
      <c r="AI30" s="2">
        <f>(EX30)</f>
        <v>0</v>
      </c>
      <c r="AJ30" s="2">
        <f t="shared" si="28"/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103</v>
      </c>
      <c r="AU30" s="2">
        <v>52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3</v>
      </c>
      <c r="BI30" s="2">
        <v>1</v>
      </c>
      <c r="BJ30" s="2" t="s">
        <v>3</v>
      </c>
      <c r="BK30" s="2"/>
      <c r="BL30" s="2"/>
      <c r="BM30" s="2">
        <v>65007</v>
      </c>
      <c r="BN30" s="2">
        <v>0</v>
      </c>
      <c r="BO30" s="2" t="s">
        <v>3</v>
      </c>
      <c r="BP30" s="2">
        <v>0</v>
      </c>
      <c r="BQ30" s="2">
        <v>6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103</v>
      </c>
      <c r="CA30" s="2">
        <v>52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 t="shared" si="29"/>
        <v>0</v>
      </c>
      <c r="CQ30" s="2">
        <f>ROUND(AL30*BC30,2)</f>
        <v>0</v>
      </c>
      <c r="CR30" s="2">
        <f>ROUND(AM30*BB30,2)</f>
        <v>0</v>
      </c>
      <c r="CS30" s="2">
        <f>ROUND(AN30*BS30,2)</f>
        <v>0</v>
      </c>
      <c r="CT30" s="2">
        <f>ROUND(AO30*BA30,2)</f>
        <v>0</v>
      </c>
      <c r="CU30" s="2">
        <f t="shared" si="30"/>
        <v>0</v>
      </c>
      <c r="CV30" s="2">
        <f>AH30</f>
        <v>0</v>
      </c>
      <c r="CW30" s="2">
        <f>AI30</f>
        <v>0</v>
      </c>
      <c r="CX30" s="2">
        <f t="shared" si="31"/>
        <v>0</v>
      </c>
      <c r="CY30" s="2">
        <f t="shared" si="32"/>
        <v>0</v>
      </c>
      <c r="CZ30" s="2">
        <f t="shared" si="33"/>
        <v>0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1009</v>
      </c>
      <c r="DV30" s="2" t="s">
        <v>35</v>
      </c>
      <c r="DW30" s="2" t="s">
        <v>35</v>
      </c>
      <c r="DX30" s="2">
        <v>1000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77313190</v>
      </c>
      <c r="EF30" s="2">
        <v>6</v>
      </c>
      <c r="EG30" s="2" t="s">
        <v>21</v>
      </c>
      <c r="EH30" s="2">
        <v>99</v>
      </c>
      <c r="EI30" s="2" t="s">
        <v>22</v>
      </c>
      <c r="EJ30" s="2">
        <v>1</v>
      </c>
      <c r="EK30" s="2">
        <v>65007</v>
      </c>
      <c r="EL30" s="2" t="s">
        <v>23</v>
      </c>
      <c r="EM30" s="2" t="s">
        <v>24</v>
      </c>
      <c r="EN30" s="2"/>
      <c r="EO30" s="2" t="s">
        <v>3</v>
      </c>
      <c r="EP30" s="2"/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103</v>
      </c>
      <c r="FY30" s="2">
        <v>52</v>
      </c>
      <c r="FZ30" s="2"/>
      <c r="GA30" s="2" t="s">
        <v>3</v>
      </c>
      <c r="GB30" s="2"/>
      <c r="GC30" s="2"/>
      <c r="GD30" s="2">
        <v>1</v>
      </c>
      <c r="GE30" s="2"/>
      <c r="GF30" s="2">
        <v>-1296435862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34"/>
        <v>0</v>
      </c>
      <c r="GM30" s="2">
        <f t="shared" si="35"/>
        <v>0</v>
      </c>
      <c r="GN30" s="2">
        <f t="shared" si="36"/>
        <v>0</v>
      </c>
      <c r="GO30" s="2">
        <f t="shared" si="37"/>
        <v>0</v>
      </c>
      <c r="GP30" s="2">
        <f t="shared" si="38"/>
        <v>0</v>
      </c>
      <c r="GQ30" s="2"/>
      <c r="GR30" s="2">
        <v>0</v>
      </c>
      <c r="GS30" s="2">
        <v>0</v>
      </c>
      <c r="GT30" s="2">
        <v>0</v>
      </c>
      <c r="GU30" s="2" t="s">
        <v>3</v>
      </c>
      <c r="GV30" s="2">
        <f t="shared" si="39"/>
        <v>0</v>
      </c>
      <c r="GW30" s="2">
        <v>1</v>
      </c>
      <c r="GX30" s="2">
        <f t="shared" si="40"/>
        <v>0</v>
      </c>
      <c r="GY30" s="2"/>
      <c r="GZ30" s="2"/>
      <c r="HA30" s="2">
        <v>0</v>
      </c>
      <c r="HB30" s="2">
        <v>0</v>
      </c>
      <c r="HC30" s="2">
        <f t="shared" si="41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25</v>
      </c>
      <c r="HO30" s="2" t="s">
        <v>26</v>
      </c>
      <c r="HP30" s="2" t="s">
        <v>23</v>
      </c>
      <c r="HQ30" s="2" t="s">
        <v>23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17</v>
      </c>
      <c r="B31" s="2">
        <v>1</v>
      </c>
      <c r="C31" s="2">
        <f>ROW(SmtRes!A11)</f>
        <v>11</v>
      </c>
      <c r="D31" s="2">
        <f>ROW(EtalonRes!A11)</f>
        <v>11</v>
      </c>
      <c r="E31" s="2" t="s">
        <v>36</v>
      </c>
      <c r="F31" s="2" t="s">
        <v>37</v>
      </c>
      <c r="G31" s="2" t="s">
        <v>38</v>
      </c>
      <c r="H31" s="2" t="s">
        <v>19</v>
      </c>
      <c r="I31" s="2">
        <f>ROUND(1/100,7)</f>
        <v>0.01</v>
      </c>
      <c r="J31" s="2">
        <v>0</v>
      </c>
      <c r="K31" s="2">
        <f>ROUND(1/100,7)</f>
        <v>0.01</v>
      </c>
      <c r="L31" s="2"/>
      <c r="M31" s="2"/>
      <c r="N31" s="2"/>
      <c r="O31" s="2">
        <f t="shared" si="21"/>
        <v>612.82000000000005</v>
      </c>
      <c r="P31" s="2">
        <f>SUMIF(SmtRes!AQ8:'SmtRes'!AQ11,"=1",SmtRes!DF8:'SmtRes'!DF11)</f>
        <v>0</v>
      </c>
      <c r="Q31" s="2">
        <f>SUMIF(SmtRes!AQ8:'SmtRes'!AQ11,"=1",SmtRes!DG8:'SmtRes'!DG11)</f>
        <v>0.14000000000000001</v>
      </c>
      <c r="R31" s="2">
        <f>SUMIF(SmtRes!AQ8:'SmtRes'!AQ11,"=1",SmtRes!DH8:'SmtRes'!DH11)</f>
        <v>1.6</v>
      </c>
      <c r="S31" s="2">
        <f>SUMIF(SmtRes!AQ8:'SmtRes'!AQ11,"=1",SmtRes!DI8:'SmtRes'!DI11)</f>
        <v>611.08000000000004</v>
      </c>
      <c r="T31" s="2">
        <f t="shared" si="22"/>
        <v>0</v>
      </c>
      <c r="U31" s="2">
        <f>SUMIF(SmtRes!AQ8:'SmtRes'!AQ11,"=1",SmtRes!CV8:'SmtRes'!CV11)</f>
        <v>0.95299999999999996</v>
      </c>
      <c r="V31" s="2">
        <f>SUMIF(SmtRes!AQ8:'SmtRes'!AQ11,"=1",SmtRes!CW8:'SmtRes'!CW11)</f>
        <v>2.5000000000000001E-3</v>
      </c>
      <c r="W31" s="2">
        <f t="shared" si="23"/>
        <v>0</v>
      </c>
      <c r="X31" s="2">
        <f t="shared" si="24"/>
        <v>533.03</v>
      </c>
      <c r="Y31" s="2">
        <f t="shared" si="25"/>
        <v>269.58</v>
      </c>
      <c r="Z31" s="2"/>
      <c r="AA31" s="2">
        <v>80308166</v>
      </c>
      <c r="AB31" s="2">
        <f t="shared" si="26"/>
        <v>61117.595999999998</v>
      </c>
      <c r="AC31" s="2">
        <f>ROUND((0),6)</f>
        <v>0</v>
      </c>
      <c r="AD31" s="2">
        <f>ROUND((((SUM(SmtRes!BR8:'SmtRes'!BR11))-(SUM(SmtRes!BS8:'SmtRes'!BS11)))+AE31),6)</f>
        <v>9.33</v>
      </c>
      <c r="AE31" s="2">
        <f>ROUND((SUM(SmtRes!BS8:'SmtRes'!BS11)),6)</f>
        <v>160.30500000000001</v>
      </c>
      <c r="AF31" s="2">
        <f>ROUND((SUM(SmtRes!BT8:'SmtRes'!BT11)),6)</f>
        <v>61108.266000000003</v>
      </c>
      <c r="AG31" s="2">
        <f t="shared" si="27"/>
        <v>0</v>
      </c>
      <c r="AH31" s="2">
        <f>(SUM(SmtRes!BU8:'SmtRes'!BU11))</f>
        <v>95.3</v>
      </c>
      <c r="AI31" s="2">
        <f>(SUM(SmtRes!BV8:'SmtRes'!BV11))</f>
        <v>0.25</v>
      </c>
      <c r="AJ31" s="2">
        <f t="shared" si="28"/>
        <v>0</v>
      </c>
      <c r="AK31" s="2">
        <v>61277.901000000005</v>
      </c>
      <c r="AL31" s="2">
        <v>0</v>
      </c>
      <c r="AM31" s="2">
        <v>9.33</v>
      </c>
      <c r="AN31" s="2">
        <v>160.30500000000001</v>
      </c>
      <c r="AO31" s="2">
        <v>61108.266000000003</v>
      </c>
      <c r="AP31" s="2">
        <v>0</v>
      </c>
      <c r="AQ31" s="2">
        <v>95.3</v>
      </c>
      <c r="AR31" s="2">
        <v>0.25</v>
      </c>
      <c r="AS31" s="2">
        <v>0</v>
      </c>
      <c r="AT31" s="2">
        <v>87</v>
      </c>
      <c r="AU31" s="2">
        <v>44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1</v>
      </c>
      <c r="BJ31" s="2" t="s">
        <v>39</v>
      </c>
      <c r="BK31" s="2"/>
      <c r="BL31" s="2"/>
      <c r="BM31" s="2">
        <v>65001</v>
      </c>
      <c r="BN31" s="2">
        <v>0</v>
      </c>
      <c r="BO31" s="2" t="s">
        <v>3</v>
      </c>
      <c r="BP31" s="2">
        <v>0</v>
      </c>
      <c r="BQ31" s="2">
        <v>6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87</v>
      </c>
      <c r="CA31" s="2">
        <v>44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3</v>
      </c>
      <c r="CO31" s="2">
        <v>0</v>
      </c>
      <c r="CP31" s="2">
        <f t="shared" si="29"/>
        <v>612.82000000000005</v>
      </c>
      <c r="CQ31" s="2">
        <f>SUMIF(SmtRes!AQ8:'SmtRes'!AQ11,"=1",SmtRes!AA8:'SmtRes'!AA11)</f>
        <v>0</v>
      </c>
      <c r="CR31" s="2">
        <f>SUMIF(SmtRes!AQ8:'SmtRes'!AQ11,"=1",SmtRes!AB8:'SmtRes'!AB11)</f>
        <v>57.47</v>
      </c>
      <c r="CS31" s="2">
        <f>SUMIF(SmtRes!AQ8:'SmtRes'!AQ11,"=1",SmtRes!AC8:'SmtRes'!AC11)</f>
        <v>641.22</v>
      </c>
      <c r="CT31" s="2">
        <f>SUMIF(SmtRes!AQ8:'SmtRes'!AQ11,"=1",SmtRes!AD8:'SmtRes'!AD11)</f>
        <v>641.22</v>
      </c>
      <c r="CU31" s="2">
        <f t="shared" si="30"/>
        <v>0</v>
      </c>
      <c r="CV31" s="2">
        <f>SUMIF(SmtRes!AQ8:'SmtRes'!AQ11,"=1",SmtRes!BU8:'SmtRes'!BU11)</f>
        <v>95.3</v>
      </c>
      <c r="CW31" s="2">
        <f>SUMIF(SmtRes!AQ8:'SmtRes'!AQ11,"=1",SmtRes!BV8:'SmtRes'!BV11)</f>
        <v>0.25</v>
      </c>
      <c r="CX31" s="2">
        <f t="shared" si="31"/>
        <v>0</v>
      </c>
      <c r="CY31" s="2">
        <f t="shared" si="32"/>
        <v>533.03160000000003</v>
      </c>
      <c r="CZ31" s="2">
        <f t="shared" si="33"/>
        <v>269.57920000000001</v>
      </c>
      <c r="DA31" s="2"/>
      <c r="DB31" s="2"/>
      <c r="DC31" s="2" t="s">
        <v>3</v>
      </c>
      <c r="DD31" s="2" t="s">
        <v>3</v>
      </c>
      <c r="DE31" s="2" t="s">
        <v>3</v>
      </c>
      <c r="DF31" s="2" t="s">
        <v>3</v>
      </c>
      <c r="DG31" s="2" t="s">
        <v>3</v>
      </c>
      <c r="DH31" s="2" t="s">
        <v>3</v>
      </c>
      <c r="DI31" s="2" t="s">
        <v>3</v>
      </c>
      <c r="DJ31" s="2" t="s">
        <v>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1013</v>
      </c>
      <c r="DV31" s="2" t="s">
        <v>19</v>
      </c>
      <c r="DW31" s="2" t="s">
        <v>19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77313178</v>
      </c>
      <c r="EF31" s="2">
        <v>6</v>
      </c>
      <c r="EG31" s="2" t="s">
        <v>21</v>
      </c>
      <c r="EH31" s="2">
        <v>99</v>
      </c>
      <c r="EI31" s="2" t="s">
        <v>22</v>
      </c>
      <c r="EJ31" s="2">
        <v>1</v>
      </c>
      <c r="EK31" s="2">
        <v>65001</v>
      </c>
      <c r="EL31" s="2" t="s">
        <v>40</v>
      </c>
      <c r="EM31" s="2" t="s">
        <v>24</v>
      </c>
      <c r="EN31" s="2"/>
      <c r="EO31" s="2" t="s">
        <v>3</v>
      </c>
      <c r="EP31" s="2"/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95.3</v>
      </c>
      <c r="EX31" s="2">
        <v>0.25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87</v>
      </c>
      <c r="FY31" s="2">
        <v>44</v>
      </c>
      <c r="FZ31" s="2"/>
      <c r="GA31" s="2" t="s">
        <v>3</v>
      </c>
      <c r="GB31" s="2"/>
      <c r="GC31" s="2"/>
      <c r="GD31" s="2">
        <v>1</v>
      </c>
      <c r="GE31" s="2"/>
      <c r="GF31" s="2">
        <v>297772221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34"/>
        <v>0</v>
      </c>
      <c r="GM31" s="2">
        <f t="shared" si="35"/>
        <v>1415.43</v>
      </c>
      <c r="GN31" s="2">
        <f t="shared" si="36"/>
        <v>1415.43</v>
      </c>
      <c r="GO31" s="2">
        <f t="shared" si="37"/>
        <v>0</v>
      </c>
      <c r="GP31" s="2">
        <f t="shared" si="38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39"/>
        <v>0</v>
      </c>
      <c r="GW31" s="2">
        <v>1</v>
      </c>
      <c r="GX31" s="2">
        <f t="shared" si="40"/>
        <v>0</v>
      </c>
      <c r="GY31" s="2"/>
      <c r="GZ31" s="2"/>
      <c r="HA31" s="2">
        <v>0</v>
      </c>
      <c r="HB31" s="2">
        <v>0</v>
      </c>
      <c r="HC31" s="2">
        <f t="shared" si="41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41</v>
      </c>
      <c r="HO31" s="2" t="s">
        <v>42</v>
      </c>
      <c r="HP31" s="2" t="s">
        <v>40</v>
      </c>
      <c r="HQ31" s="2" t="s">
        <v>40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 s="2">
        <v>18</v>
      </c>
      <c r="B32" s="2">
        <v>1</v>
      </c>
      <c r="C32" s="2">
        <v>11</v>
      </c>
      <c r="D32" s="2"/>
      <c r="E32" s="2" t="s">
        <v>43</v>
      </c>
      <c r="F32" s="2" t="s">
        <v>33</v>
      </c>
      <c r="G32" s="2" t="s">
        <v>34</v>
      </c>
      <c r="H32" s="2" t="s">
        <v>35</v>
      </c>
      <c r="I32" s="2">
        <f>I31*J32</f>
        <v>3.9800000000000002E-2</v>
      </c>
      <c r="J32" s="2">
        <v>3.98</v>
      </c>
      <c r="K32" s="2">
        <v>3.98</v>
      </c>
      <c r="L32" s="2"/>
      <c r="M32" s="2"/>
      <c r="N32" s="2"/>
      <c r="O32" s="2">
        <f t="shared" si="21"/>
        <v>0</v>
      </c>
      <c r="P32" s="2">
        <f>ROUND(CQ32*I32,2)</f>
        <v>0</v>
      </c>
      <c r="Q32" s="2">
        <f>ROUND(CR32*I32,2)</f>
        <v>0</v>
      </c>
      <c r="R32" s="2">
        <f>ROUND(CS32*I32,2)</f>
        <v>0</v>
      </c>
      <c r="S32" s="2">
        <f>ROUND(CT32*I32,2)</f>
        <v>0</v>
      </c>
      <c r="T32" s="2">
        <f t="shared" si="22"/>
        <v>0</v>
      </c>
      <c r="U32" s="2">
        <f>ROUND(CV32*I32,7)</f>
        <v>0</v>
      </c>
      <c r="V32" s="2">
        <f>ROUND(CW32*I32,7)</f>
        <v>0</v>
      </c>
      <c r="W32" s="2">
        <f t="shared" si="23"/>
        <v>0</v>
      </c>
      <c r="X32" s="2">
        <f t="shared" si="24"/>
        <v>0</v>
      </c>
      <c r="Y32" s="2">
        <f t="shared" si="25"/>
        <v>0</v>
      </c>
      <c r="Z32" s="2"/>
      <c r="AA32" s="2">
        <v>80308166</v>
      </c>
      <c r="AB32" s="2">
        <f t="shared" si="26"/>
        <v>0</v>
      </c>
      <c r="AC32" s="2">
        <f>ROUND((ES32),6)</f>
        <v>0</v>
      </c>
      <c r="AD32" s="2">
        <f>ROUND((((ET32)-(EU32))+AE32),6)</f>
        <v>0</v>
      </c>
      <c r="AE32" s="2">
        <f>ROUND((EU32),6)</f>
        <v>0</v>
      </c>
      <c r="AF32" s="2">
        <f>ROUND((EV32),6)</f>
        <v>0</v>
      </c>
      <c r="AG32" s="2">
        <f t="shared" si="27"/>
        <v>0</v>
      </c>
      <c r="AH32" s="2">
        <f>(EW32)</f>
        <v>0</v>
      </c>
      <c r="AI32" s="2">
        <f>(EX32)</f>
        <v>0</v>
      </c>
      <c r="AJ32" s="2">
        <f t="shared" si="28"/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87</v>
      </c>
      <c r="AU32" s="2">
        <v>44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3</v>
      </c>
      <c r="BI32" s="2">
        <v>1</v>
      </c>
      <c r="BJ32" s="2" t="s">
        <v>3</v>
      </c>
      <c r="BK32" s="2"/>
      <c r="BL32" s="2"/>
      <c r="BM32" s="2">
        <v>65001</v>
      </c>
      <c r="BN32" s="2">
        <v>0</v>
      </c>
      <c r="BO32" s="2" t="s">
        <v>3</v>
      </c>
      <c r="BP32" s="2">
        <v>0</v>
      </c>
      <c r="BQ32" s="2">
        <v>6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87</v>
      </c>
      <c r="CA32" s="2">
        <v>44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3</v>
      </c>
      <c r="CO32" s="2">
        <v>0</v>
      </c>
      <c r="CP32" s="2">
        <f t="shared" si="29"/>
        <v>0</v>
      </c>
      <c r="CQ32" s="2">
        <f>ROUND(AL32*BC32,2)</f>
        <v>0</v>
      </c>
      <c r="CR32" s="2">
        <f>ROUND(AM32*BB32,2)</f>
        <v>0</v>
      </c>
      <c r="CS32" s="2">
        <f>ROUND(AN32*BS32,2)</f>
        <v>0</v>
      </c>
      <c r="CT32" s="2">
        <f>ROUND(AO32*BA32,2)</f>
        <v>0</v>
      </c>
      <c r="CU32" s="2">
        <f t="shared" si="30"/>
        <v>0</v>
      </c>
      <c r="CV32" s="2">
        <f>AH32</f>
        <v>0</v>
      </c>
      <c r="CW32" s="2">
        <f>AI32</f>
        <v>0</v>
      </c>
      <c r="CX32" s="2">
        <f t="shared" si="31"/>
        <v>0</v>
      </c>
      <c r="CY32" s="2">
        <f t="shared" si="32"/>
        <v>0</v>
      </c>
      <c r="CZ32" s="2">
        <f t="shared" si="33"/>
        <v>0</v>
      </c>
      <c r="DA32" s="2"/>
      <c r="DB32" s="2"/>
      <c r="DC32" s="2" t="s">
        <v>3</v>
      </c>
      <c r="DD32" s="2" t="s">
        <v>3</v>
      </c>
      <c r="DE32" s="2" t="s">
        <v>3</v>
      </c>
      <c r="DF32" s="2" t="s">
        <v>3</v>
      </c>
      <c r="DG32" s="2" t="s">
        <v>3</v>
      </c>
      <c r="DH32" s="2" t="s">
        <v>3</v>
      </c>
      <c r="DI32" s="2" t="s">
        <v>3</v>
      </c>
      <c r="DJ32" s="2" t="s">
        <v>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1009</v>
      </c>
      <c r="DV32" s="2" t="s">
        <v>35</v>
      </c>
      <c r="DW32" s="2" t="s">
        <v>35</v>
      </c>
      <c r="DX32" s="2">
        <v>1000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77313178</v>
      </c>
      <c r="EF32" s="2">
        <v>6</v>
      </c>
      <c r="EG32" s="2" t="s">
        <v>21</v>
      </c>
      <c r="EH32" s="2">
        <v>99</v>
      </c>
      <c r="EI32" s="2" t="s">
        <v>22</v>
      </c>
      <c r="EJ32" s="2">
        <v>1</v>
      </c>
      <c r="EK32" s="2">
        <v>65001</v>
      </c>
      <c r="EL32" s="2" t="s">
        <v>40</v>
      </c>
      <c r="EM32" s="2" t="s">
        <v>24</v>
      </c>
      <c r="EN32" s="2"/>
      <c r="EO32" s="2" t="s">
        <v>3</v>
      </c>
      <c r="EP32" s="2"/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87</v>
      </c>
      <c r="FY32" s="2">
        <v>44</v>
      </c>
      <c r="FZ32" s="2"/>
      <c r="GA32" s="2" t="s">
        <v>3</v>
      </c>
      <c r="GB32" s="2"/>
      <c r="GC32" s="2"/>
      <c r="GD32" s="2">
        <v>1</v>
      </c>
      <c r="GE32" s="2"/>
      <c r="GF32" s="2">
        <v>-1296435862</v>
      </c>
      <c r="GG32" s="2">
        <v>2</v>
      </c>
      <c r="GH32" s="2">
        <v>1</v>
      </c>
      <c r="GI32" s="2">
        <v>-2</v>
      </c>
      <c r="GJ32" s="2">
        <v>0</v>
      </c>
      <c r="GK32" s="2">
        <v>0</v>
      </c>
      <c r="GL32" s="2">
        <f t="shared" si="34"/>
        <v>0</v>
      </c>
      <c r="GM32" s="2">
        <f t="shared" si="35"/>
        <v>0</v>
      </c>
      <c r="GN32" s="2">
        <f t="shared" si="36"/>
        <v>0</v>
      </c>
      <c r="GO32" s="2">
        <f t="shared" si="37"/>
        <v>0</v>
      </c>
      <c r="GP32" s="2">
        <f t="shared" si="38"/>
        <v>0</v>
      </c>
      <c r="GQ32" s="2"/>
      <c r="GR32" s="2">
        <v>0</v>
      </c>
      <c r="GS32" s="2">
        <v>0</v>
      </c>
      <c r="GT32" s="2">
        <v>0</v>
      </c>
      <c r="GU32" s="2" t="s">
        <v>3</v>
      </c>
      <c r="GV32" s="2">
        <f t="shared" si="39"/>
        <v>0</v>
      </c>
      <c r="GW32" s="2">
        <v>1</v>
      </c>
      <c r="GX32" s="2">
        <f t="shared" si="40"/>
        <v>0</v>
      </c>
      <c r="GY32" s="2"/>
      <c r="GZ32" s="2"/>
      <c r="HA32" s="2">
        <v>0</v>
      </c>
      <c r="HB32" s="2">
        <v>0</v>
      </c>
      <c r="HC32" s="2">
        <f t="shared" si="41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41</v>
      </c>
      <c r="HO32" s="2" t="s">
        <v>42</v>
      </c>
      <c r="HP32" s="2" t="s">
        <v>40</v>
      </c>
      <c r="HQ32" s="2" t="s">
        <v>40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ht="409.5" x14ac:dyDescent="0.2">
      <c r="A33" s="2">
        <v>17</v>
      </c>
      <c r="B33" s="2">
        <v>1</v>
      </c>
      <c r="C33" s="2">
        <f>ROW(SmtRes!A22)</f>
        <v>22</v>
      </c>
      <c r="D33" s="2">
        <f>ROW(EtalonRes!A22)</f>
        <v>22</v>
      </c>
      <c r="E33" s="2" t="s">
        <v>44</v>
      </c>
      <c r="F33" s="2" t="s">
        <v>45</v>
      </c>
      <c r="G33" s="2" t="s">
        <v>46</v>
      </c>
      <c r="H33" s="2" t="s">
        <v>30</v>
      </c>
      <c r="I33" s="2">
        <v>1</v>
      </c>
      <c r="J33" s="2">
        <v>0</v>
      </c>
      <c r="K33" s="2">
        <v>1</v>
      </c>
      <c r="L33" s="2"/>
      <c r="M33" s="2"/>
      <c r="N33" s="2"/>
      <c r="O33" s="2">
        <f t="shared" si="21"/>
        <v>2556.52</v>
      </c>
      <c r="P33" s="2">
        <f>SUMIF(SmtRes!AQ12:'SmtRes'!AQ22,"=1",SmtRes!DF12:'SmtRes'!DF22)</f>
        <v>401.32000000000005</v>
      </c>
      <c r="Q33" s="2">
        <f>SUMIF(SmtRes!AQ12:'SmtRes'!AQ22,"=1",SmtRes!DG12:'SmtRes'!DG22)</f>
        <v>74.84</v>
      </c>
      <c r="R33" s="2">
        <f>SUMIF(SmtRes!AQ12:'SmtRes'!AQ22,"=1",SmtRes!DH12:'SmtRes'!DH22)</f>
        <v>42.29</v>
      </c>
      <c r="S33" s="2">
        <f>SUMIF(SmtRes!AQ12:'SmtRes'!AQ22,"=1",SmtRes!DI12:'SmtRes'!DI22)</f>
        <v>2038.07</v>
      </c>
      <c r="T33" s="2">
        <f t="shared" si="22"/>
        <v>0</v>
      </c>
      <c r="U33" s="2">
        <f>SUMIF(SmtRes!AQ12:'SmtRes'!AQ22,"=1",SmtRes!CV12:'SmtRes'!CV22)</f>
        <v>2.99</v>
      </c>
      <c r="V33" s="2">
        <f>SUMIF(SmtRes!AQ12:'SmtRes'!AQ22,"=1",SmtRes!CW12:'SmtRes'!CW22)</f>
        <v>0.05</v>
      </c>
      <c r="W33" s="2">
        <f t="shared" si="23"/>
        <v>0</v>
      </c>
      <c r="X33" s="2">
        <f t="shared" si="24"/>
        <v>2265.5100000000002</v>
      </c>
      <c r="Y33" s="2">
        <f t="shared" si="25"/>
        <v>1273.18</v>
      </c>
      <c r="Z33" s="2"/>
      <c r="AA33" s="2">
        <v>80308166</v>
      </c>
      <c r="AB33" s="2">
        <f t="shared" si="26"/>
        <v>2493.4493389999998</v>
      </c>
      <c r="AC33" s="2">
        <f>ROUND((SUM(SmtRes!BQ12:'SmtRes'!BQ22)),6)</f>
        <v>380.52776399999999</v>
      </c>
      <c r="AD33" s="2">
        <f>ROUND((((SUM(SmtRes!BR12:'SmtRes'!BR22))-(SUM(SmtRes!BS12:'SmtRes'!BS22)))+AE33),6)</f>
        <v>74.847875000000002</v>
      </c>
      <c r="AE33" s="2">
        <f>ROUND((SUM(SmtRes!BS12:'SmtRes'!BS22)),6)</f>
        <v>42.298999999999999</v>
      </c>
      <c r="AF33" s="2">
        <f>ROUND((SUM(SmtRes!BT12:'SmtRes'!BT22)),6)</f>
        <v>2038.0736999999999</v>
      </c>
      <c r="AG33" s="2">
        <f t="shared" si="27"/>
        <v>0</v>
      </c>
      <c r="AH33" s="2">
        <f>(SUM(SmtRes!BU12:'SmtRes'!BU22))</f>
        <v>2.9899999999999998</v>
      </c>
      <c r="AI33" s="2">
        <f>(SUM(SmtRes!BV12:'SmtRes'!BV22))</f>
        <v>0.05</v>
      </c>
      <c r="AJ33" s="2">
        <f t="shared" si="28"/>
        <v>0</v>
      </c>
      <c r="AK33" s="2">
        <v>2246.4832643</v>
      </c>
      <c r="AL33" s="2">
        <v>380.52776429999994</v>
      </c>
      <c r="AM33" s="2">
        <v>59.878300000000003</v>
      </c>
      <c r="AN33" s="2">
        <v>33.839199999999998</v>
      </c>
      <c r="AO33" s="2">
        <v>1772.2380000000001</v>
      </c>
      <c r="AP33" s="2">
        <v>0</v>
      </c>
      <c r="AQ33" s="2">
        <v>2.6</v>
      </c>
      <c r="AR33" s="2">
        <v>0.04</v>
      </c>
      <c r="AS33" s="2">
        <v>0</v>
      </c>
      <c r="AT33" s="2">
        <v>108.9</v>
      </c>
      <c r="AU33" s="2">
        <v>61.2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0</v>
      </c>
      <c r="BI33" s="2">
        <v>1</v>
      </c>
      <c r="BJ33" s="2" t="s">
        <v>47</v>
      </c>
      <c r="BK33" s="2"/>
      <c r="BL33" s="2"/>
      <c r="BM33" s="2">
        <v>16001</v>
      </c>
      <c r="BN33" s="2">
        <v>0</v>
      </c>
      <c r="BO33" s="2" t="s">
        <v>3</v>
      </c>
      <c r="BP33" s="2">
        <v>0</v>
      </c>
      <c r="BQ33" s="2">
        <v>2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121</v>
      </c>
      <c r="CA33" s="2">
        <v>72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7" t="s">
        <v>651</v>
      </c>
      <c r="CO33" s="2">
        <v>0</v>
      </c>
      <c r="CP33" s="2">
        <f t="shared" si="29"/>
        <v>2556.52</v>
      </c>
      <c r="CQ33" s="2">
        <f>SUMIF(SmtRes!AQ12:'SmtRes'!AQ22,"=1",SmtRes!AA12:'SmtRes'!AA22)</f>
        <v>175187.87</v>
      </c>
      <c r="CR33" s="2">
        <f>SUMIF(SmtRes!AQ12:'SmtRes'!AQ22,"=1",SmtRes!AB12:'SmtRes'!AB22)</f>
        <v>3344.42</v>
      </c>
      <c r="CS33" s="2">
        <f>SUMIF(SmtRes!AQ12:'SmtRes'!AQ22,"=1",SmtRes!AC12:'SmtRes'!AC22)</f>
        <v>2661.87</v>
      </c>
      <c r="CT33" s="2">
        <f>SUMIF(SmtRes!AQ12:'SmtRes'!AQ22,"=1",SmtRes!AD12:'SmtRes'!AD22)</f>
        <v>681.63</v>
      </c>
      <c r="CU33" s="2">
        <f t="shared" si="30"/>
        <v>0</v>
      </c>
      <c r="CV33" s="2">
        <f>SUMIF(SmtRes!AQ12:'SmtRes'!AQ22,"=1",SmtRes!BU12:'SmtRes'!BU22)</f>
        <v>2.9899999999999998</v>
      </c>
      <c r="CW33" s="2">
        <f>SUMIF(SmtRes!AQ12:'SmtRes'!AQ22,"=1",SmtRes!BV12:'SmtRes'!BV22)</f>
        <v>0.05</v>
      </c>
      <c r="CX33" s="2">
        <f t="shared" si="31"/>
        <v>0</v>
      </c>
      <c r="CY33" s="2">
        <f t="shared" si="32"/>
        <v>2265.5120400000001</v>
      </c>
      <c r="CZ33" s="2">
        <f t="shared" si="33"/>
        <v>1273.1803200000002</v>
      </c>
      <c r="DA33" s="2"/>
      <c r="DB33" s="2">
        <v>1</v>
      </c>
      <c r="DC33" s="2" t="s">
        <v>3</v>
      </c>
      <c r="DD33" s="2" t="s">
        <v>3</v>
      </c>
      <c r="DE33" s="2" t="s">
        <v>48</v>
      </c>
      <c r="DF33" s="2" t="s">
        <v>48</v>
      </c>
      <c r="DG33" s="2" t="s">
        <v>49</v>
      </c>
      <c r="DH33" s="2" t="s">
        <v>3</v>
      </c>
      <c r="DI33" s="2" t="s">
        <v>49</v>
      </c>
      <c r="DJ33" s="2" t="s">
        <v>48</v>
      </c>
      <c r="DK33" s="2" t="s">
        <v>3</v>
      </c>
      <c r="DL33" s="2" t="s">
        <v>50</v>
      </c>
      <c r="DM33" s="2" t="s">
        <v>51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1013</v>
      </c>
      <c r="DV33" s="2" t="s">
        <v>30</v>
      </c>
      <c r="DW33" s="2" t="s">
        <v>30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77313119</v>
      </c>
      <c r="EF33" s="2">
        <v>2</v>
      </c>
      <c r="EG33" s="2" t="s">
        <v>52</v>
      </c>
      <c r="EH33" s="2">
        <v>16</v>
      </c>
      <c r="EI33" s="2" t="s">
        <v>53</v>
      </c>
      <c r="EJ33" s="2">
        <v>1</v>
      </c>
      <c r="EK33" s="2">
        <v>16001</v>
      </c>
      <c r="EL33" s="2" t="s">
        <v>54</v>
      </c>
      <c r="EM33" s="2" t="s">
        <v>55</v>
      </c>
      <c r="EN33" s="2"/>
      <c r="EO33" s="2" t="s">
        <v>56</v>
      </c>
      <c r="EP33" s="2"/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2.6</v>
      </c>
      <c r="EX33" s="2">
        <v>0.04</v>
      </c>
      <c r="EY33" s="2">
        <v>0</v>
      </c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108.9</v>
      </c>
      <c r="FY33" s="2">
        <v>61.2</v>
      </c>
      <c r="FZ33" s="2"/>
      <c r="GA33" s="2" t="s">
        <v>3</v>
      </c>
      <c r="GB33" s="2"/>
      <c r="GC33" s="2"/>
      <c r="GD33" s="2">
        <v>1</v>
      </c>
      <c r="GE33" s="2"/>
      <c r="GF33" s="2">
        <v>880062342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34"/>
        <v>0</v>
      </c>
      <c r="GM33" s="2">
        <f t="shared" si="35"/>
        <v>6095.21</v>
      </c>
      <c r="GN33" s="2">
        <f t="shared" si="36"/>
        <v>6095.21</v>
      </c>
      <c r="GO33" s="2">
        <f t="shared" si="37"/>
        <v>0</v>
      </c>
      <c r="GP33" s="2">
        <f t="shared" si="38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39"/>
        <v>0</v>
      </c>
      <c r="GW33" s="2">
        <v>1</v>
      </c>
      <c r="GX33" s="2">
        <f t="shared" si="40"/>
        <v>0</v>
      </c>
      <c r="GY33" s="2"/>
      <c r="GZ33" s="2"/>
      <c r="HA33" s="2">
        <v>0</v>
      </c>
      <c r="HB33" s="2">
        <v>0</v>
      </c>
      <c r="HC33" s="2">
        <f t="shared" si="41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57</v>
      </c>
      <c r="HO33" s="2" t="s">
        <v>58</v>
      </c>
      <c r="HP33" s="2" t="s">
        <v>53</v>
      </c>
      <c r="HQ33" s="2" t="s">
        <v>53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 s="2">
        <v>18</v>
      </c>
      <c r="B34" s="2">
        <v>1</v>
      </c>
      <c r="C34" s="2">
        <v>21</v>
      </c>
      <c r="D34" s="2"/>
      <c r="E34" s="2" t="s">
        <v>59</v>
      </c>
      <c r="F34" s="2" t="s">
        <v>60</v>
      </c>
      <c r="G34" s="2" t="s">
        <v>61</v>
      </c>
      <c r="H34" s="2" t="s">
        <v>30</v>
      </c>
      <c r="I34" s="2">
        <f>I33*J34</f>
        <v>1</v>
      </c>
      <c r="J34" s="2">
        <v>1</v>
      </c>
      <c r="K34" s="2">
        <v>1</v>
      </c>
      <c r="L34" s="2"/>
      <c r="M34" s="2"/>
      <c r="N34" s="2"/>
      <c r="O34" s="2">
        <f t="shared" si="21"/>
        <v>3578.63</v>
      </c>
      <c r="P34" s="2">
        <f>ROUND(CQ34*I34,2)</f>
        <v>3578.63</v>
      </c>
      <c r="Q34" s="2">
        <f>ROUND(CR34*I34,2)</f>
        <v>0</v>
      </c>
      <c r="R34" s="2">
        <f>ROUND(CS34*I34,2)</f>
        <v>0</v>
      </c>
      <c r="S34" s="2">
        <f>ROUND(CT34*I34,2)</f>
        <v>0</v>
      </c>
      <c r="T34" s="2">
        <f t="shared" si="22"/>
        <v>0</v>
      </c>
      <c r="U34" s="2">
        <f>ROUND(CV34*I34,7)</f>
        <v>0</v>
      </c>
      <c r="V34" s="2">
        <f>ROUND(CW34*I34,7)</f>
        <v>0</v>
      </c>
      <c r="W34" s="2">
        <f t="shared" si="23"/>
        <v>0</v>
      </c>
      <c r="X34" s="2">
        <f t="shared" si="24"/>
        <v>0</v>
      </c>
      <c r="Y34" s="2">
        <f t="shared" si="25"/>
        <v>0</v>
      </c>
      <c r="Z34" s="2"/>
      <c r="AA34" s="2">
        <v>80308166</v>
      </c>
      <c r="AB34" s="2">
        <f t="shared" si="26"/>
        <v>3578.63</v>
      </c>
      <c r="AC34" s="2">
        <f>ROUND((ES34),6)</f>
        <v>3578.63</v>
      </c>
      <c r="AD34" s="2">
        <f>ROUND((((ET34)-(EU34))+AE34),6)</f>
        <v>0</v>
      </c>
      <c r="AE34" s="2">
        <f>ROUND((EU34),6)</f>
        <v>0</v>
      </c>
      <c r="AF34" s="2">
        <f>ROUND((EV34),6)</f>
        <v>0</v>
      </c>
      <c r="AG34" s="2">
        <f t="shared" si="27"/>
        <v>0</v>
      </c>
      <c r="AH34" s="2">
        <f>(EW34)</f>
        <v>0</v>
      </c>
      <c r="AI34" s="2">
        <f>(EX34)</f>
        <v>0</v>
      </c>
      <c r="AJ34" s="2">
        <f t="shared" si="28"/>
        <v>0</v>
      </c>
      <c r="AK34" s="2">
        <v>3578.63</v>
      </c>
      <c r="AL34" s="2">
        <v>3578.63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121</v>
      </c>
      <c r="AU34" s="2">
        <v>72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3</v>
      </c>
      <c r="BI34" s="2">
        <v>1</v>
      </c>
      <c r="BJ34" s="2" t="s">
        <v>62</v>
      </c>
      <c r="BK34" s="2"/>
      <c r="BL34" s="2"/>
      <c r="BM34" s="2">
        <v>16001</v>
      </c>
      <c r="BN34" s="2">
        <v>0</v>
      </c>
      <c r="BO34" s="2" t="s">
        <v>3</v>
      </c>
      <c r="BP34" s="2">
        <v>0</v>
      </c>
      <c r="BQ34" s="2">
        <v>2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121</v>
      </c>
      <c r="CA34" s="2">
        <v>72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2" t="s">
        <v>3</v>
      </c>
      <c r="CO34" s="2">
        <v>0</v>
      </c>
      <c r="CP34" s="2">
        <f t="shared" si="29"/>
        <v>3578.63</v>
      </c>
      <c r="CQ34" s="2">
        <f>ROUND(AL34*BC34,2)</f>
        <v>3578.63</v>
      </c>
      <c r="CR34" s="2">
        <f>ROUND(AM34*BB34,2)</f>
        <v>0</v>
      </c>
      <c r="CS34" s="2">
        <f>ROUND(AN34*BS34,2)</f>
        <v>0</v>
      </c>
      <c r="CT34" s="2">
        <f>ROUND(AO34*BA34,2)</f>
        <v>0</v>
      </c>
      <c r="CU34" s="2">
        <f t="shared" si="30"/>
        <v>0</v>
      </c>
      <c r="CV34" s="2">
        <f>AH34</f>
        <v>0</v>
      </c>
      <c r="CW34" s="2">
        <f>AI34</f>
        <v>0</v>
      </c>
      <c r="CX34" s="2">
        <f t="shared" si="31"/>
        <v>0</v>
      </c>
      <c r="CY34" s="2">
        <f t="shared" si="32"/>
        <v>0</v>
      </c>
      <c r="CZ34" s="2">
        <f t="shared" si="33"/>
        <v>0</v>
      </c>
      <c r="DA34" s="2"/>
      <c r="DB34" s="2"/>
      <c r="DC34" s="2" t="s">
        <v>3</v>
      </c>
      <c r="DD34" s="2" t="s">
        <v>3</v>
      </c>
      <c r="DE34" s="2" t="s">
        <v>3</v>
      </c>
      <c r="DF34" s="2" t="s">
        <v>3</v>
      </c>
      <c r="DG34" s="2" t="s">
        <v>3</v>
      </c>
      <c r="DH34" s="2" t="s">
        <v>3</v>
      </c>
      <c r="DI34" s="2" t="s">
        <v>3</v>
      </c>
      <c r="DJ34" s="2" t="s">
        <v>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1013</v>
      </c>
      <c r="DV34" s="2" t="s">
        <v>30</v>
      </c>
      <c r="DW34" s="2" t="s">
        <v>30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77313119</v>
      </c>
      <c r="EF34" s="2">
        <v>2</v>
      </c>
      <c r="EG34" s="2" t="s">
        <v>52</v>
      </c>
      <c r="EH34" s="2">
        <v>16</v>
      </c>
      <c r="EI34" s="2" t="s">
        <v>53</v>
      </c>
      <c r="EJ34" s="2">
        <v>1</v>
      </c>
      <c r="EK34" s="2">
        <v>16001</v>
      </c>
      <c r="EL34" s="2" t="s">
        <v>54</v>
      </c>
      <c r="EM34" s="2" t="s">
        <v>55</v>
      </c>
      <c r="EN34" s="2"/>
      <c r="EO34" s="2" t="s">
        <v>3</v>
      </c>
      <c r="EP34" s="2"/>
      <c r="EQ34" s="2">
        <v>0</v>
      </c>
      <c r="ER34" s="2">
        <v>3578.63</v>
      </c>
      <c r="ES34" s="2">
        <v>3578.63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121</v>
      </c>
      <c r="FY34" s="2">
        <v>72</v>
      </c>
      <c r="FZ34" s="2"/>
      <c r="GA34" s="2" t="s">
        <v>3</v>
      </c>
      <c r="GB34" s="2"/>
      <c r="GC34" s="2"/>
      <c r="GD34" s="2">
        <v>1</v>
      </c>
      <c r="GE34" s="2">
        <v>2577.11</v>
      </c>
      <c r="GF34" s="2">
        <v>890622894</v>
      </c>
      <c r="GG34" s="2">
        <v>2</v>
      </c>
      <c r="GH34" s="2">
        <v>1</v>
      </c>
      <c r="GI34" s="2">
        <v>-2</v>
      </c>
      <c r="GJ34" s="2">
        <v>0</v>
      </c>
      <c r="GK34" s="2">
        <v>0</v>
      </c>
      <c r="GL34" s="2">
        <f t="shared" si="34"/>
        <v>0</v>
      </c>
      <c r="GM34" s="2">
        <f t="shared" si="35"/>
        <v>3578.63</v>
      </c>
      <c r="GN34" s="2">
        <f t="shared" si="36"/>
        <v>3578.63</v>
      </c>
      <c r="GO34" s="2">
        <f t="shared" si="37"/>
        <v>0</v>
      </c>
      <c r="GP34" s="2">
        <f t="shared" si="38"/>
        <v>0</v>
      </c>
      <c r="GQ34" s="2"/>
      <c r="GR34" s="2">
        <v>3</v>
      </c>
      <c r="GS34" s="2">
        <v>3</v>
      </c>
      <c r="GT34" s="2">
        <v>0</v>
      </c>
      <c r="GU34" s="2" t="s">
        <v>3</v>
      </c>
      <c r="GV34" s="2">
        <f t="shared" si="39"/>
        <v>0</v>
      </c>
      <c r="GW34" s="2">
        <v>1</v>
      </c>
      <c r="GX34" s="2">
        <f t="shared" si="40"/>
        <v>0</v>
      </c>
      <c r="GY34" s="2"/>
      <c r="GZ34" s="2"/>
      <c r="HA34" s="2">
        <v>0</v>
      </c>
      <c r="HB34" s="2">
        <v>0</v>
      </c>
      <c r="HC34" s="2">
        <f t="shared" si="41"/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57</v>
      </c>
      <c r="HO34" s="2" t="s">
        <v>58</v>
      </c>
      <c r="HP34" s="2" t="s">
        <v>53</v>
      </c>
      <c r="HQ34" s="2" t="s">
        <v>53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 s="2">
        <v>18</v>
      </c>
      <c r="B35" s="2">
        <v>1</v>
      </c>
      <c r="C35" s="2">
        <v>22</v>
      </c>
      <c r="D35" s="2"/>
      <c r="E35" s="2" t="s">
        <v>63</v>
      </c>
      <c r="F35" s="2" t="s">
        <v>64</v>
      </c>
      <c r="G35" s="2" t="s">
        <v>65</v>
      </c>
      <c r="H35" s="2" t="s">
        <v>30</v>
      </c>
      <c r="I35" s="2">
        <f>I33*J35</f>
        <v>2</v>
      </c>
      <c r="J35" s="2">
        <v>2</v>
      </c>
      <c r="K35" s="2">
        <v>2</v>
      </c>
      <c r="L35" s="2"/>
      <c r="M35" s="2"/>
      <c r="N35" s="2"/>
      <c r="O35" s="2">
        <f t="shared" si="21"/>
        <v>1463.26</v>
      </c>
      <c r="P35" s="2">
        <f>ROUND(CQ35*I35,2)</f>
        <v>1463.26</v>
      </c>
      <c r="Q35" s="2">
        <f>ROUND(CR35*I35,2)</f>
        <v>0</v>
      </c>
      <c r="R35" s="2">
        <f>ROUND(CS35*I35,2)</f>
        <v>0</v>
      </c>
      <c r="S35" s="2">
        <f>ROUND(CT35*I35,2)</f>
        <v>0</v>
      </c>
      <c r="T35" s="2">
        <f t="shared" si="22"/>
        <v>0</v>
      </c>
      <c r="U35" s="2">
        <f>ROUND(CV35*I35,7)</f>
        <v>0</v>
      </c>
      <c r="V35" s="2">
        <f>ROUND(CW35*I35,7)</f>
        <v>0</v>
      </c>
      <c r="W35" s="2">
        <f t="shared" si="23"/>
        <v>0</v>
      </c>
      <c r="X35" s="2">
        <f t="shared" si="24"/>
        <v>0</v>
      </c>
      <c r="Y35" s="2">
        <f t="shared" si="25"/>
        <v>0</v>
      </c>
      <c r="Z35" s="2"/>
      <c r="AA35" s="2">
        <v>80308166</v>
      </c>
      <c r="AB35" s="2">
        <f t="shared" si="26"/>
        <v>659.13</v>
      </c>
      <c r="AC35" s="2">
        <f>ROUND((ES35),6)</f>
        <v>659.13</v>
      </c>
      <c r="AD35" s="2">
        <f>ROUND((((ET35)-(EU35))+AE35),6)</f>
        <v>0</v>
      </c>
      <c r="AE35" s="2">
        <f>ROUND((EU35),6)</f>
        <v>0</v>
      </c>
      <c r="AF35" s="2">
        <f>ROUND((EV35),6)</f>
        <v>0</v>
      </c>
      <c r="AG35" s="2">
        <f t="shared" si="27"/>
        <v>0</v>
      </c>
      <c r="AH35" s="2">
        <f>(EW35)</f>
        <v>0</v>
      </c>
      <c r="AI35" s="2">
        <f>(EX35)</f>
        <v>0</v>
      </c>
      <c r="AJ35" s="2">
        <f t="shared" si="28"/>
        <v>0</v>
      </c>
      <c r="AK35" s="2">
        <v>659.13</v>
      </c>
      <c r="AL35" s="2">
        <v>659.13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121</v>
      </c>
      <c r="AU35" s="2">
        <v>72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1.1100000000000001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3</v>
      </c>
      <c r="BI35" s="2">
        <v>1</v>
      </c>
      <c r="BJ35" s="2" t="s">
        <v>66</v>
      </c>
      <c r="BK35" s="2"/>
      <c r="BL35" s="2"/>
      <c r="BM35" s="2">
        <v>16001</v>
      </c>
      <c r="BN35" s="2">
        <v>0</v>
      </c>
      <c r="BO35" s="2" t="s">
        <v>64</v>
      </c>
      <c r="BP35" s="2">
        <v>1</v>
      </c>
      <c r="BQ35" s="2">
        <v>2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121</v>
      </c>
      <c r="CA35" s="2">
        <v>72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3</v>
      </c>
      <c r="CO35" s="2">
        <v>0</v>
      </c>
      <c r="CP35" s="2">
        <f t="shared" si="29"/>
        <v>1463.26</v>
      </c>
      <c r="CQ35" s="2">
        <f>ROUND(AL35*BC35,2)</f>
        <v>731.63</v>
      </c>
      <c r="CR35" s="2">
        <f>ROUND(AM35*BB35,2)</f>
        <v>0</v>
      </c>
      <c r="CS35" s="2">
        <f>ROUND(AN35*BS35,2)</f>
        <v>0</v>
      </c>
      <c r="CT35" s="2">
        <f>ROUND(AO35*BA35,2)</f>
        <v>0</v>
      </c>
      <c r="CU35" s="2">
        <f t="shared" si="30"/>
        <v>0</v>
      </c>
      <c r="CV35" s="2">
        <f>AH35</f>
        <v>0</v>
      </c>
      <c r="CW35" s="2">
        <f>AI35</f>
        <v>0</v>
      </c>
      <c r="CX35" s="2">
        <f t="shared" si="31"/>
        <v>0</v>
      </c>
      <c r="CY35" s="2">
        <f t="shared" si="32"/>
        <v>0</v>
      </c>
      <c r="CZ35" s="2">
        <f t="shared" si="33"/>
        <v>0</v>
      </c>
      <c r="DA35" s="2"/>
      <c r="DB35" s="2"/>
      <c r="DC35" s="2" t="s">
        <v>3</v>
      </c>
      <c r="DD35" s="2" t="s">
        <v>3</v>
      </c>
      <c r="DE35" s="2" t="s">
        <v>3</v>
      </c>
      <c r="DF35" s="2" t="s">
        <v>3</v>
      </c>
      <c r="DG35" s="2" t="s">
        <v>3</v>
      </c>
      <c r="DH35" s="2" t="s">
        <v>3</v>
      </c>
      <c r="DI35" s="2" t="s">
        <v>3</v>
      </c>
      <c r="DJ35" s="2" t="s">
        <v>3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1013</v>
      </c>
      <c r="DV35" s="2" t="s">
        <v>30</v>
      </c>
      <c r="DW35" s="2" t="s">
        <v>30</v>
      </c>
      <c r="DX35" s="2">
        <v>1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77313119</v>
      </c>
      <c r="EF35" s="2">
        <v>2</v>
      </c>
      <c r="EG35" s="2" t="s">
        <v>52</v>
      </c>
      <c r="EH35" s="2">
        <v>16</v>
      </c>
      <c r="EI35" s="2" t="s">
        <v>53</v>
      </c>
      <c r="EJ35" s="2">
        <v>1</v>
      </c>
      <c r="EK35" s="2">
        <v>16001</v>
      </c>
      <c r="EL35" s="2" t="s">
        <v>54</v>
      </c>
      <c r="EM35" s="2" t="s">
        <v>55</v>
      </c>
      <c r="EN35" s="2"/>
      <c r="EO35" s="2" t="s">
        <v>3</v>
      </c>
      <c r="EP35" s="2"/>
      <c r="EQ35" s="2">
        <v>0</v>
      </c>
      <c r="ER35" s="2">
        <v>659.13</v>
      </c>
      <c r="ES35" s="2">
        <v>659.13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121</v>
      </c>
      <c r="FY35" s="2">
        <v>72</v>
      </c>
      <c r="FZ35" s="2"/>
      <c r="GA35" s="2" t="s">
        <v>3</v>
      </c>
      <c r="GB35" s="2"/>
      <c r="GC35" s="2"/>
      <c r="GD35" s="2">
        <v>1</v>
      </c>
      <c r="GE35" s="2"/>
      <c r="GF35" s="2">
        <v>-258319678</v>
      </c>
      <c r="GG35" s="2">
        <v>2</v>
      </c>
      <c r="GH35" s="2">
        <v>1</v>
      </c>
      <c r="GI35" s="2">
        <v>2</v>
      </c>
      <c r="GJ35" s="2">
        <v>0</v>
      </c>
      <c r="GK35" s="2">
        <v>0</v>
      </c>
      <c r="GL35" s="2">
        <f t="shared" si="34"/>
        <v>0</v>
      </c>
      <c r="GM35" s="2">
        <f t="shared" si="35"/>
        <v>1463.26</v>
      </c>
      <c r="GN35" s="2">
        <f t="shared" si="36"/>
        <v>1463.26</v>
      </c>
      <c r="GO35" s="2">
        <f t="shared" si="37"/>
        <v>0</v>
      </c>
      <c r="GP35" s="2">
        <f t="shared" si="38"/>
        <v>0</v>
      </c>
      <c r="GQ35" s="2"/>
      <c r="GR35" s="2">
        <v>0</v>
      </c>
      <c r="GS35" s="2">
        <v>3</v>
      </c>
      <c r="GT35" s="2">
        <v>0</v>
      </c>
      <c r="GU35" s="2" t="s">
        <v>3</v>
      </c>
      <c r="GV35" s="2">
        <f t="shared" si="39"/>
        <v>0</v>
      </c>
      <c r="GW35" s="2">
        <v>1</v>
      </c>
      <c r="GX35" s="2">
        <f t="shared" si="40"/>
        <v>0</v>
      </c>
      <c r="GY35" s="2"/>
      <c r="GZ35" s="2"/>
      <c r="HA35" s="2">
        <v>0</v>
      </c>
      <c r="HB35" s="2">
        <v>0</v>
      </c>
      <c r="HC35" s="2">
        <f t="shared" si="41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57</v>
      </c>
      <c r="HO35" s="2" t="s">
        <v>58</v>
      </c>
      <c r="HP35" s="2" t="s">
        <v>53</v>
      </c>
      <c r="HQ35" s="2" t="s">
        <v>53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 s="2">
        <v>17</v>
      </c>
      <c r="B36" s="2">
        <v>1</v>
      </c>
      <c r="C36" s="2">
        <f>ROW(SmtRes!A29)</f>
        <v>29</v>
      </c>
      <c r="D36" s="2">
        <f>ROW(EtalonRes!A29)</f>
        <v>29</v>
      </c>
      <c r="E36" s="2" t="s">
        <v>67</v>
      </c>
      <c r="F36" s="2" t="s">
        <v>68</v>
      </c>
      <c r="G36" s="2" t="s">
        <v>69</v>
      </c>
      <c r="H36" s="2" t="s">
        <v>30</v>
      </c>
      <c r="I36" s="2">
        <v>3</v>
      </c>
      <c r="J36" s="2">
        <v>0</v>
      </c>
      <c r="K36" s="2">
        <v>3</v>
      </c>
      <c r="L36" s="2"/>
      <c r="M36" s="2"/>
      <c r="N36" s="2"/>
      <c r="O36" s="2">
        <f t="shared" si="21"/>
        <v>3135.52</v>
      </c>
      <c r="P36" s="2">
        <f>SUMIF(SmtRes!AQ23:'SmtRes'!AQ29,"=1",SmtRes!DF23:'SmtRes'!DF29)</f>
        <v>0</v>
      </c>
      <c r="Q36" s="2">
        <f>SUMIF(SmtRes!AQ23:'SmtRes'!AQ29,"=1",SmtRes!DG23:'SmtRes'!DG29)</f>
        <v>16.260000000000002</v>
      </c>
      <c r="R36" s="2">
        <f>SUMIF(SmtRes!AQ23:'SmtRes'!AQ29,"=1",SmtRes!DH23:'SmtRes'!DH29)</f>
        <v>0</v>
      </c>
      <c r="S36" s="2">
        <f>SUMIF(SmtRes!AQ23:'SmtRes'!AQ29,"=1",SmtRes!DI23:'SmtRes'!DI29)</f>
        <v>3119.26</v>
      </c>
      <c r="T36" s="2">
        <f t="shared" si="22"/>
        <v>0</v>
      </c>
      <c r="U36" s="2">
        <f>SUMIF(SmtRes!AQ23:'SmtRes'!AQ29,"=1",SmtRes!CV23:'SmtRes'!CV29)</f>
        <v>4.32</v>
      </c>
      <c r="V36" s="2">
        <f>SUMIF(SmtRes!AQ23:'SmtRes'!AQ29,"=1",SmtRes!CW23:'SmtRes'!CW29)</f>
        <v>0</v>
      </c>
      <c r="W36" s="2">
        <f t="shared" si="23"/>
        <v>0</v>
      </c>
      <c r="X36" s="2">
        <f t="shared" si="24"/>
        <v>2807.33</v>
      </c>
      <c r="Y36" s="2">
        <f t="shared" si="25"/>
        <v>1434.86</v>
      </c>
      <c r="Z36" s="2"/>
      <c r="AA36" s="2">
        <v>80308166</v>
      </c>
      <c r="AB36" s="2">
        <f t="shared" si="26"/>
        <v>1045.1716799999999</v>
      </c>
      <c r="AC36" s="2">
        <f>ROUND((0),6)</f>
        <v>0</v>
      </c>
      <c r="AD36" s="2">
        <f>ROUND((((SUM(SmtRes!BR23:'SmtRes'!BR29))-(0))+AE36),6)</f>
        <v>5.4196799999999996</v>
      </c>
      <c r="AE36" s="2">
        <f>ROUND((0),6)</f>
        <v>0</v>
      </c>
      <c r="AF36" s="2">
        <f>ROUND((SUM(SmtRes!BT23:'SmtRes'!BT29)),6)</f>
        <v>1039.752</v>
      </c>
      <c r="AG36" s="2">
        <f t="shared" si="27"/>
        <v>0</v>
      </c>
      <c r="AH36" s="2">
        <f>(SUM(SmtRes!BU23:'SmtRes'!BU29))</f>
        <v>1.44</v>
      </c>
      <c r="AI36" s="2">
        <f>(0)</f>
        <v>0</v>
      </c>
      <c r="AJ36" s="2">
        <f t="shared" si="28"/>
        <v>0</v>
      </c>
      <c r="AK36" s="2">
        <v>3518.9625099999998</v>
      </c>
      <c r="AL36" s="2">
        <v>35.056910000000002</v>
      </c>
      <c r="AM36" s="2">
        <v>18.0656</v>
      </c>
      <c r="AN36" s="2">
        <v>0</v>
      </c>
      <c r="AO36" s="2">
        <v>3465.8399999999997</v>
      </c>
      <c r="AP36" s="2">
        <v>0</v>
      </c>
      <c r="AQ36" s="2">
        <v>4.8</v>
      </c>
      <c r="AR36" s="2">
        <v>0</v>
      </c>
      <c r="AS36" s="2">
        <v>0</v>
      </c>
      <c r="AT36" s="2">
        <v>90</v>
      </c>
      <c r="AU36" s="2">
        <v>46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1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0</v>
      </c>
      <c r="BI36" s="2">
        <v>2</v>
      </c>
      <c r="BJ36" s="2" t="s">
        <v>70</v>
      </c>
      <c r="BK36" s="2"/>
      <c r="BL36" s="2"/>
      <c r="BM36" s="2">
        <v>112001</v>
      </c>
      <c r="BN36" s="2">
        <v>0</v>
      </c>
      <c r="BO36" s="2" t="s">
        <v>3</v>
      </c>
      <c r="BP36" s="2">
        <v>0</v>
      </c>
      <c r="BQ36" s="2">
        <v>3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90</v>
      </c>
      <c r="CA36" s="2">
        <v>46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2" t="s">
        <v>71</v>
      </c>
      <c r="CO36" s="2">
        <v>0</v>
      </c>
      <c r="CP36" s="2">
        <f t="shared" si="29"/>
        <v>3135.5200000000004</v>
      </c>
      <c r="CQ36" s="2">
        <f>SUMIF(SmtRes!AQ23:'SmtRes'!AQ29,"=1",SmtRes!AA23:'SmtRes'!AA29)</f>
        <v>776.09999999999991</v>
      </c>
      <c r="CR36" s="2">
        <f>SUMIF(SmtRes!AQ23:'SmtRes'!AQ29,"=1",SmtRes!AB23:'SmtRes'!AB29)</f>
        <v>32.26</v>
      </c>
      <c r="CS36" s="2">
        <f>SUMIF(SmtRes!AQ23:'SmtRes'!AQ29,"=1",SmtRes!AC23:'SmtRes'!AC29)</f>
        <v>0</v>
      </c>
      <c r="CT36" s="2">
        <f>SUMIF(SmtRes!AQ23:'SmtRes'!AQ29,"=1",SmtRes!AD23:'SmtRes'!AD29)</f>
        <v>722.05</v>
      </c>
      <c r="CU36" s="2">
        <f t="shared" si="30"/>
        <v>0</v>
      </c>
      <c r="CV36" s="2">
        <f>SUMIF(SmtRes!AQ23:'SmtRes'!AQ29,"=1",SmtRes!BU23:'SmtRes'!BU29)</f>
        <v>1.44</v>
      </c>
      <c r="CW36" s="2">
        <f>SUMIF(SmtRes!AQ23:'SmtRes'!AQ29,"=1",SmtRes!BV23:'SmtRes'!BV29)</f>
        <v>0</v>
      </c>
      <c r="CX36" s="2">
        <f t="shared" si="31"/>
        <v>0</v>
      </c>
      <c r="CY36" s="2">
        <f t="shared" si="32"/>
        <v>2807.3340000000003</v>
      </c>
      <c r="CZ36" s="2">
        <f t="shared" si="33"/>
        <v>1434.8596000000002</v>
      </c>
      <c r="DA36" s="2"/>
      <c r="DB36" s="2">
        <v>2</v>
      </c>
      <c r="DC36" s="2" t="s">
        <v>3</v>
      </c>
      <c r="DD36" s="2" t="s">
        <v>72</v>
      </c>
      <c r="DE36" s="2" t="s">
        <v>73</v>
      </c>
      <c r="DF36" s="2" t="s">
        <v>73</v>
      </c>
      <c r="DG36" s="2" t="s">
        <v>73</v>
      </c>
      <c r="DH36" s="2" t="s">
        <v>3</v>
      </c>
      <c r="DI36" s="2" t="s">
        <v>73</v>
      </c>
      <c r="DJ36" s="2" t="s">
        <v>73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1013</v>
      </c>
      <c r="DV36" s="2" t="s">
        <v>30</v>
      </c>
      <c r="DW36" s="2" t="s">
        <v>30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77312978</v>
      </c>
      <c r="EF36" s="2">
        <v>3</v>
      </c>
      <c r="EG36" s="2" t="s">
        <v>74</v>
      </c>
      <c r="EH36" s="2">
        <v>54</v>
      </c>
      <c r="EI36" s="2" t="s">
        <v>75</v>
      </c>
      <c r="EJ36" s="2">
        <v>2</v>
      </c>
      <c r="EK36" s="2">
        <v>112001</v>
      </c>
      <c r="EL36" s="2" t="s">
        <v>75</v>
      </c>
      <c r="EM36" s="2" t="s">
        <v>76</v>
      </c>
      <c r="EN36" s="2"/>
      <c r="EO36" s="2" t="s">
        <v>77</v>
      </c>
      <c r="EP36" s="2"/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4.8</v>
      </c>
      <c r="EX36" s="2">
        <v>0</v>
      </c>
      <c r="EY36" s="2">
        <v>0</v>
      </c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90</v>
      </c>
      <c r="FY36" s="2">
        <v>46</v>
      </c>
      <c r="FZ36" s="2"/>
      <c r="GA36" s="2" t="s">
        <v>3</v>
      </c>
      <c r="GB36" s="2"/>
      <c r="GC36" s="2"/>
      <c r="GD36" s="2">
        <v>1</v>
      </c>
      <c r="GE36" s="2"/>
      <c r="GF36" s="2">
        <v>1971358025</v>
      </c>
      <c r="GG36" s="2">
        <v>2</v>
      </c>
      <c r="GH36" s="2">
        <v>1</v>
      </c>
      <c r="GI36" s="2">
        <v>-2</v>
      </c>
      <c r="GJ36" s="2">
        <v>0</v>
      </c>
      <c r="GK36" s="2">
        <v>0</v>
      </c>
      <c r="GL36" s="2">
        <f t="shared" si="34"/>
        <v>0</v>
      </c>
      <c r="GM36" s="2">
        <f t="shared" si="35"/>
        <v>7377.71</v>
      </c>
      <c r="GN36" s="2">
        <f t="shared" si="36"/>
        <v>0</v>
      </c>
      <c r="GO36" s="2">
        <f t="shared" si="37"/>
        <v>7377.71</v>
      </c>
      <c r="GP36" s="2">
        <f t="shared" si="38"/>
        <v>0</v>
      </c>
      <c r="GQ36" s="2"/>
      <c r="GR36" s="2">
        <v>0</v>
      </c>
      <c r="GS36" s="2">
        <v>3</v>
      </c>
      <c r="GT36" s="2">
        <v>0</v>
      </c>
      <c r="GU36" s="2" t="s">
        <v>3</v>
      </c>
      <c r="GV36" s="2">
        <f t="shared" si="39"/>
        <v>0</v>
      </c>
      <c r="GW36" s="2">
        <v>1</v>
      </c>
      <c r="GX36" s="2">
        <f t="shared" si="40"/>
        <v>0</v>
      </c>
      <c r="GY36" s="2"/>
      <c r="GZ36" s="2"/>
      <c r="HA36" s="2">
        <v>0</v>
      </c>
      <c r="HB36" s="2">
        <v>0</v>
      </c>
      <c r="HC36" s="2">
        <f t="shared" si="41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78</v>
      </c>
      <c r="HO36" s="2" t="s">
        <v>79</v>
      </c>
      <c r="HP36" s="2" t="s">
        <v>75</v>
      </c>
      <c r="HQ36" s="2" t="s">
        <v>75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 s="2">
        <v>18</v>
      </c>
      <c r="B37" s="2">
        <v>1</v>
      </c>
      <c r="C37" s="2">
        <v>29</v>
      </c>
      <c r="D37" s="2"/>
      <c r="E37" s="2" t="s">
        <v>80</v>
      </c>
      <c r="F37" s="2" t="s">
        <v>81</v>
      </c>
      <c r="G37" s="2" t="s">
        <v>82</v>
      </c>
      <c r="H37" s="2" t="s">
        <v>83</v>
      </c>
      <c r="I37" s="2">
        <f>J37</f>
        <v>2</v>
      </c>
      <c r="J37" s="2">
        <v>2</v>
      </c>
      <c r="K37" s="2">
        <v>2</v>
      </c>
      <c r="L37" s="2"/>
      <c r="M37" s="2"/>
      <c r="N37" s="2"/>
      <c r="O37" s="2">
        <f>ROUND(P37,2)</f>
        <v>207.95</v>
      </c>
      <c r="P37" s="2">
        <f>ROUND(ROUND(ROUND(SUMIF(SmtRes!AQ23:'SmtRes'!AQ29,"=1",SmtRes!CU23:'SmtRes'!CU29),2),2)*I37/100,2)</f>
        <v>207.95</v>
      </c>
      <c r="Q37" s="2">
        <f>ROUND(CR37*I37,2)</f>
        <v>0</v>
      </c>
      <c r="R37" s="2">
        <f>ROUND(CS37*I37,2)</f>
        <v>0</v>
      </c>
      <c r="S37" s="2">
        <f>ROUND(CT37*I37,2)</f>
        <v>0</v>
      </c>
      <c r="T37" s="2">
        <f t="shared" si="22"/>
        <v>0</v>
      </c>
      <c r="U37" s="2">
        <f>ROUND(CV37*I37,7)</f>
        <v>0</v>
      </c>
      <c r="V37" s="2">
        <f>ROUND(CW37*I37,7)</f>
        <v>0</v>
      </c>
      <c r="W37" s="2">
        <f t="shared" si="23"/>
        <v>0</v>
      </c>
      <c r="X37" s="2">
        <f t="shared" si="24"/>
        <v>0</v>
      </c>
      <c r="Y37" s="2">
        <f t="shared" si="25"/>
        <v>0</v>
      </c>
      <c r="Z37" s="2"/>
      <c r="AA37" s="2">
        <v>80308166</v>
      </c>
      <c r="AB37" s="2">
        <f t="shared" si="26"/>
        <v>0</v>
      </c>
      <c r="AC37" s="2">
        <f>ROUND((ES37),6)</f>
        <v>0</v>
      </c>
      <c r="AD37" s="2">
        <f>ROUND((((ET37)-(EU37))+AE37),6)</f>
        <v>0</v>
      </c>
      <c r="AE37" s="2">
        <f>ROUND((EU37),6)</f>
        <v>0</v>
      </c>
      <c r="AF37" s="2">
        <f>ROUND((EV37),6)</f>
        <v>0</v>
      </c>
      <c r="AG37" s="2">
        <f t="shared" si="27"/>
        <v>0</v>
      </c>
      <c r="AH37" s="2">
        <f>(EW37)</f>
        <v>0</v>
      </c>
      <c r="AI37" s="2">
        <f>(EX37)</f>
        <v>0</v>
      </c>
      <c r="AJ37" s="2">
        <f t="shared" si="28"/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90</v>
      </c>
      <c r="AU37" s="2">
        <v>46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3</v>
      </c>
      <c r="BI37" s="2">
        <v>2</v>
      </c>
      <c r="BJ37" s="2" t="s">
        <v>3</v>
      </c>
      <c r="BK37" s="2"/>
      <c r="BL37" s="2"/>
      <c r="BM37" s="2">
        <v>112001</v>
      </c>
      <c r="BN37" s="2">
        <v>0</v>
      </c>
      <c r="BO37" s="2" t="s">
        <v>3</v>
      </c>
      <c r="BP37" s="2">
        <v>0</v>
      </c>
      <c r="BQ37" s="2">
        <v>3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90</v>
      </c>
      <c r="CA37" s="2">
        <v>46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>0</f>
        <v>0</v>
      </c>
      <c r="CQ37" s="2">
        <f>0</f>
        <v>0</v>
      </c>
      <c r="CR37" s="2">
        <f>0</f>
        <v>0</v>
      </c>
      <c r="CS37" s="2">
        <f>0</f>
        <v>0</v>
      </c>
      <c r="CT37" s="2">
        <f>0</f>
        <v>0</v>
      </c>
      <c r="CU37" s="2">
        <f>0</f>
        <v>0</v>
      </c>
      <c r="CV37" s="2">
        <f>0</f>
        <v>0</v>
      </c>
      <c r="CW37" s="2">
        <f>0</f>
        <v>0</v>
      </c>
      <c r="CX37" s="2">
        <f>0</f>
        <v>0</v>
      </c>
      <c r="CY37" s="2">
        <f>0</f>
        <v>0</v>
      </c>
      <c r="CZ37" s="2">
        <f>0</f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1013</v>
      </c>
      <c r="DV37" s="2" t="s">
        <v>83</v>
      </c>
      <c r="DW37" s="2" t="s">
        <v>83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77312978</v>
      </c>
      <c r="EF37" s="2">
        <v>3</v>
      </c>
      <c r="EG37" s="2" t="s">
        <v>74</v>
      </c>
      <c r="EH37" s="2">
        <v>54</v>
      </c>
      <c r="EI37" s="2" t="s">
        <v>75</v>
      </c>
      <c r="EJ37" s="2">
        <v>2</v>
      </c>
      <c r="EK37" s="2">
        <v>112001</v>
      </c>
      <c r="EL37" s="2" t="s">
        <v>75</v>
      </c>
      <c r="EM37" s="2" t="s">
        <v>76</v>
      </c>
      <c r="EN37" s="2"/>
      <c r="EO37" s="2" t="s">
        <v>3</v>
      </c>
      <c r="EP37" s="2"/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90</v>
      </c>
      <c r="FY37" s="2">
        <v>46</v>
      </c>
      <c r="FZ37" s="2"/>
      <c r="GA37" s="2" t="s">
        <v>3</v>
      </c>
      <c r="GB37" s="2"/>
      <c r="GC37" s="2"/>
      <c r="GD37" s="2">
        <v>1</v>
      </c>
      <c r="GE37" s="2"/>
      <c r="GF37" s="2">
        <v>274903907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34"/>
        <v>0</v>
      </c>
      <c r="GM37" s="2">
        <f t="shared" si="35"/>
        <v>207.95</v>
      </c>
      <c r="GN37" s="2">
        <f t="shared" si="36"/>
        <v>0</v>
      </c>
      <c r="GO37" s="2">
        <f t="shared" si="37"/>
        <v>207.95</v>
      </c>
      <c r="GP37" s="2">
        <f t="shared" si="38"/>
        <v>0</v>
      </c>
      <c r="GQ37" s="2"/>
      <c r="GR37" s="2">
        <v>0</v>
      </c>
      <c r="GS37" s="2">
        <v>0</v>
      </c>
      <c r="GT37" s="2">
        <v>0</v>
      </c>
      <c r="GU37" s="2" t="s">
        <v>3</v>
      </c>
      <c r="GV37" s="2">
        <f t="shared" si="39"/>
        <v>0</v>
      </c>
      <c r="GW37" s="2">
        <v>1</v>
      </c>
      <c r="GX37" s="2">
        <f t="shared" si="40"/>
        <v>0</v>
      </c>
      <c r="GY37" s="2"/>
      <c r="GZ37" s="2"/>
      <c r="HA37" s="2">
        <v>0</v>
      </c>
      <c r="HB37" s="2">
        <v>0</v>
      </c>
      <c r="HC37" s="2">
        <f>0</f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78</v>
      </c>
      <c r="HO37" s="2" t="s">
        <v>79</v>
      </c>
      <c r="HP37" s="2" t="s">
        <v>75</v>
      </c>
      <c r="HQ37" s="2" t="s">
        <v>75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 s="2">
        <v>17</v>
      </c>
      <c r="B38" s="2">
        <v>1</v>
      </c>
      <c r="C38" s="2">
        <f>ROW(SmtRes!A37)</f>
        <v>37</v>
      </c>
      <c r="D38" s="2">
        <f>ROW(EtalonRes!A36)</f>
        <v>36</v>
      </c>
      <c r="E38" s="2" t="s">
        <v>84</v>
      </c>
      <c r="F38" s="2" t="s">
        <v>68</v>
      </c>
      <c r="G38" s="2" t="s">
        <v>85</v>
      </c>
      <c r="H38" s="2" t="s">
        <v>30</v>
      </c>
      <c r="I38" s="2">
        <v>3</v>
      </c>
      <c r="J38" s="2">
        <v>0</v>
      </c>
      <c r="K38" s="2">
        <v>3</v>
      </c>
      <c r="L38" s="2"/>
      <c r="M38" s="2"/>
      <c r="N38" s="2"/>
      <c r="O38" s="2">
        <f>ROUND(CP38,2)</f>
        <v>10572.24</v>
      </c>
      <c r="P38" s="2">
        <f>SUMIF(SmtRes!AQ30:'SmtRes'!AQ37,"=1",SmtRes!DF30:'SmtRes'!DF37)</f>
        <v>120.52</v>
      </c>
      <c r="Q38" s="2">
        <f>SUMIF(SmtRes!AQ30:'SmtRes'!AQ37,"=1",SmtRes!DG30:'SmtRes'!DG37)</f>
        <v>54.2</v>
      </c>
      <c r="R38" s="2">
        <f>SUMIF(SmtRes!AQ30:'SmtRes'!AQ37,"=1",SmtRes!DH30:'SmtRes'!DH37)</f>
        <v>0</v>
      </c>
      <c r="S38" s="2">
        <f>SUMIF(SmtRes!AQ30:'SmtRes'!AQ37,"=1",SmtRes!DI30:'SmtRes'!DI37)</f>
        <v>10397.52</v>
      </c>
      <c r="T38" s="2">
        <f t="shared" si="22"/>
        <v>0</v>
      </c>
      <c r="U38" s="2">
        <f>SUMIF(SmtRes!AQ30:'SmtRes'!AQ37,"=1",SmtRes!CV30:'SmtRes'!CV37)</f>
        <v>14.4</v>
      </c>
      <c r="V38" s="2">
        <f>SUMIF(SmtRes!AQ30:'SmtRes'!AQ37,"=1",SmtRes!CW30:'SmtRes'!CW37)</f>
        <v>0</v>
      </c>
      <c r="W38" s="2">
        <f t="shared" si="23"/>
        <v>0</v>
      </c>
      <c r="X38" s="2">
        <f t="shared" si="24"/>
        <v>9357.77</v>
      </c>
      <c r="Y38" s="2">
        <f t="shared" si="25"/>
        <v>4782.8599999999997</v>
      </c>
      <c r="Z38" s="2"/>
      <c r="AA38" s="2">
        <v>80308166</v>
      </c>
      <c r="AB38" s="2">
        <f t="shared" si="26"/>
        <v>3518.9625099999998</v>
      </c>
      <c r="AC38" s="2">
        <f>ROUND((SUM(SmtRes!BQ30:'SmtRes'!BQ37)),6)</f>
        <v>35.056910000000002</v>
      </c>
      <c r="AD38" s="2">
        <f>ROUND((((SUM(SmtRes!BR30:'SmtRes'!BR37))-(0))+AE38),6)</f>
        <v>18.0656</v>
      </c>
      <c r="AE38" s="2">
        <f>ROUND((0),6)</f>
        <v>0</v>
      </c>
      <c r="AF38" s="2">
        <f>ROUND((SUM(SmtRes!BT30:'SmtRes'!BT37)),6)</f>
        <v>3465.84</v>
      </c>
      <c r="AG38" s="2">
        <f t="shared" si="27"/>
        <v>0</v>
      </c>
      <c r="AH38" s="2">
        <f>(SUM(SmtRes!BU30:'SmtRes'!BU37))</f>
        <v>4.8</v>
      </c>
      <c r="AI38" s="2">
        <f>(0)</f>
        <v>0</v>
      </c>
      <c r="AJ38" s="2">
        <f t="shared" si="28"/>
        <v>0</v>
      </c>
      <c r="AK38" s="2">
        <v>3518.9625099999998</v>
      </c>
      <c r="AL38" s="2">
        <v>35.056910000000002</v>
      </c>
      <c r="AM38" s="2">
        <v>18.0656</v>
      </c>
      <c r="AN38" s="2">
        <v>0</v>
      </c>
      <c r="AO38" s="2">
        <v>3465.8399999999997</v>
      </c>
      <c r="AP38" s="2">
        <v>0</v>
      </c>
      <c r="AQ38" s="2">
        <v>4.8</v>
      </c>
      <c r="AR38" s="2">
        <v>0</v>
      </c>
      <c r="AS38" s="2">
        <v>0</v>
      </c>
      <c r="AT38" s="2">
        <v>90</v>
      </c>
      <c r="AU38" s="2">
        <v>46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0</v>
      </c>
      <c r="BI38" s="2">
        <v>2</v>
      </c>
      <c r="BJ38" s="2" t="s">
        <v>70</v>
      </c>
      <c r="BK38" s="2"/>
      <c r="BL38" s="2"/>
      <c r="BM38" s="2">
        <v>112001</v>
      </c>
      <c r="BN38" s="2">
        <v>0</v>
      </c>
      <c r="BO38" s="2" t="s">
        <v>3</v>
      </c>
      <c r="BP38" s="2">
        <v>0</v>
      </c>
      <c r="BQ38" s="2">
        <v>3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90</v>
      </c>
      <c r="CA38" s="2">
        <v>46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2" t="s">
        <v>3</v>
      </c>
      <c r="CO38" s="2">
        <v>0</v>
      </c>
      <c r="CP38" s="2">
        <f>(P38+Q38+S38+R38)</f>
        <v>10572.24</v>
      </c>
      <c r="CQ38" s="2">
        <f>SUMIF(SmtRes!AQ30:'SmtRes'!AQ37,"=1",SmtRes!AA30:'SmtRes'!AA37)</f>
        <v>776.09999999999991</v>
      </c>
      <c r="CR38" s="2">
        <f>SUMIF(SmtRes!AQ30:'SmtRes'!AQ37,"=1",SmtRes!AB30:'SmtRes'!AB37)</f>
        <v>32.26</v>
      </c>
      <c r="CS38" s="2">
        <f>SUMIF(SmtRes!AQ30:'SmtRes'!AQ37,"=1",SmtRes!AC30:'SmtRes'!AC37)</f>
        <v>0</v>
      </c>
      <c r="CT38" s="2">
        <f>SUMIF(SmtRes!AQ30:'SmtRes'!AQ37,"=1",SmtRes!AD30:'SmtRes'!AD37)</f>
        <v>722.05</v>
      </c>
      <c r="CU38" s="2">
        <f>AG38</f>
        <v>0</v>
      </c>
      <c r="CV38" s="2">
        <f>SUMIF(SmtRes!AQ30:'SmtRes'!AQ37,"=1",SmtRes!BU30:'SmtRes'!BU37)</f>
        <v>4.8</v>
      </c>
      <c r="CW38" s="2">
        <f>SUMIF(SmtRes!AQ30:'SmtRes'!AQ37,"=1",SmtRes!BV30:'SmtRes'!BV37)</f>
        <v>0</v>
      </c>
      <c r="CX38" s="2">
        <f>AJ38</f>
        <v>0</v>
      </c>
      <c r="CY38" s="2">
        <f>(((S38+R38)*AT38)/100)</f>
        <v>9357.768</v>
      </c>
      <c r="CZ38" s="2">
        <f>(((S38+R38)*AU38)/100)</f>
        <v>4782.8592000000008</v>
      </c>
      <c r="DA38" s="2"/>
      <c r="DB38" s="2"/>
      <c r="DC38" s="2" t="s">
        <v>3</v>
      </c>
      <c r="DD38" s="2" t="s">
        <v>3</v>
      </c>
      <c r="DE38" s="2" t="s">
        <v>3</v>
      </c>
      <c r="DF38" s="2" t="s">
        <v>3</v>
      </c>
      <c r="DG38" s="2" t="s">
        <v>3</v>
      </c>
      <c r="DH38" s="2" t="s">
        <v>3</v>
      </c>
      <c r="DI38" s="2" t="s">
        <v>3</v>
      </c>
      <c r="DJ38" s="2" t="s">
        <v>3</v>
      </c>
      <c r="DK38" s="2" t="s">
        <v>3</v>
      </c>
      <c r="DL38" s="2" t="s">
        <v>3</v>
      </c>
      <c r="DM38" s="2" t="s">
        <v>3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1013</v>
      </c>
      <c r="DV38" s="2" t="s">
        <v>30</v>
      </c>
      <c r="DW38" s="2" t="s">
        <v>30</v>
      </c>
      <c r="DX38" s="2">
        <v>1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77312978</v>
      </c>
      <c r="EF38" s="2">
        <v>3</v>
      </c>
      <c r="EG38" s="2" t="s">
        <v>74</v>
      </c>
      <c r="EH38" s="2">
        <v>54</v>
      </c>
      <c r="EI38" s="2" t="s">
        <v>75</v>
      </c>
      <c r="EJ38" s="2">
        <v>2</v>
      </c>
      <c r="EK38" s="2">
        <v>112001</v>
      </c>
      <c r="EL38" s="2" t="s">
        <v>75</v>
      </c>
      <c r="EM38" s="2" t="s">
        <v>76</v>
      </c>
      <c r="EN38" s="2"/>
      <c r="EO38" s="2" t="s">
        <v>3</v>
      </c>
      <c r="EP38" s="2"/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4.8</v>
      </c>
      <c r="EX38" s="2">
        <v>0</v>
      </c>
      <c r="EY38" s="2">
        <v>0</v>
      </c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90</v>
      </c>
      <c r="FY38" s="2">
        <v>46</v>
      </c>
      <c r="FZ38" s="2"/>
      <c r="GA38" s="2" t="s">
        <v>3</v>
      </c>
      <c r="GB38" s="2"/>
      <c r="GC38" s="2"/>
      <c r="GD38" s="2">
        <v>1</v>
      </c>
      <c r="GE38" s="2"/>
      <c r="GF38" s="2">
        <v>-1895073030</v>
      </c>
      <c r="GG38" s="2">
        <v>2</v>
      </c>
      <c r="GH38" s="2">
        <v>1</v>
      </c>
      <c r="GI38" s="2">
        <v>-2</v>
      </c>
      <c r="GJ38" s="2">
        <v>0</v>
      </c>
      <c r="GK38" s="2">
        <v>0</v>
      </c>
      <c r="GL38" s="2">
        <f t="shared" si="34"/>
        <v>0</v>
      </c>
      <c r="GM38" s="2">
        <f t="shared" si="35"/>
        <v>24712.87</v>
      </c>
      <c r="GN38" s="2">
        <f t="shared" si="36"/>
        <v>0</v>
      </c>
      <c r="GO38" s="2">
        <f t="shared" si="37"/>
        <v>24712.87</v>
      </c>
      <c r="GP38" s="2">
        <f t="shared" si="38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39"/>
        <v>0</v>
      </c>
      <c r="GW38" s="2">
        <v>1</v>
      </c>
      <c r="GX38" s="2">
        <f t="shared" si="40"/>
        <v>0</v>
      </c>
      <c r="GY38" s="2"/>
      <c r="GZ38" s="2"/>
      <c r="HA38" s="2">
        <v>0</v>
      </c>
      <c r="HB38" s="2">
        <v>0</v>
      </c>
      <c r="HC38" s="2">
        <f>GV38*GW38</f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78</v>
      </c>
      <c r="HO38" s="2" t="s">
        <v>79</v>
      </c>
      <c r="HP38" s="2" t="s">
        <v>75</v>
      </c>
      <c r="HQ38" s="2" t="s">
        <v>75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2">
        <v>18</v>
      </c>
      <c r="B39" s="2">
        <v>1</v>
      </c>
      <c r="C39" s="2">
        <v>37</v>
      </c>
      <c r="D39" s="2"/>
      <c r="E39" s="2" t="s">
        <v>86</v>
      </c>
      <c r="F39" s="2" t="s">
        <v>81</v>
      </c>
      <c r="G39" s="2" t="s">
        <v>82</v>
      </c>
      <c r="H39" s="2" t="s">
        <v>83</v>
      </c>
      <c r="I39" s="2">
        <f>J39</f>
        <v>2</v>
      </c>
      <c r="J39" s="2">
        <v>2</v>
      </c>
      <c r="K39" s="2">
        <v>2</v>
      </c>
      <c r="L39" s="2"/>
      <c r="M39" s="2"/>
      <c r="N39" s="2"/>
      <c r="O39" s="2">
        <f>ROUND(P39,2)</f>
        <v>207.95</v>
      </c>
      <c r="P39" s="2">
        <f>ROUND(ROUND(ROUND(SUMIF(SmtRes!AQ30:'SmtRes'!AQ37,"=1",SmtRes!CU30:'SmtRes'!CU37),2),2)*I39/100,2)</f>
        <v>207.95</v>
      </c>
      <c r="Q39" s="2">
        <f>ROUND(CR39*I39,2)</f>
        <v>0</v>
      </c>
      <c r="R39" s="2">
        <f>ROUND(CS39*I39,2)</f>
        <v>0</v>
      </c>
      <c r="S39" s="2">
        <f>ROUND(CT39*I39,2)</f>
        <v>0</v>
      </c>
      <c r="T39" s="2">
        <f t="shared" si="22"/>
        <v>0</v>
      </c>
      <c r="U39" s="2">
        <f>ROUND(CV39*I39,7)</f>
        <v>0</v>
      </c>
      <c r="V39" s="2">
        <f>ROUND(CW39*I39,7)</f>
        <v>0</v>
      </c>
      <c r="W39" s="2">
        <f t="shared" si="23"/>
        <v>0</v>
      </c>
      <c r="X39" s="2">
        <f t="shared" si="24"/>
        <v>0</v>
      </c>
      <c r="Y39" s="2">
        <f t="shared" si="25"/>
        <v>0</v>
      </c>
      <c r="Z39" s="2"/>
      <c r="AA39" s="2">
        <v>80308166</v>
      </c>
      <c r="AB39" s="2">
        <f t="shared" si="26"/>
        <v>0</v>
      </c>
      <c r="AC39" s="2">
        <f>ROUND((ES39),6)</f>
        <v>0</v>
      </c>
      <c r="AD39" s="2">
        <f>ROUND((((ET39)-(EU39))+AE39),6)</f>
        <v>0</v>
      </c>
      <c r="AE39" s="2">
        <f>ROUND((EU39),6)</f>
        <v>0</v>
      </c>
      <c r="AF39" s="2">
        <f>ROUND((EV39),6)</f>
        <v>0</v>
      </c>
      <c r="AG39" s="2">
        <f t="shared" si="27"/>
        <v>0</v>
      </c>
      <c r="AH39" s="2">
        <f>(EW39)</f>
        <v>0</v>
      </c>
      <c r="AI39" s="2">
        <f>(EX39)</f>
        <v>0</v>
      </c>
      <c r="AJ39" s="2">
        <f t="shared" si="28"/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90</v>
      </c>
      <c r="AU39" s="2">
        <v>46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1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3</v>
      </c>
      <c r="BI39" s="2">
        <v>2</v>
      </c>
      <c r="BJ39" s="2" t="s">
        <v>3</v>
      </c>
      <c r="BK39" s="2"/>
      <c r="BL39" s="2"/>
      <c r="BM39" s="2">
        <v>112001</v>
      </c>
      <c r="BN39" s="2">
        <v>0</v>
      </c>
      <c r="BO39" s="2" t="s">
        <v>3</v>
      </c>
      <c r="BP39" s="2">
        <v>0</v>
      </c>
      <c r="BQ39" s="2">
        <v>3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90</v>
      </c>
      <c r="CA39" s="2">
        <v>46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3</v>
      </c>
      <c r="CO39" s="2">
        <v>0</v>
      </c>
      <c r="CP39" s="2">
        <f>0</f>
        <v>0</v>
      </c>
      <c r="CQ39" s="2">
        <f>0</f>
        <v>0</v>
      </c>
      <c r="CR39" s="2">
        <f>0</f>
        <v>0</v>
      </c>
      <c r="CS39" s="2">
        <f>0</f>
        <v>0</v>
      </c>
      <c r="CT39" s="2">
        <f>0</f>
        <v>0</v>
      </c>
      <c r="CU39" s="2">
        <f>0</f>
        <v>0</v>
      </c>
      <c r="CV39" s="2">
        <f>0</f>
        <v>0</v>
      </c>
      <c r="CW39" s="2">
        <f>0</f>
        <v>0</v>
      </c>
      <c r="CX39" s="2">
        <f>0</f>
        <v>0</v>
      </c>
      <c r="CY39" s="2">
        <f>0</f>
        <v>0</v>
      </c>
      <c r="CZ39" s="2">
        <f>0</f>
        <v>0</v>
      </c>
      <c r="DA39" s="2"/>
      <c r="DB39" s="2"/>
      <c r="DC39" s="2" t="s">
        <v>3</v>
      </c>
      <c r="DD39" s="2" t="s">
        <v>3</v>
      </c>
      <c r="DE39" s="2" t="s">
        <v>3</v>
      </c>
      <c r="DF39" s="2" t="s">
        <v>3</v>
      </c>
      <c r="DG39" s="2" t="s">
        <v>3</v>
      </c>
      <c r="DH39" s="2" t="s">
        <v>3</v>
      </c>
      <c r="DI39" s="2" t="s">
        <v>3</v>
      </c>
      <c r="DJ39" s="2" t="s">
        <v>3</v>
      </c>
      <c r="DK39" s="2" t="s">
        <v>3</v>
      </c>
      <c r="DL39" s="2" t="s">
        <v>3</v>
      </c>
      <c r="DM39" s="2" t="s">
        <v>3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1013</v>
      </c>
      <c r="DV39" s="2" t="s">
        <v>83</v>
      </c>
      <c r="DW39" s="2" t="s">
        <v>83</v>
      </c>
      <c r="DX39" s="2">
        <v>1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77312978</v>
      </c>
      <c r="EF39" s="2">
        <v>3</v>
      </c>
      <c r="EG39" s="2" t="s">
        <v>74</v>
      </c>
      <c r="EH39" s="2">
        <v>54</v>
      </c>
      <c r="EI39" s="2" t="s">
        <v>75</v>
      </c>
      <c r="EJ39" s="2">
        <v>2</v>
      </c>
      <c r="EK39" s="2">
        <v>112001</v>
      </c>
      <c r="EL39" s="2" t="s">
        <v>75</v>
      </c>
      <c r="EM39" s="2" t="s">
        <v>76</v>
      </c>
      <c r="EN39" s="2"/>
      <c r="EO39" s="2" t="s">
        <v>3</v>
      </c>
      <c r="EP39" s="2"/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90</v>
      </c>
      <c r="FY39" s="2">
        <v>46</v>
      </c>
      <c r="FZ39" s="2"/>
      <c r="GA39" s="2" t="s">
        <v>3</v>
      </c>
      <c r="GB39" s="2"/>
      <c r="GC39" s="2"/>
      <c r="GD39" s="2">
        <v>1</v>
      </c>
      <c r="GE39" s="2"/>
      <c r="GF39" s="2">
        <v>274903907</v>
      </c>
      <c r="GG39" s="2">
        <v>2</v>
      </c>
      <c r="GH39" s="2">
        <v>1</v>
      </c>
      <c r="GI39" s="2">
        <v>-2</v>
      </c>
      <c r="GJ39" s="2">
        <v>0</v>
      </c>
      <c r="GK39" s="2">
        <v>0</v>
      </c>
      <c r="GL39" s="2">
        <f t="shared" si="34"/>
        <v>0</v>
      </c>
      <c r="GM39" s="2">
        <f t="shared" si="35"/>
        <v>207.95</v>
      </c>
      <c r="GN39" s="2">
        <f t="shared" si="36"/>
        <v>0</v>
      </c>
      <c r="GO39" s="2">
        <f t="shared" si="37"/>
        <v>207.95</v>
      </c>
      <c r="GP39" s="2">
        <f t="shared" si="38"/>
        <v>0</v>
      </c>
      <c r="GQ39" s="2"/>
      <c r="GR39" s="2">
        <v>0</v>
      </c>
      <c r="GS39" s="2">
        <v>0</v>
      </c>
      <c r="GT39" s="2">
        <v>0</v>
      </c>
      <c r="GU39" s="2" t="s">
        <v>3</v>
      </c>
      <c r="GV39" s="2">
        <f t="shared" si="39"/>
        <v>0</v>
      </c>
      <c r="GW39" s="2">
        <v>1</v>
      </c>
      <c r="GX39" s="2">
        <f t="shared" si="40"/>
        <v>0</v>
      </c>
      <c r="GY39" s="2"/>
      <c r="GZ39" s="2"/>
      <c r="HA39" s="2">
        <v>0</v>
      </c>
      <c r="HB39" s="2">
        <v>0</v>
      </c>
      <c r="HC39" s="2">
        <f>0</f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78</v>
      </c>
      <c r="HO39" s="2" t="s">
        <v>79</v>
      </c>
      <c r="HP39" s="2" t="s">
        <v>75</v>
      </c>
      <c r="HQ39" s="2" t="s">
        <v>75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18</v>
      </c>
      <c r="B40" s="2">
        <v>1</v>
      </c>
      <c r="C40" s="2">
        <v>36</v>
      </c>
      <c r="D40" s="2"/>
      <c r="E40" s="2" t="s">
        <v>87</v>
      </c>
      <c r="F40" s="2" t="s">
        <v>88</v>
      </c>
      <c r="G40" s="2" t="s">
        <v>89</v>
      </c>
      <c r="H40" s="2" t="s">
        <v>90</v>
      </c>
      <c r="I40" s="2">
        <f>I38*J40</f>
        <v>3</v>
      </c>
      <c r="J40" s="2">
        <v>1</v>
      </c>
      <c r="K40" s="2">
        <v>1</v>
      </c>
      <c r="L40" s="2"/>
      <c r="M40" s="2"/>
      <c r="N40" s="2"/>
      <c r="O40" s="2">
        <f>ROUND(CP40,2)</f>
        <v>25458.66</v>
      </c>
      <c r="P40" s="2">
        <f>ROUND(CQ40*I40,2)</f>
        <v>25458.66</v>
      </c>
      <c r="Q40" s="2">
        <f>ROUND(CR40*I40,2)</f>
        <v>0</v>
      </c>
      <c r="R40" s="2">
        <f>ROUND(CS40*I40,2)</f>
        <v>0</v>
      </c>
      <c r="S40" s="2">
        <f>ROUND(CT40*I40,2)</f>
        <v>0</v>
      </c>
      <c r="T40" s="2">
        <f t="shared" si="22"/>
        <v>0</v>
      </c>
      <c r="U40" s="2">
        <f>ROUND(CV40*I40,7)</f>
        <v>0</v>
      </c>
      <c r="V40" s="2">
        <f>ROUND(CW40*I40,7)</f>
        <v>0</v>
      </c>
      <c r="W40" s="2">
        <f t="shared" si="23"/>
        <v>0</v>
      </c>
      <c r="X40" s="2">
        <f t="shared" si="24"/>
        <v>0</v>
      </c>
      <c r="Y40" s="2">
        <f t="shared" si="25"/>
        <v>0</v>
      </c>
      <c r="Z40" s="2"/>
      <c r="AA40" s="2">
        <v>80308166</v>
      </c>
      <c r="AB40" s="2">
        <f t="shared" si="26"/>
        <v>6194.32</v>
      </c>
      <c r="AC40" s="2">
        <f>ROUND((ES40),6)</f>
        <v>6194.32</v>
      </c>
      <c r="AD40" s="2">
        <f>ROUND((((ET40)-(EU40))+AE40),6)</f>
        <v>0</v>
      </c>
      <c r="AE40" s="2">
        <f>ROUND((EU40),6)</f>
        <v>0</v>
      </c>
      <c r="AF40" s="2">
        <f>ROUND((EV40),6)</f>
        <v>0</v>
      </c>
      <c r="AG40" s="2">
        <f t="shared" si="27"/>
        <v>0</v>
      </c>
      <c r="AH40" s="2">
        <f>(EW40)</f>
        <v>0</v>
      </c>
      <c r="AI40" s="2">
        <f>(EX40)</f>
        <v>0</v>
      </c>
      <c r="AJ40" s="2">
        <f t="shared" si="28"/>
        <v>0</v>
      </c>
      <c r="AK40" s="2">
        <v>6194.32</v>
      </c>
      <c r="AL40" s="2">
        <v>6194.32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90</v>
      </c>
      <c r="AU40" s="2">
        <v>46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1.37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3</v>
      </c>
      <c r="BI40" s="2">
        <v>2</v>
      </c>
      <c r="BJ40" s="2" t="s">
        <v>91</v>
      </c>
      <c r="BK40" s="2"/>
      <c r="BL40" s="2"/>
      <c r="BM40" s="2">
        <v>112001</v>
      </c>
      <c r="BN40" s="2">
        <v>0</v>
      </c>
      <c r="BO40" s="2" t="s">
        <v>88</v>
      </c>
      <c r="BP40" s="2">
        <v>1</v>
      </c>
      <c r="BQ40" s="2">
        <v>3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90</v>
      </c>
      <c r="CA40" s="2">
        <v>46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3</v>
      </c>
      <c r="CO40" s="2">
        <v>0</v>
      </c>
      <c r="CP40" s="2">
        <f>(P40+Q40+S40+R40)</f>
        <v>25458.66</v>
      </c>
      <c r="CQ40" s="2">
        <f>ROUND(AL40*BC40,2)</f>
        <v>8486.2199999999993</v>
      </c>
      <c r="CR40" s="2">
        <f>ROUND(AM40*BB40,2)</f>
        <v>0</v>
      </c>
      <c r="CS40" s="2">
        <f>ROUND(AN40*BS40,2)</f>
        <v>0</v>
      </c>
      <c r="CT40" s="2">
        <f>ROUND(AO40*BA40,2)</f>
        <v>0</v>
      </c>
      <c r="CU40" s="2">
        <f>AG40</f>
        <v>0</v>
      </c>
      <c r="CV40" s="2">
        <f>AH40</f>
        <v>0</v>
      </c>
      <c r="CW40" s="2">
        <f>AI40</f>
        <v>0</v>
      </c>
      <c r="CX40" s="2">
        <f>AJ40</f>
        <v>0</v>
      </c>
      <c r="CY40" s="2">
        <f>(((S40+R40)*AT40)/100)</f>
        <v>0</v>
      </c>
      <c r="CZ40" s="2">
        <f>(((S40+R40)*AU40)/100)</f>
        <v>0</v>
      </c>
      <c r="DA40" s="2"/>
      <c r="DB40" s="2"/>
      <c r="DC40" s="2" t="s">
        <v>3</v>
      </c>
      <c r="DD40" s="2" t="s">
        <v>3</v>
      </c>
      <c r="DE40" s="2" t="s">
        <v>3</v>
      </c>
      <c r="DF40" s="2" t="s">
        <v>3</v>
      </c>
      <c r="DG40" s="2" t="s">
        <v>3</v>
      </c>
      <c r="DH40" s="2" t="s">
        <v>3</v>
      </c>
      <c r="DI40" s="2" t="s">
        <v>3</v>
      </c>
      <c r="DJ40" s="2" t="s">
        <v>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1013</v>
      </c>
      <c r="DV40" s="2" t="s">
        <v>90</v>
      </c>
      <c r="DW40" s="2" t="s">
        <v>90</v>
      </c>
      <c r="DX40" s="2">
        <v>1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77312978</v>
      </c>
      <c r="EF40" s="2">
        <v>3</v>
      </c>
      <c r="EG40" s="2" t="s">
        <v>74</v>
      </c>
      <c r="EH40" s="2">
        <v>54</v>
      </c>
      <c r="EI40" s="2" t="s">
        <v>75</v>
      </c>
      <c r="EJ40" s="2">
        <v>2</v>
      </c>
      <c r="EK40" s="2">
        <v>112001</v>
      </c>
      <c r="EL40" s="2" t="s">
        <v>75</v>
      </c>
      <c r="EM40" s="2" t="s">
        <v>76</v>
      </c>
      <c r="EN40" s="2"/>
      <c r="EO40" s="2" t="s">
        <v>3</v>
      </c>
      <c r="EP40" s="2"/>
      <c r="EQ40" s="2">
        <v>0</v>
      </c>
      <c r="ER40" s="2">
        <v>6194.32</v>
      </c>
      <c r="ES40" s="2">
        <v>6194.32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90</v>
      </c>
      <c r="FY40" s="2">
        <v>46</v>
      </c>
      <c r="FZ40" s="2"/>
      <c r="GA40" s="2" t="s">
        <v>3</v>
      </c>
      <c r="GB40" s="2"/>
      <c r="GC40" s="2"/>
      <c r="GD40" s="2">
        <v>1</v>
      </c>
      <c r="GE40" s="2"/>
      <c r="GF40" s="2">
        <v>357612197</v>
      </c>
      <c r="GG40" s="2">
        <v>2</v>
      </c>
      <c r="GH40" s="2">
        <v>1</v>
      </c>
      <c r="GI40" s="2">
        <v>2</v>
      </c>
      <c r="GJ40" s="2">
        <v>0</v>
      </c>
      <c r="GK40" s="2">
        <v>0</v>
      </c>
      <c r="GL40" s="2">
        <f t="shared" si="34"/>
        <v>0</v>
      </c>
      <c r="GM40" s="2">
        <f t="shared" si="35"/>
        <v>25458.66</v>
      </c>
      <c r="GN40" s="2">
        <f t="shared" si="36"/>
        <v>0</v>
      </c>
      <c r="GO40" s="2">
        <f t="shared" si="37"/>
        <v>25458.66</v>
      </c>
      <c r="GP40" s="2">
        <f t="shared" si="38"/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si="39"/>
        <v>0</v>
      </c>
      <c r="GW40" s="2">
        <v>1</v>
      </c>
      <c r="GX40" s="2">
        <f t="shared" si="40"/>
        <v>0</v>
      </c>
      <c r="GY40" s="2"/>
      <c r="GZ40" s="2"/>
      <c r="HA40" s="2">
        <v>0</v>
      </c>
      <c r="HB40" s="2">
        <v>0</v>
      </c>
      <c r="HC40" s="2">
        <f>GV40*GW40</f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78</v>
      </c>
      <c r="HO40" s="2" t="s">
        <v>79</v>
      </c>
      <c r="HP40" s="2" t="s">
        <v>75</v>
      </c>
      <c r="HQ40" s="2" t="s">
        <v>75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ht="409.5" x14ac:dyDescent="0.2">
      <c r="A41" s="2">
        <v>17</v>
      </c>
      <c r="B41" s="2">
        <v>1</v>
      </c>
      <c r="C41" s="2">
        <f>ROW(SmtRes!A43)</f>
        <v>43</v>
      </c>
      <c r="D41" s="2">
        <f>ROW(EtalonRes!A42)</f>
        <v>42</v>
      </c>
      <c r="E41" s="2" t="s">
        <v>92</v>
      </c>
      <c r="F41" s="2" t="s">
        <v>93</v>
      </c>
      <c r="G41" s="2" t="s">
        <v>94</v>
      </c>
      <c r="H41" s="2" t="s">
        <v>95</v>
      </c>
      <c r="I41" s="2">
        <f>ROUND(235/100,7)</f>
        <v>2.35</v>
      </c>
      <c r="J41" s="2">
        <v>0</v>
      </c>
      <c r="K41" s="2">
        <f>ROUND(235/100,7)</f>
        <v>2.35</v>
      </c>
      <c r="L41" s="2"/>
      <c r="M41" s="2"/>
      <c r="N41" s="2"/>
      <c r="O41" s="2">
        <f>ROUND(CP41,2)</f>
        <v>12405.88</v>
      </c>
      <c r="P41" s="2">
        <f>SUMIF(SmtRes!AQ38:'SmtRes'!AQ43,"=1",SmtRes!DF38:'SmtRes'!DF43)</f>
        <v>512.53</v>
      </c>
      <c r="Q41" s="2">
        <f>SUMIF(SmtRes!AQ38:'SmtRes'!AQ43,"=1",SmtRes!DG38:'SmtRes'!DG43)</f>
        <v>89.05</v>
      </c>
      <c r="R41" s="2">
        <f>SUMIF(SmtRes!AQ38:'SmtRes'!AQ43,"=1",SmtRes!DH38:'SmtRes'!DH43)</f>
        <v>0</v>
      </c>
      <c r="S41" s="2">
        <f>SUMIF(SmtRes!AQ38:'SmtRes'!AQ43,"=1",SmtRes!DI38:'SmtRes'!DI43)</f>
        <v>11804.3</v>
      </c>
      <c r="T41" s="2">
        <f t="shared" si="22"/>
        <v>0</v>
      </c>
      <c r="U41" s="2">
        <f>SUMIF(SmtRes!AQ38:'SmtRes'!AQ43,"=1",SmtRes!CV38:'SmtRes'!CV43)</f>
        <v>13.539524999999999</v>
      </c>
      <c r="V41" s="2">
        <f>SUMIF(SmtRes!AQ38:'SmtRes'!AQ43,"=1",SmtRes!CW38:'SmtRes'!CW43)</f>
        <v>0</v>
      </c>
      <c r="W41" s="2">
        <f t="shared" si="23"/>
        <v>0</v>
      </c>
      <c r="X41" s="2">
        <f t="shared" si="24"/>
        <v>12854.88</v>
      </c>
      <c r="Y41" s="2">
        <f t="shared" si="25"/>
        <v>7224.23</v>
      </c>
      <c r="Z41" s="2"/>
      <c r="AA41" s="2">
        <v>80308166</v>
      </c>
      <c r="AB41" s="2">
        <f t="shared" si="26"/>
        <v>5193.0738540000002</v>
      </c>
      <c r="AC41" s="2">
        <f>ROUND((SUM(SmtRes!BQ38:'SmtRes'!BQ43)),6)</f>
        <v>143.47394399999999</v>
      </c>
      <c r="AD41" s="2">
        <f>ROUND((((SUM(SmtRes!BR38:'SmtRes'!BR43))-(0))+AE41),6)</f>
        <v>26.493749999999999</v>
      </c>
      <c r="AE41" s="2">
        <f>ROUND((0),6)</f>
        <v>0</v>
      </c>
      <c r="AF41" s="2">
        <f>ROUND((SUM(SmtRes!BT38:'SmtRes'!BT43)),6)</f>
        <v>5023.1061600000003</v>
      </c>
      <c r="AG41" s="2">
        <f t="shared" si="27"/>
        <v>0</v>
      </c>
      <c r="AH41" s="2">
        <f>(SUM(SmtRes!BU38:'SmtRes'!BU43))</f>
        <v>5.761499999999999</v>
      </c>
      <c r="AI41" s="2">
        <f>(0)</f>
        <v>0</v>
      </c>
      <c r="AJ41" s="2">
        <f t="shared" si="28"/>
        <v>0</v>
      </c>
      <c r="AK41" s="2">
        <v>4532.5873441999993</v>
      </c>
      <c r="AL41" s="2">
        <v>143.47394420000001</v>
      </c>
      <c r="AM41" s="2">
        <v>21.195</v>
      </c>
      <c r="AN41" s="2">
        <v>0</v>
      </c>
      <c r="AO41" s="2">
        <v>4367.9183999999996</v>
      </c>
      <c r="AP41" s="2">
        <v>0</v>
      </c>
      <c r="AQ41" s="2">
        <v>5.01</v>
      </c>
      <c r="AR41" s="2">
        <v>0</v>
      </c>
      <c r="AS41" s="2">
        <v>0</v>
      </c>
      <c r="AT41" s="2">
        <v>108.9</v>
      </c>
      <c r="AU41" s="2">
        <v>61.2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0</v>
      </c>
      <c r="BI41" s="2">
        <v>1</v>
      </c>
      <c r="BJ41" s="2" t="s">
        <v>96</v>
      </c>
      <c r="BK41" s="2"/>
      <c r="BL41" s="2"/>
      <c r="BM41" s="2">
        <v>16001</v>
      </c>
      <c r="BN41" s="2">
        <v>0</v>
      </c>
      <c r="BO41" s="2" t="s">
        <v>3</v>
      </c>
      <c r="BP41" s="2">
        <v>0</v>
      </c>
      <c r="BQ41" s="2">
        <v>2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121</v>
      </c>
      <c r="CA41" s="2">
        <v>72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7" t="s">
        <v>651</v>
      </c>
      <c r="CO41" s="2">
        <v>0</v>
      </c>
      <c r="CP41" s="2">
        <f>(P41+Q41+S41+R41)</f>
        <v>12405.88</v>
      </c>
      <c r="CQ41" s="2">
        <f>SUMIF(SmtRes!AQ38:'SmtRes'!AQ43,"=1",SmtRes!AA38:'SmtRes'!AA43)</f>
        <v>73173.89</v>
      </c>
      <c r="CR41" s="2">
        <f>SUMIF(SmtRes!AQ38:'SmtRes'!AQ43,"=1",SmtRes!AB38:'SmtRes'!AB43)</f>
        <v>20.21</v>
      </c>
      <c r="CS41" s="2">
        <f>SUMIF(SmtRes!AQ38:'SmtRes'!AQ43,"=1",SmtRes!AC38:'SmtRes'!AC43)</f>
        <v>0</v>
      </c>
      <c r="CT41" s="2">
        <f>SUMIF(SmtRes!AQ38:'SmtRes'!AQ43,"=1",SmtRes!AD38:'SmtRes'!AD43)</f>
        <v>871.84</v>
      </c>
      <c r="CU41" s="2">
        <f>AG41</f>
        <v>0</v>
      </c>
      <c r="CV41" s="2">
        <f>SUMIF(SmtRes!AQ38:'SmtRes'!AQ43,"=1",SmtRes!BU38:'SmtRes'!BU43)</f>
        <v>5.761499999999999</v>
      </c>
      <c r="CW41" s="2">
        <f>SUMIF(SmtRes!AQ38:'SmtRes'!AQ43,"=1",SmtRes!BV38:'SmtRes'!BV43)</f>
        <v>0</v>
      </c>
      <c r="CX41" s="2">
        <f>AJ41</f>
        <v>0</v>
      </c>
      <c r="CY41" s="2">
        <f>(((S41+R41)*AT41)/100)</f>
        <v>12854.8827</v>
      </c>
      <c r="CZ41" s="2">
        <f>(((S41+R41)*AU41)/100)</f>
        <v>7224.2316000000001</v>
      </c>
      <c r="DA41" s="2"/>
      <c r="DB41" s="2">
        <v>3</v>
      </c>
      <c r="DC41" s="2" t="s">
        <v>3</v>
      </c>
      <c r="DD41" s="2" t="s">
        <v>3</v>
      </c>
      <c r="DE41" s="2" t="s">
        <v>48</v>
      </c>
      <c r="DF41" s="2" t="s">
        <v>48</v>
      </c>
      <c r="DG41" s="2" t="s">
        <v>49</v>
      </c>
      <c r="DH41" s="2" t="s">
        <v>3</v>
      </c>
      <c r="DI41" s="2" t="s">
        <v>49</v>
      </c>
      <c r="DJ41" s="2" t="s">
        <v>48</v>
      </c>
      <c r="DK41" s="2" t="s">
        <v>3</v>
      </c>
      <c r="DL41" s="2" t="s">
        <v>50</v>
      </c>
      <c r="DM41" s="2" t="s">
        <v>51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1003</v>
      </c>
      <c r="DV41" s="2" t="s">
        <v>95</v>
      </c>
      <c r="DW41" s="2" t="s">
        <v>95</v>
      </c>
      <c r="DX41" s="2">
        <v>100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77313119</v>
      </c>
      <c r="EF41" s="2">
        <v>2</v>
      </c>
      <c r="EG41" s="2" t="s">
        <v>52</v>
      </c>
      <c r="EH41" s="2">
        <v>16</v>
      </c>
      <c r="EI41" s="2" t="s">
        <v>53</v>
      </c>
      <c r="EJ41" s="2">
        <v>1</v>
      </c>
      <c r="EK41" s="2">
        <v>16001</v>
      </c>
      <c r="EL41" s="2" t="s">
        <v>54</v>
      </c>
      <c r="EM41" s="2" t="s">
        <v>55</v>
      </c>
      <c r="EN41" s="2"/>
      <c r="EO41" s="2" t="s">
        <v>56</v>
      </c>
      <c r="EP41" s="2"/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5.01</v>
      </c>
      <c r="EX41" s="2">
        <v>0</v>
      </c>
      <c r="EY41" s="2">
        <v>0</v>
      </c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108.9</v>
      </c>
      <c r="FY41" s="2">
        <v>61.2</v>
      </c>
      <c r="FZ41" s="2"/>
      <c r="GA41" s="2" t="s">
        <v>3</v>
      </c>
      <c r="GB41" s="2"/>
      <c r="GC41" s="2"/>
      <c r="GD41" s="2">
        <v>1</v>
      </c>
      <c r="GE41" s="2"/>
      <c r="GF41" s="2">
        <v>552506106</v>
      </c>
      <c r="GG41" s="2">
        <v>2</v>
      </c>
      <c r="GH41" s="2">
        <v>1</v>
      </c>
      <c r="GI41" s="2">
        <v>-2</v>
      </c>
      <c r="GJ41" s="2">
        <v>0</v>
      </c>
      <c r="GK41" s="2">
        <v>0</v>
      </c>
      <c r="GL41" s="2">
        <f t="shared" si="34"/>
        <v>0</v>
      </c>
      <c r="GM41" s="2">
        <f t="shared" si="35"/>
        <v>32484.99</v>
      </c>
      <c r="GN41" s="2">
        <f t="shared" si="36"/>
        <v>32484.99</v>
      </c>
      <c r="GO41" s="2">
        <f t="shared" si="37"/>
        <v>0</v>
      </c>
      <c r="GP41" s="2">
        <f t="shared" si="38"/>
        <v>0</v>
      </c>
      <c r="GQ41" s="2"/>
      <c r="GR41" s="2">
        <v>0</v>
      </c>
      <c r="GS41" s="2">
        <v>3</v>
      </c>
      <c r="GT41" s="2">
        <v>0</v>
      </c>
      <c r="GU41" s="2" t="s">
        <v>3</v>
      </c>
      <c r="GV41" s="2">
        <f t="shared" si="39"/>
        <v>0</v>
      </c>
      <c r="GW41" s="2">
        <v>1</v>
      </c>
      <c r="GX41" s="2">
        <f t="shared" si="40"/>
        <v>0</v>
      </c>
      <c r="GY41" s="2"/>
      <c r="GZ41" s="2"/>
      <c r="HA41" s="2">
        <v>0</v>
      </c>
      <c r="HB41" s="2">
        <v>0</v>
      </c>
      <c r="HC41" s="2">
        <f>GV41*GW41</f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57</v>
      </c>
      <c r="HO41" s="2" t="s">
        <v>58</v>
      </c>
      <c r="HP41" s="2" t="s">
        <v>53</v>
      </c>
      <c r="HQ41" s="2" t="s">
        <v>53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3" spans="1:255" x14ac:dyDescent="0.2">
      <c r="A43" s="3">
        <v>51</v>
      </c>
      <c r="B43" s="3">
        <f>B24</f>
        <v>1</v>
      </c>
      <c r="C43" s="3">
        <f>A24</f>
        <v>4</v>
      </c>
      <c r="D43" s="3">
        <f>ROW(A24)</f>
        <v>24</v>
      </c>
      <c r="E43" s="3"/>
      <c r="F43" s="3" t="str">
        <f>IF(F24&lt;&gt;"",F24,"")</f>
        <v>Новый раздел</v>
      </c>
      <c r="G43" s="3" t="str">
        <f>IF(G24&lt;&gt;"",G24,"")</f>
        <v>Работа 1</v>
      </c>
      <c r="H43" s="3">
        <v>0</v>
      </c>
      <c r="I43" s="3"/>
      <c r="J43" s="3"/>
      <c r="K43" s="3"/>
      <c r="L43" s="3"/>
      <c r="M43" s="3"/>
      <c r="N43" s="3"/>
      <c r="O43" s="3">
        <f t="shared" ref="O43:T43" si="42">ROUND(AB43,2)</f>
        <v>75659.740000000005</v>
      </c>
      <c r="P43" s="3">
        <f t="shared" si="42"/>
        <v>45254.36</v>
      </c>
      <c r="Q43" s="3">
        <f t="shared" si="42"/>
        <v>261.51</v>
      </c>
      <c r="R43" s="3">
        <f t="shared" si="42"/>
        <v>74.22</v>
      </c>
      <c r="S43" s="3">
        <f t="shared" si="42"/>
        <v>30069.65</v>
      </c>
      <c r="T43" s="3">
        <f t="shared" si="42"/>
        <v>0</v>
      </c>
      <c r="U43" s="3">
        <f>AH43</f>
        <v>39.282525</v>
      </c>
      <c r="V43" s="3">
        <f>AI43</f>
        <v>9.4500000000000001E-2</v>
      </c>
      <c r="W43" s="3">
        <f>ROUND(AJ43,2)</f>
        <v>0</v>
      </c>
      <c r="X43" s="3">
        <f>ROUND(AK43,2)</f>
        <v>30012.16</v>
      </c>
      <c r="Y43" s="3">
        <f>ROUND(AL43,2)</f>
        <v>16092.18</v>
      </c>
      <c r="Z43" s="3"/>
      <c r="AA43" s="3"/>
      <c r="AB43" s="3">
        <f>ROUND(SUMIF(AA28:AA41,"=80308166",O28:O41),2)</f>
        <v>75659.740000000005</v>
      </c>
      <c r="AC43" s="3">
        <f>ROUND(SUMIF(AA28:AA41,"=80308166",P28:P41),2)</f>
        <v>45254.36</v>
      </c>
      <c r="AD43" s="3">
        <f>ROUND(SUMIF(AA28:AA41,"=80308166",Q28:Q41),2)</f>
        <v>261.51</v>
      </c>
      <c r="AE43" s="3">
        <f>ROUND(SUMIF(AA28:AA41,"=80308166",R28:R41),2)</f>
        <v>74.22</v>
      </c>
      <c r="AF43" s="3">
        <f>ROUND(SUMIF(AA28:AA41,"=80308166",S28:S41),2)</f>
        <v>30069.65</v>
      </c>
      <c r="AG43" s="3">
        <f>ROUND(SUMIF(AA28:AA41,"=80308166",T28:T41),2)</f>
        <v>0</v>
      </c>
      <c r="AH43" s="3">
        <f>SUMIF(AA28:AA41,"=80308166",U28:U41)</f>
        <v>39.282525</v>
      </c>
      <c r="AI43" s="3">
        <f>SUMIF(AA28:AA41,"=80308166",V28:V41)</f>
        <v>9.4500000000000001E-2</v>
      </c>
      <c r="AJ43" s="3">
        <f>ROUND(SUMIF(AA28:AA41,"=80308166",W28:W41),2)</f>
        <v>0</v>
      </c>
      <c r="AK43" s="3">
        <f>ROUND(SUMIF(AA28:AA41,"=80308166",X28:X41),2)</f>
        <v>30012.16</v>
      </c>
      <c r="AL43" s="3">
        <f>ROUND(SUMIF(AA28:AA41,"=80308166",Y28:Y41),2)</f>
        <v>16092.18</v>
      </c>
      <c r="AM43" s="3"/>
      <c r="AN43" s="3"/>
      <c r="AO43" s="3">
        <f t="shared" ref="AO43:BD43" si="43">ROUND(BX43,2)</f>
        <v>0</v>
      </c>
      <c r="AP43" s="3">
        <f t="shared" si="43"/>
        <v>0</v>
      </c>
      <c r="AQ43" s="3">
        <f t="shared" si="43"/>
        <v>0</v>
      </c>
      <c r="AR43" s="3">
        <f t="shared" si="43"/>
        <v>121764.08</v>
      </c>
      <c r="AS43" s="3">
        <f t="shared" si="43"/>
        <v>63798.94</v>
      </c>
      <c r="AT43" s="3">
        <f t="shared" si="43"/>
        <v>57965.14</v>
      </c>
      <c r="AU43" s="3">
        <f t="shared" si="43"/>
        <v>0</v>
      </c>
      <c r="AV43" s="3">
        <f t="shared" si="43"/>
        <v>45254.36</v>
      </c>
      <c r="AW43" s="3">
        <f t="shared" si="43"/>
        <v>45254.36</v>
      </c>
      <c r="AX43" s="3">
        <f t="shared" si="43"/>
        <v>0</v>
      </c>
      <c r="AY43" s="3">
        <f t="shared" si="43"/>
        <v>45254.36</v>
      </c>
      <c r="AZ43" s="3">
        <f t="shared" si="43"/>
        <v>0</v>
      </c>
      <c r="BA43" s="3">
        <f t="shared" si="43"/>
        <v>0</v>
      </c>
      <c r="BB43" s="3">
        <f t="shared" si="43"/>
        <v>0</v>
      </c>
      <c r="BC43" s="3">
        <f t="shared" si="43"/>
        <v>0</v>
      </c>
      <c r="BD43" s="3">
        <f t="shared" si="43"/>
        <v>0</v>
      </c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>
        <f>ROUND(SUMIF(AA28:AA41,"=80308166",FQ28:FQ41),2)</f>
        <v>0</v>
      </c>
      <c r="BY43" s="3">
        <f>ROUND(SUMIF(AA28:AA41,"=80308166",FR28:FR41),2)</f>
        <v>0</v>
      </c>
      <c r="BZ43" s="3">
        <f>ROUND(SUMIF(AA28:AA41,"=80308166",GL28:GL41),2)</f>
        <v>0</v>
      </c>
      <c r="CA43" s="3">
        <f>ROUND(SUMIF(AA28:AA41,"=80308166",GM28:GM41),2)</f>
        <v>121764.08</v>
      </c>
      <c r="CB43" s="3">
        <f>ROUND(SUMIF(AA28:AA41,"=80308166",GN28:GN41),2)</f>
        <v>63798.94</v>
      </c>
      <c r="CC43" s="3">
        <f>ROUND(SUMIF(AA28:AA41,"=80308166",GO28:GO41),2)</f>
        <v>57965.14</v>
      </c>
      <c r="CD43" s="3">
        <f>ROUND(SUMIF(AA28:AA41,"=80308166",GP28:GP41),2)</f>
        <v>0</v>
      </c>
      <c r="CE43" s="3">
        <f>AC43-BX43</f>
        <v>45254.36</v>
      </c>
      <c r="CF43" s="3">
        <f>AC43-BY43</f>
        <v>45254.36</v>
      </c>
      <c r="CG43" s="3">
        <f>BX43-BZ43</f>
        <v>0</v>
      </c>
      <c r="CH43" s="3">
        <f>AC43-BX43-BY43+BZ43</f>
        <v>45254.36</v>
      </c>
      <c r="CI43" s="3">
        <f>BY43-BZ43</f>
        <v>0</v>
      </c>
      <c r="CJ43" s="3">
        <f>ROUND(SUMIF(AA28:AA41,"=80308166",GX28:GX41),2)</f>
        <v>0</v>
      </c>
      <c r="CK43" s="3">
        <f>ROUND(SUMIF(AA28:AA41,"=80308166",GY28:GY41),2)</f>
        <v>0</v>
      </c>
      <c r="CL43" s="3">
        <f>ROUND(SUMIF(AA28:AA41,"=80308166",GZ28:GZ41),2)</f>
        <v>0</v>
      </c>
      <c r="CM43" s="3">
        <f>ROUND(SUMIF(AA28:AA41,"=80308166",HD28:HD41),2)</f>
        <v>0</v>
      </c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>
        <v>0</v>
      </c>
    </row>
    <row r="45" spans="1:255" x14ac:dyDescent="0.2">
      <c r="A45" s="5">
        <v>50</v>
      </c>
      <c r="B45" s="5">
        <v>0</v>
      </c>
      <c r="C45" s="5">
        <v>0</v>
      </c>
      <c r="D45" s="5">
        <v>1</v>
      </c>
      <c r="E45" s="5">
        <v>201</v>
      </c>
      <c r="F45" s="5">
        <f>ROUND(Source!O43,O45)</f>
        <v>75659.740000000005</v>
      </c>
      <c r="G45" s="5" t="s">
        <v>97</v>
      </c>
      <c r="H45" s="5" t="s">
        <v>98</v>
      </c>
      <c r="I45" s="5"/>
      <c r="J45" s="5"/>
      <c r="K45" s="5">
        <v>201</v>
      </c>
      <c r="L45" s="5">
        <v>1</v>
      </c>
      <c r="M45" s="5">
        <v>3</v>
      </c>
      <c r="N45" s="5" t="s">
        <v>3</v>
      </c>
      <c r="O45" s="5">
        <v>2</v>
      </c>
      <c r="P45" s="5"/>
      <c r="Q45" s="5"/>
      <c r="R45" s="5"/>
      <c r="S45" s="5"/>
      <c r="T45" s="5"/>
      <c r="U45" s="5"/>
      <c r="V45" s="5"/>
      <c r="W45" s="5">
        <v>75659.740000000005</v>
      </c>
      <c r="X45" s="5">
        <v>1</v>
      </c>
      <c r="Y45" s="5">
        <v>75659.740000000005</v>
      </c>
      <c r="Z45" s="5"/>
      <c r="AA45" s="5"/>
      <c r="AB45" s="5"/>
    </row>
    <row r="46" spans="1:255" x14ac:dyDescent="0.2">
      <c r="A46" s="5">
        <v>50</v>
      </c>
      <c r="B46" s="5">
        <v>0</v>
      </c>
      <c r="C46" s="5">
        <v>0</v>
      </c>
      <c r="D46" s="5">
        <v>1</v>
      </c>
      <c r="E46" s="5">
        <v>202</v>
      </c>
      <c r="F46" s="5">
        <f>ROUND(Source!P43,O46)</f>
        <v>45254.36</v>
      </c>
      <c r="G46" s="5" t="s">
        <v>99</v>
      </c>
      <c r="H46" s="5" t="s">
        <v>100</v>
      </c>
      <c r="I46" s="5"/>
      <c r="J46" s="5"/>
      <c r="K46" s="5">
        <v>202</v>
      </c>
      <c r="L46" s="5">
        <v>2</v>
      </c>
      <c r="M46" s="5">
        <v>3</v>
      </c>
      <c r="N46" s="5" t="s">
        <v>3</v>
      </c>
      <c r="O46" s="5">
        <v>2</v>
      </c>
      <c r="P46" s="5"/>
      <c r="Q46" s="5"/>
      <c r="R46" s="5"/>
      <c r="S46" s="5"/>
      <c r="T46" s="5"/>
      <c r="U46" s="5"/>
      <c r="V46" s="5"/>
      <c r="W46" s="5">
        <v>45254.36</v>
      </c>
      <c r="X46" s="5">
        <v>1</v>
      </c>
      <c r="Y46" s="5">
        <v>45254.36</v>
      </c>
      <c r="Z46" s="5"/>
      <c r="AA46" s="5"/>
      <c r="AB46" s="5"/>
    </row>
    <row r="47" spans="1:255" x14ac:dyDescent="0.2">
      <c r="A47" s="5">
        <v>50</v>
      </c>
      <c r="B47" s="5">
        <v>0</v>
      </c>
      <c r="C47" s="5">
        <v>0</v>
      </c>
      <c r="D47" s="5">
        <v>1</v>
      </c>
      <c r="E47" s="5">
        <v>222</v>
      </c>
      <c r="F47" s="5">
        <f>ROUND(Source!AO43,O47)</f>
        <v>0</v>
      </c>
      <c r="G47" s="5" t="s">
        <v>101</v>
      </c>
      <c r="H47" s="5" t="s">
        <v>102</v>
      </c>
      <c r="I47" s="5"/>
      <c r="J47" s="5"/>
      <c r="K47" s="5">
        <v>222</v>
      </c>
      <c r="L47" s="5">
        <v>3</v>
      </c>
      <c r="M47" s="5">
        <v>3</v>
      </c>
      <c r="N47" s="5" t="s">
        <v>3</v>
      </c>
      <c r="O47" s="5">
        <v>2</v>
      </c>
      <c r="P47" s="5"/>
      <c r="Q47" s="5"/>
      <c r="R47" s="5"/>
      <c r="S47" s="5"/>
      <c r="T47" s="5"/>
      <c r="U47" s="5"/>
      <c r="V47" s="5"/>
      <c r="W47" s="5">
        <v>0</v>
      </c>
      <c r="X47" s="5">
        <v>1</v>
      </c>
      <c r="Y47" s="5">
        <v>0</v>
      </c>
      <c r="Z47" s="5"/>
      <c r="AA47" s="5"/>
      <c r="AB47" s="5"/>
    </row>
    <row r="48" spans="1:255" x14ac:dyDescent="0.2">
      <c r="A48" s="5">
        <v>50</v>
      </c>
      <c r="B48" s="5">
        <v>0</v>
      </c>
      <c r="C48" s="5">
        <v>0</v>
      </c>
      <c r="D48" s="5">
        <v>1</v>
      </c>
      <c r="E48" s="5">
        <v>225</v>
      </c>
      <c r="F48" s="5">
        <f>ROUND(Source!AV43,O48)</f>
        <v>45254.36</v>
      </c>
      <c r="G48" s="5" t="s">
        <v>103</v>
      </c>
      <c r="H48" s="5" t="s">
        <v>104</v>
      </c>
      <c r="I48" s="5"/>
      <c r="J48" s="5"/>
      <c r="K48" s="5">
        <v>225</v>
      </c>
      <c r="L48" s="5">
        <v>4</v>
      </c>
      <c r="M48" s="5">
        <v>3</v>
      </c>
      <c r="N48" s="5" t="s">
        <v>3</v>
      </c>
      <c r="O48" s="5">
        <v>2</v>
      </c>
      <c r="P48" s="5"/>
      <c r="Q48" s="5"/>
      <c r="R48" s="5"/>
      <c r="S48" s="5"/>
      <c r="T48" s="5"/>
      <c r="U48" s="5"/>
      <c r="V48" s="5"/>
      <c r="W48" s="5">
        <v>45254.36</v>
      </c>
      <c r="X48" s="5">
        <v>1</v>
      </c>
      <c r="Y48" s="5">
        <v>45254.36</v>
      </c>
      <c r="Z48" s="5"/>
      <c r="AA48" s="5"/>
      <c r="AB48" s="5"/>
    </row>
    <row r="49" spans="1:28" x14ac:dyDescent="0.2">
      <c r="A49" s="5">
        <v>50</v>
      </c>
      <c r="B49" s="5">
        <v>0</v>
      </c>
      <c r="C49" s="5">
        <v>0</v>
      </c>
      <c r="D49" s="5">
        <v>1</v>
      </c>
      <c r="E49" s="5">
        <v>226</v>
      </c>
      <c r="F49" s="5">
        <f>ROUND(Source!AW43,O49)</f>
        <v>45254.36</v>
      </c>
      <c r="G49" s="5" t="s">
        <v>105</v>
      </c>
      <c r="H49" s="5" t="s">
        <v>106</v>
      </c>
      <c r="I49" s="5"/>
      <c r="J49" s="5"/>
      <c r="K49" s="5">
        <v>226</v>
      </c>
      <c r="L49" s="5">
        <v>5</v>
      </c>
      <c r="M49" s="5">
        <v>3</v>
      </c>
      <c r="N49" s="5" t="s">
        <v>3</v>
      </c>
      <c r="O49" s="5">
        <v>2</v>
      </c>
      <c r="P49" s="5"/>
      <c r="Q49" s="5"/>
      <c r="R49" s="5"/>
      <c r="S49" s="5"/>
      <c r="T49" s="5"/>
      <c r="U49" s="5"/>
      <c r="V49" s="5"/>
      <c r="W49" s="5">
        <v>45254.36</v>
      </c>
      <c r="X49" s="5">
        <v>1</v>
      </c>
      <c r="Y49" s="5">
        <v>45254.36</v>
      </c>
      <c r="Z49" s="5"/>
      <c r="AA49" s="5"/>
      <c r="AB49" s="5"/>
    </row>
    <row r="50" spans="1:28" x14ac:dyDescent="0.2">
      <c r="A50" s="5">
        <v>50</v>
      </c>
      <c r="B50" s="5">
        <v>0</v>
      </c>
      <c r="C50" s="5">
        <v>0</v>
      </c>
      <c r="D50" s="5">
        <v>1</v>
      </c>
      <c r="E50" s="5">
        <v>227</v>
      </c>
      <c r="F50" s="5">
        <f>ROUND(Source!AX43,O50)</f>
        <v>0</v>
      </c>
      <c r="G50" s="5" t="s">
        <v>107</v>
      </c>
      <c r="H50" s="5" t="s">
        <v>108</v>
      </c>
      <c r="I50" s="5"/>
      <c r="J50" s="5"/>
      <c r="K50" s="5">
        <v>227</v>
      </c>
      <c r="L50" s="5">
        <v>6</v>
      </c>
      <c r="M50" s="5">
        <v>3</v>
      </c>
      <c r="N50" s="5" t="s">
        <v>3</v>
      </c>
      <c r="O50" s="5">
        <v>2</v>
      </c>
      <c r="P50" s="5"/>
      <c r="Q50" s="5"/>
      <c r="R50" s="5"/>
      <c r="S50" s="5"/>
      <c r="T50" s="5"/>
      <c r="U50" s="5"/>
      <c r="V50" s="5"/>
      <c r="W50" s="5">
        <v>0</v>
      </c>
      <c r="X50" s="5">
        <v>1</v>
      </c>
      <c r="Y50" s="5">
        <v>0</v>
      </c>
      <c r="Z50" s="5"/>
      <c r="AA50" s="5"/>
      <c r="AB50" s="5"/>
    </row>
    <row r="51" spans="1:28" x14ac:dyDescent="0.2">
      <c r="A51" s="5">
        <v>50</v>
      </c>
      <c r="B51" s="5">
        <v>0</v>
      </c>
      <c r="C51" s="5">
        <v>0</v>
      </c>
      <c r="D51" s="5">
        <v>1</v>
      </c>
      <c r="E51" s="5">
        <v>228</v>
      </c>
      <c r="F51" s="5">
        <f>ROUND(Source!AY43,O51)</f>
        <v>45254.36</v>
      </c>
      <c r="G51" s="5" t="s">
        <v>109</v>
      </c>
      <c r="H51" s="5" t="s">
        <v>110</v>
      </c>
      <c r="I51" s="5"/>
      <c r="J51" s="5"/>
      <c r="K51" s="5">
        <v>228</v>
      </c>
      <c r="L51" s="5">
        <v>7</v>
      </c>
      <c r="M51" s="5">
        <v>3</v>
      </c>
      <c r="N51" s="5" t="s">
        <v>3</v>
      </c>
      <c r="O51" s="5">
        <v>2</v>
      </c>
      <c r="P51" s="5"/>
      <c r="Q51" s="5"/>
      <c r="R51" s="5"/>
      <c r="S51" s="5"/>
      <c r="T51" s="5"/>
      <c r="U51" s="5"/>
      <c r="V51" s="5"/>
      <c r="W51" s="5">
        <v>45254.36</v>
      </c>
      <c r="X51" s="5">
        <v>1</v>
      </c>
      <c r="Y51" s="5">
        <v>45254.36</v>
      </c>
      <c r="Z51" s="5"/>
      <c r="AA51" s="5"/>
      <c r="AB51" s="5"/>
    </row>
    <row r="52" spans="1:28" x14ac:dyDescent="0.2">
      <c r="A52" s="5">
        <v>50</v>
      </c>
      <c r="B52" s="5">
        <v>0</v>
      </c>
      <c r="C52" s="5">
        <v>0</v>
      </c>
      <c r="D52" s="5">
        <v>1</v>
      </c>
      <c r="E52" s="5">
        <v>216</v>
      </c>
      <c r="F52" s="5">
        <f>ROUND(Source!AP43,O52)</f>
        <v>0</v>
      </c>
      <c r="G52" s="5" t="s">
        <v>111</v>
      </c>
      <c r="H52" s="5" t="s">
        <v>112</v>
      </c>
      <c r="I52" s="5"/>
      <c r="J52" s="5"/>
      <c r="K52" s="5">
        <v>216</v>
      </c>
      <c r="L52" s="5">
        <v>8</v>
      </c>
      <c r="M52" s="5">
        <v>3</v>
      </c>
      <c r="N52" s="5" t="s">
        <v>3</v>
      </c>
      <c r="O52" s="5">
        <v>2</v>
      </c>
      <c r="P52" s="5"/>
      <c r="Q52" s="5"/>
      <c r="R52" s="5"/>
      <c r="S52" s="5"/>
      <c r="T52" s="5"/>
      <c r="U52" s="5"/>
      <c r="V52" s="5"/>
      <c r="W52" s="5">
        <v>0</v>
      </c>
      <c r="X52" s="5">
        <v>1</v>
      </c>
      <c r="Y52" s="5">
        <v>0</v>
      </c>
      <c r="Z52" s="5"/>
      <c r="AA52" s="5"/>
      <c r="AB52" s="5"/>
    </row>
    <row r="53" spans="1:28" x14ac:dyDescent="0.2">
      <c r="A53" s="5">
        <v>50</v>
      </c>
      <c r="B53" s="5">
        <v>0</v>
      </c>
      <c r="C53" s="5">
        <v>0</v>
      </c>
      <c r="D53" s="5">
        <v>1</v>
      </c>
      <c r="E53" s="5">
        <v>223</v>
      </c>
      <c r="F53" s="5">
        <f>ROUND(Source!AQ43,O53)</f>
        <v>0</v>
      </c>
      <c r="G53" s="5" t="s">
        <v>113</v>
      </c>
      <c r="H53" s="5" t="s">
        <v>114</v>
      </c>
      <c r="I53" s="5"/>
      <c r="J53" s="5"/>
      <c r="K53" s="5">
        <v>223</v>
      </c>
      <c r="L53" s="5">
        <v>9</v>
      </c>
      <c r="M53" s="5">
        <v>3</v>
      </c>
      <c r="N53" s="5" t="s">
        <v>3</v>
      </c>
      <c r="O53" s="5">
        <v>2</v>
      </c>
      <c r="P53" s="5"/>
      <c r="Q53" s="5"/>
      <c r="R53" s="5"/>
      <c r="S53" s="5"/>
      <c r="T53" s="5"/>
      <c r="U53" s="5"/>
      <c r="V53" s="5"/>
      <c r="W53" s="5">
        <v>0</v>
      </c>
      <c r="X53" s="5">
        <v>1</v>
      </c>
      <c r="Y53" s="5">
        <v>0</v>
      </c>
      <c r="Z53" s="5"/>
      <c r="AA53" s="5"/>
      <c r="AB53" s="5"/>
    </row>
    <row r="54" spans="1:28" x14ac:dyDescent="0.2">
      <c r="A54" s="5">
        <v>50</v>
      </c>
      <c r="B54" s="5">
        <v>0</v>
      </c>
      <c r="C54" s="5">
        <v>0</v>
      </c>
      <c r="D54" s="5">
        <v>1</v>
      </c>
      <c r="E54" s="5">
        <v>229</v>
      </c>
      <c r="F54" s="5">
        <f>ROUND(Source!AZ43,O54)</f>
        <v>0</v>
      </c>
      <c r="G54" s="5" t="s">
        <v>115</v>
      </c>
      <c r="H54" s="5" t="s">
        <v>116</v>
      </c>
      <c r="I54" s="5"/>
      <c r="J54" s="5"/>
      <c r="K54" s="5">
        <v>229</v>
      </c>
      <c r="L54" s="5">
        <v>10</v>
      </c>
      <c r="M54" s="5">
        <v>3</v>
      </c>
      <c r="N54" s="5" t="s">
        <v>3</v>
      </c>
      <c r="O54" s="5">
        <v>2</v>
      </c>
      <c r="P54" s="5"/>
      <c r="Q54" s="5"/>
      <c r="R54" s="5"/>
      <c r="S54" s="5"/>
      <c r="T54" s="5"/>
      <c r="U54" s="5"/>
      <c r="V54" s="5"/>
      <c r="W54" s="5">
        <v>0</v>
      </c>
      <c r="X54" s="5">
        <v>1</v>
      </c>
      <c r="Y54" s="5">
        <v>0</v>
      </c>
      <c r="Z54" s="5"/>
      <c r="AA54" s="5"/>
      <c r="AB54" s="5"/>
    </row>
    <row r="55" spans="1:28" x14ac:dyDescent="0.2">
      <c r="A55" s="5">
        <v>50</v>
      </c>
      <c r="B55" s="5">
        <v>0</v>
      </c>
      <c r="C55" s="5">
        <v>0</v>
      </c>
      <c r="D55" s="5">
        <v>1</v>
      </c>
      <c r="E55" s="5">
        <v>203</v>
      </c>
      <c r="F55" s="5">
        <f>ROUND(Source!Q43,O55)</f>
        <v>261.51</v>
      </c>
      <c r="G55" s="5" t="s">
        <v>117</v>
      </c>
      <c r="H55" s="5" t="s">
        <v>118</v>
      </c>
      <c r="I55" s="5"/>
      <c r="J55" s="5"/>
      <c r="K55" s="5">
        <v>203</v>
      </c>
      <c r="L55" s="5">
        <v>11</v>
      </c>
      <c r="M55" s="5">
        <v>3</v>
      </c>
      <c r="N55" s="5" t="s">
        <v>3</v>
      </c>
      <c r="O55" s="5">
        <v>2</v>
      </c>
      <c r="P55" s="5"/>
      <c r="Q55" s="5"/>
      <c r="R55" s="5"/>
      <c r="S55" s="5"/>
      <c r="T55" s="5"/>
      <c r="U55" s="5"/>
      <c r="V55" s="5"/>
      <c r="W55" s="5">
        <v>261.51</v>
      </c>
      <c r="X55" s="5">
        <v>1</v>
      </c>
      <c r="Y55" s="5">
        <v>261.51</v>
      </c>
      <c r="Z55" s="5"/>
      <c r="AA55" s="5"/>
      <c r="AB55" s="5"/>
    </row>
    <row r="56" spans="1:28" x14ac:dyDescent="0.2">
      <c r="A56" s="5">
        <v>50</v>
      </c>
      <c r="B56" s="5">
        <v>0</v>
      </c>
      <c r="C56" s="5">
        <v>0</v>
      </c>
      <c r="D56" s="5">
        <v>1</v>
      </c>
      <c r="E56" s="5">
        <v>231</v>
      </c>
      <c r="F56" s="5">
        <f>ROUND(Source!BB43,O56)</f>
        <v>0</v>
      </c>
      <c r="G56" s="5" t="s">
        <v>119</v>
      </c>
      <c r="H56" s="5" t="s">
        <v>120</v>
      </c>
      <c r="I56" s="5"/>
      <c r="J56" s="5"/>
      <c r="K56" s="5">
        <v>231</v>
      </c>
      <c r="L56" s="5">
        <v>12</v>
      </c>
      <c r="M56" s="5">
        <v>3</v>
      </c>
      <c r="N56" s="5" t="s">
        <v>3</v>
      </c>
      <c r="O56" s="5">
        <v>2</v>
      </c>
      <c r="P56" s="5"/>
      <c r="Q56" s="5"/>
      <c r="R56" s="5"/>
      <c r="S56" s="5"/>
      <c r="T56" s="5"/>
      <c r="U56" s="5"/>
      <c r="V56" s="5"/>
      <c r="W56" s="5">
        <v>0</v>
      </c>
      <c r="X56" s="5">
        <v>1</v>
      </c>
      <c r="Y56" s="5">
        <v>0</v>
      </c>
      <c r="Z56" s="5"/>
      <c r="AA56" s="5"/>
      <c r="AB56" s="5"/>
    </row>
    <row r="57" spans="1:28" x14ac:dyDescent="0.2">
      <c r="A57" s="5">
        <v>50</v>
      </c>
      <c r="B57" s="5">
        <v>0</v>
      </c>
      <c r="C57" s="5">
        <v>0</v>
      </c>
      <c r="D57" s="5">
        <v>1</v>
      </c>
      <c r="E57" s="5">
        <v>204</v>
      </c>
      <c r="F57" s="5">
        <f>ROUND(Source!R43,O57)</f>
        <v>74.22</v>
      </c>
      <c r="G57" s="5" t="s">
        <v>121</v>
      </c>
      <c r="H57" s="5" t="s">
        <v>122</v>
      </c>
      <c r="I57" s="5"/>
      <c r="J57" s="5"/>
      <c r="K57" s="5">
        <v>204</v>
      </c>
      <c r="L57" s="5">
        <v>13</v>
      </c>
      <c r="M57" s="5">
        <v>3</v>
      </c>
      <c r="N57" s="5" t="s">
        <v>3</v>
      </c>
      <c r="O57" s="5">
        <v>2</v>
      </c>
      <c r="P57" s="5"/>
      <c r="Q57" s="5"/>
      <c r="R57" s="5"/>
      <c r="S57" s="5"/>
      <c r="T57" s="5"/>
      <c r="U57" s="5"/>
      <c r="V57" s="5"/>
      <c r="W57" s="5">
        <v>74.22</v>
      </c>
      <c r="X57" s="5">
        <v>1</v>
      </c>
      <c r="Y57" s="5">
        <v>74.22</v>
      </c>
      <c r="Z57" s="5"/>
      <c r="AA57" s="5"/>
      <c r="AB57" s="5"/>
    </row>
    <row r="58" spans="1:28" x14ac:dyDescent="0.2">
      <c r="A58" s="5">
        <v>50</v>
      </c>
      <c r="B58" s="5">
        <v>0</v>
      </c>
      <c r="C58" s="5">
        <v>0</v>
      </c>
      <c r="D58" s="5">
        <v>1</v>
      </c>
      <c r="E58" s="5">
        <v>205</v>
      </c>
      <c r="F58" s="5">
        <f>ROUND(Source!S43,O58)</f>
        <v>30069.65</v>
      </c>
      <c r="G58" s="5" t="s">
        <v>123</v>
      </c>
      <c r="H58" s="5" t="s">
        <v>124</v>
      </c>
      <c r="I58" s="5"/>
      <c r="J58" s="5"/>
      <c r="K58" s="5">
        <v>205</v>
      </c>
      <c r="L58" s="5">
        <v>14</v>
      </c>
      <c r="M58" s="5">
        <v>3</v>
      </c>
      <c r="N58" s="5" t="s">
        <v>3</v>
      </c>
      <c r="O58" s="5">
        <v>2</v>
      </c>
      <c r="P58" s="5"/>
      <c r="Q58" s="5"/>
      <c r="R58" s="5"/>
      <c r="S58" s="5"/>
      <c r="T58" s="5"/>
      <c r="U58" s="5"/>
      <c r="V58" s="5"/>
      <c r="W58" s="5">
        <v>30069.649999999998</v>
      </c>
      <c r="X58" s="5">
        <v>1</v>
      </c>
      <c r="Y58" s="5">
        <v>30069.649999999998</v>
      </c>
      <c r="Z58" s="5"/>
      <c r="AA58" s="5"/>
      <c r="AB58" s="5"/>
    </row>
    <row r="59" spans="1:28" x14ac:dyDescent="0.2">
      <c r="A59" s="5">
        <v>50</v>
      </c>
      <c r="B59" s="5">
        <v>0</v>
      </c>
      <c r="C59" s="5">
        <v>0</v>
      </c>
      <c r="D59" s="5">
        <v>1</v>
      </c>
      <c r="E59" s="5">
        <v>232</v>
      </c>
      <c r="F59" s="5">
        <f>ROUND(Source!BC43,O59)</f>
        <v>0</v>
      </c>
      <c r="G59" s="5" t="s">
        <v>125</v>
      </c>
      <c r="H59" s="5" t="s">
        <v>126</v>
      </c>
      <c r="I59" s="5"/>
      <c r="J59" s="5"/>
      <c r="K59" s="5">
        <v>232</v>
      </c>
      <c r="L59" s="5">
        <v>15</v>
      </c>
      <c r="M59" s="5">
        <v>3</v>
      </c>
      <c r="N59" s="5" t="s">
        <v>3</v>
      </c>
      <c r="O59" s="5">
        <v>2</v>
      </c>
      <c r="P59" s="5"/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/>
      <c r="AA59" s="5"/>
      <c r="AB59" s="5"/>
    </row>
    <row r="60" spans="1:28" x14ac:dyDescent="0.2">
      <c r="A60" s="5">
        <v>50</v>
      </c>
      <c r="B60" s="5">
        <v>0</v>
      </c>
      <c r="C60" s="5">
        <v>0</v>
      </c>
      <c r="D60" s="5">
        <v>1</v>
      </c>
      <c r="E60" s="5">
        <v>214</v>
      </c>
      <c r="F60" s="5">
        <f>ROUND(Source!AS43,O60)</f>
        <v>63798.94</v>
      </c>
      <c r="G60" s="5" t="s">
        <v>127</v>
      </c>
      <c r="H60" s="5" t="s">
        <v>128</v>
      </c>
      <c r="I60" s="5"/>
      <c r="J60" s="5"/>
      <c r="K60" s="5">
        <v>214</v>
      </c>
      <c r="L60" s="5">
        <v>16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63798.94</v>
      </c>
      <c r="X60" s="5">
        <v>1</v>
      </c>
      <c r="Y60" s="5">
        <v>63798.94</v>
      </c>
      <c r="Z60" s="5"/>
      <c r="AA60" s="5"/>
      <c r="AB60" s="5"/>
    </row>
    <row r="61" spans="1:28" x14ac:dyDescent="0.2">
      <c r="A61" s="5">
        <v>50</v>
      </c>
      <c r="B61" s="5">
        <v>0</v>
      </c>
      <c r="C61" s="5">
        <v>0</v>
      </c>
      <c r="D61" s="5">
        <v>1</v>
      </c>
      <c r="E61" s="5">
        <v>215</v>
      </c>
      <c r="F61" s="5">
        <f>ROUND(Source!AT43,O61)</f>
        <v>57965.14</v>
      </c>
      <c r="G61" s="5" t="s">
        <v>129</v>
      </c>
      <c r="H61" s="5" t="s">
        <v>130</v>
      </c>
      <c r="I61" s="5"/>
      <c r="J61" s="5"/>
      <c r="K61" s="5">
        <v>215</v>
      </c>
      <c r="L61" s="5">
        <v>17</v>
      </c>
      <c r="M61" s="5">
        <v>3</v>
      </c>
      <c r="N61" s="5" t="s">
        <v>3</v>
      </c>
      <c r="O61" s="5">
        <v>2</v>
      </c>
      <c r="P61" s="5"/>
      <c r="Q61" s="5"/>
      <c r="R61" s="5"/>
      <c r="S61" s="5"/>
      <c r="T61" s="5"/>
      <c r="U61" s="5"/>
      <c r="V61" s="5"/>
      <c r="W61" s="5">
        <v>57965.14</v>
      </c>
      <c r="X61" s="5">
        <v>1</v>
      </c>
      <c r="Y61" s="5">
        <v>57965.14</v>
      </c>
      <c r="Z61" s="5"/>
      <c r="AA61" s="5"/>
      <c r="AB61" s="5"/>
    </row>
    <row r="62" spans="1:28" x14ac:dyDescent="0.2">
      <c r="A62" s="5">
        <v>50</v>
      </c>
      <c r="B62" s="5">
        <v>0</v>
      </c>
      <c r="C62" s="5">
        <v>0</v>
      </c>
      <c r="D62" s="5">
        <v>1</v>
      </c>
      <c r="E62" s="5">
        <v>217</v>
      </c>
      <c r="F62" s="5">
        <f>ROUND(Source!AU43,O62)</f>
        <v>0</v>
      </c>
      <c r="G62" s="5" t="s">
        <v>131</v>
      </c>
      <c r="H62" s="5" t="s">
        <v>132</v>
      </c>
      <c r="I62" s="5"/>
      <c r="J62" s="5"/>
      <c r="K62" s="5">
        <v>217</v>
      </c>
      <c r="L62" s="5">
        <v>18</v>
      </c>
      <c r="M62" s="5">
        <v>3</v>
      </c>
      <c r="N62" s="5" t="s">
        <v>3</v>
      </c>
      <c r="O62" s="5">
        <v>2</v>
      </c>
      <c r="P62" s="5"/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/>
      <c r="AA62" s="5"/>
      <c r="AB62" s="5"/>
    </row>
    <row r="63" spans="1:28" x14ac:dyDescent="0.2">
      <c r="A63" s="5">
        <v>50</v>
      </c>
      <c r="B63" s="5">
        <v>0</v>
      </c>
      <c r="C63" s="5">
        <v>0</v>
      </c>
      <c r="D63" s="5">
        <v>1</v>
      </c>
      <c r="E63" s="5">
        <v>230</v>
      </c>
      <c r="F63" s="5">
        <f>ROUND(Source!BA43,O63)</f>
        <v>0</v>
      </c>
      <c r="G63" s="5" t="s">
        <v>133</v>
      </c>
      <c r="H63" s="5" t="s">
        <v>134</v>
      </c>
      <c r="I63" s="5"/>
      <c r="J63" s="5"/>
      <c r="K63" s="5">
        <v>230</v>
      </c>
      <c r="L63" s="5">
        <v>19</v>
      </c>
      <c r="M63" s="5">
        <v>3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0</v>
      </c>
      <c r="X63" s="5">
        <v>1</v>
      </c>
      <c r="Y63" s="5">
        <v>0</v>
      </c>
      <c r="Z63" s="5"/>
      <c r="AA63" s="5"/>
      <c r="AB63" s="5"/>
    </row>
    <row r="64" spans="1:28" x14ac:dyDescent="0.2">
      <c r="A64" s="5">
        <v>50</v>
      </c>
      <c r="B64" s="5">
        <v>0</v>
      </c>
      <c r="C64" s="5">
        <v>0</v>
      </c>
      <c r="D64" s="5">
        <v>1</v>
      </c>
      <c r="E64" s="5">
        <v>206</v>
      </c>
      <c r="F64" s="5">
        <f>ROUND(Source!T43,O64)</f>
        <v>0</v>
      </c>
      <c r="G64" s="5" t="s">
        <v>135</v>
      </c>
      <c r="H64" s="5" t="s">
        <v>136</v>
      </c>
      <c r="I64" s="5"/>
      <c r="J64" s="5"/>
      <c r="K64" s="5">
        <v>206</v>
      </c>
      <c r="L64" s="5">
        <v>20</v>
      </c>
      <c r="M64" s="5">
        <v>3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0</v>
      </c>
      <c r="X64" s="5">
        <v>1</v>
      </c>
      <c r="Y64" s="5">
        <v>0</v>
      </c>
      <c r="Z64" s="5"/>
      <c r="AA64" s="5"/>
      <c r="AB64" s="5"/>
    </row>
    <row r="65" spans="1:255" x14ac:dyDescent="0.2">
      <c r="A65" s="5">
        <v>50</v>
      </c>
      <c r="B65" s="5">
        <v>0</v>
      </c>
      <c r="C65" s="5">
        <v>0</v>
      </c>
      <c r="D65" s="5">
        <v>1</v>
      </c>
      <c r="E65" s="5">
        <v>207</v>
      </c>
      <c r="F65" s="5">
        <f>ROUND(Source!U43,O65)</f>
        <v>39.282525</v>
      </c>
      <c r="G65" s="5" t="s">
        <v>137</v>
      </c>
      <c r="H65" s="5" t="s">
        <v>138</v>
      </c>
      <c r="I65" s="5"/>
      <c r="J65" s="5"/>
      <c r="K65" s="5">
        <v>207</v>
      </c>
      <c r="L65" s="5">
        <v>21</v>
      </c>
      <c r="M65" s="5">
        <v>3</v>
      </c>
      <c r="N65" s="5" t="s">
        <v>3</v>
      </c>
      <c r="O65" s="5">
        <v>7</v>
      </c>
      <c r="P65" s="5"/>
      <c r="Q65" s="5"/>
      <c r="R65" s="5"/>
      <c r="S65" s="5"/>
      <c r="T65" s="5"/>
      <c r="U65" s="5"/>
      <c r="V65" s="5"/>
      <c r="W65" s="5">
        <v>39.282525</v>
      </c>
      <c r="X65" s="5">
        <v>1</v>
      </c>
      <c r="Y65" s="5">
        <v>39.282525</v>
      </c>
      <c r="Z65" s="5"/>
      <c r="AA65" s="5"/>
      <c r="AB65" s="5"/>
    </row>
    <row r="66" spans="1:255" x14ac:dyDescent="0.2">
      <c r="A66" s="5">
        <v>50</v>
      </c>
      <c r="B66" s="5">
        <v>0</v>
      </c>
      <c r="C66" s="5">
        <v>0</v>
      </c>
      <c r="D66" s="5">
        <v>1</v>
      </c>
      <c r="E66" s="5">
        <v>208</v>
      </c>
      <c r="F66" s="5">
        <f>ROUND(Source!V43,O66)</f>
        <v>9.4500000000000001E-2</v>
      </c>
      <c r="G66" s="5" t="s">
        <v>139</v>
      </c>
      <c r="H66" s="5" t="s">
        <v>140</v>
      </c>
      <c r="I66" s="5"/>
      <c r="J66" s="5"/>
      <c r="K66" s="5">
        <v>208</v>
      </c>
      <c r="L66" s="5">
        <v>22</v>
      </c>
      <c r="M66" s="5">
        <v>3</v>
      </c>
      <c r="N66" s="5" t="s">
        <v>3</v>
      </c>
      <c r="O66" s="5">
        <v>7</v>
      </c>
      <c r="P66" s="5"/>
      <c r="Q66" s="5"/>
      <c r="R66" s="5"/>
      <c r="S66" s="5"/>
      <c r="T66" s="5"/>
      <c r="U66" s="5"/>
      <c r="V66" s="5"/>
      <c r="W66" s="5">
        <v>9.4500000000000001E-2</v>
      </c>
      <c r="X66" s="5">
        <v>1</v>
      </c>
      <c r="Y66" s="5">
        <v>9.4500000000000001E-2</v>
      </c>
      <c r="Z66" s="5"/>
      <c r="AA66" s="5"/>
      <c r="AB66" s="5"/>
    </row>
    <row r="67" spans="1:255" x14ac:dyDescent="0.2">
      <c r="A67" s="5">
        <v>50</v>
      </c>
      <c r="B67" s="5">
        <v>0</v>
      </c>
      <c r="C67" s="5">
        <v>0</v>
      </c>
      <c r="D67" s="5">
        <v>1</v>
      </c>
      <c r="E67" s="5">
        <v>209</v>
      </c>
      <c r="F67" s="5">
        <f>ROUND(Source!W43,O67)</f>
        <v>0</v>
      </c>
      <c r="G67" s="5" t="s">
        <v>141</v>
      </c>
      <c r="H67" s="5" t="s">
        <v>142</v>
      </c>
      <c r="I67" s="5"/>
      <c r="J67" s="5"/>
      <c r="K67" s="5">
        <v>209</v>
      </c>
      <c r="L67" s="5">
        <v>23</v>
      </c>
      <c r="M67" s="5">
        <v>3</v>
      </c>
      <c r="N67" s="5" t="s">
        <v>3</v>
      </c>
      <c r="O67" s="5">
        <v>2</v>
      </c>
      <c r="P67" s="5"/>
      <c r="Q67" s="5"/>
      <c r="R67" s="5"/>
      <c r="S67" s="5"/>
      <c r="T67" s="5"/>
      <c r="U67" s="5"/>
      <c r="V67" s="5"/>
      <c r="W67" s="5">
        <v>0</v>
      </c>
      <c r="X67" s="5">
        <v>1</v>
      </c>
      <c r="Y67" s="5">
        <v>0</v>
      </c>
      <c r="Z67" s="5"/>
      <c r="AA67" s="5"/>
      <c r="AB67" s="5"/>
    </row>
    <row r="68" spans="1:255" x14ac:dyDescent="0.2">
      <c r="A68" s="5">
        <v>50</v>
      </c>
      <c r="B68" s="5">
        <v>0</v>
      </c>
      <c r="C68" s="5">
        <v>0</v>
      </c>
      <c r="D68" s="5">
        <v>1</v>
      </c>
      <c r="E68" s="5">
        <v>233</v>
      </c>
      <c r="F68" s="5">
        <f>ROUND(Source!BD43,O68)</f>
        <v>0</v>
      </c>
      <c r="G68" s="5" t="s">
        <v>143</v>
      </c>
      <c r="H68" s="5" t="s">
        <v>144</v>
      </c>
      <c r="I68" s="5"/>
      <c r="J68" s="5"/>
      <c r="K68" s="5">
        <v>233</v>
      </c>
      <c r="L68" s="5">
        <v>24</v>
      </c>
      <c r="M68" s="5">
        <v>3</v>
      </c>
      <c r="N68" s="5" t="s">
        <v>3</v>
      </c>
      <c r="O68" s="5">
        <v>2</v>
      </c>
      <c r="P68" s="5"/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/>
      <c r="AA68" s="5"/>
      <c r="AB68" s="5"/>
    </row>
    <row r="69" spans="1:255" x14ac:dyDescent="0.2">
      <c r="A69" s="5">
        <v>50</v>
      </c>
      <c r="B69" s="5">
        <v>0</v>
      </c>
      <c r="C69" s="5">
        <v>0</v>
      </c>
      <c r="D69" s="5">
        <v>1</v>
      </c>
      <c r="E69" s="5">
        <v>210</v>
      </c>
      <c r="F69" s="5">
        <f>ROUND(Source!X43,O69)</f>
        <v>30012.16</v>
      </c>
      <c r="G69" s="5" t="s">
        <v>145</v>
      </c>
      <c r="H69" s="5" t="s">
        <v>146</v>
      </c>
      <c r="I69" s="5"/>
      <c r="J69" s="5"/>
      <c r="K69" s="5">
        <v>210</v>
      </c>
      <c r="L69" s="5">
        <v>25</v>
      </c>
      <c r="M69" s="5">
        <v>3</v>
      </c>
      <c r="N69" s="5" t="s">
        <v>3</v>
      </c>
      <c r="O69" s="5">
        <v>2</v>
      </c>
      <c r="P69" s="5"/>
      <c r="Q69" s="5"/>
      <c r="R69" s="5"/>
      <c r="S69" s="5"/>
      <c r="T69" s="5"/>
      <c r="U69" s="5"/>
      <c r="V69" s="5"/>
      <c r="W69" s="5">
        <v>30012.16</v>
      </c>
      <c r="X69" s="5">
        <v>1</v>
      </c>
      <c r="Y69" s="5">
        <v>30012.16</v>
      </c>
      <c r="Z69" s="5"/>
      <c r="AA69" s="5"/>
      <c r="AB69" s="5"/>
    </row>
    <row r="70" spans="1:255" x14ac:dyDescent="0.2">
      <c r="A70" s="5">
        <v>50</v>
      </c>
      <c r="B70" s="5">
        <v>0</v>
      </c>
      <c r="C70" s="5">
        <v>0</v>
      </c>
      <c r="D70" s="5">
        <v>1</v>
      </c>
      <c r="E70" s="5">
        <v>211</v>
      </c>
      <c r="F70" s="5">
        <f>ROUND(Source!Y43,O70)</f>
        <v>16092.18</v>
      </c>
      <c r="G70" s="5" t="s">
        <v>147</v>
      </c>
      <c r="H70" s="5" t="s">
        <v>148</v>
      </c>
      <c r="I70" s="5"/>
      <c r="J70" s="5"/>
      <c r="K70" s="5">
        <v>211</v>
      </c>
      <c r="L70" s="5">
        <v>26</v>
      </c>
      <c r="M70" s="5">
        <v>3</v>
      </c>
      <c r="N70" s="5" t="s">
        <v>3</v>
      </c>
      <c r="O70" s="5">
        <v>2</v>
      </c>
      <c r="P70" s="5"/>
      <c r="Q70" s="5"/>
      <c r="R70" s="5"/>
      <c r="S70" s="5"/>
      <c r="T70" s="5"/>
      <c r="U70" s="5"/>
      <c r="V70" s="5"/>
      <c r="W70" s="5">
        <v>16092.18</v>
      </c>
      <c r="X70" s="5">
        <v>1</v>
      </c>
      <c r="Y70" s="5">
        <v>16092.18</v>
      </c>
      <c r="Z70" s="5"/>
      <c r="AA70" s="5"/>
      <c r="AB70" s="5"/>
    </row>
    <row r="71" spans="1:255" x14ac:dyDescent="0.2">
      <c r="A71" s="5">
        <v>50</v>
      </c>
      <c r="B71" s="5">
        <v>0</v>
      </c>
      <c r="C71" s="5">
        <v>0</v>
      </c>
      <c r="D71" s="5">
        <v>1</v>
      </c>
      <c r="E71" s="5">
        <v>224</v>
      </c>
      <c r="F71" s="5">
        <f>ROUND(Source!AR43,O71)</f>
        <v>121764.08</v>
      </c>
      <c r="G71" s="5" t="s">
        <v>149</v>
      </c>
      <c r="H71" s="5" t="s">
        <v>150</v>
      </c>
      <c r="I71" s="5"/>
      <c r="J71" s="5"/>
      <c r="K71" s="5">
        <v>224</v>
      </c>
      <c r="L71" s="5">
        <v>27</v>
      </c>
      <c r="M71" s="5">
        <v>3</v>
      </c>
      <c r="N71" s="5" t="s">
        <v>3</v>
      </c>
      <c r="O71" s="5">
        <v>2</v>
      </c>
      <c r="P71" s="5"/>
      <c r="Q71" s="5"/>
      <c r="R71" s="5"/>
      <c r="S71" s="5"/>
      <c r="T71" s="5"/>
      <c r="U71" s="5"/>
      <c r="V71" s="5"/>
      <c r="W71" s="5">
        <v>121764.08</v>
      </c>
      <c r="X71" s="5">
        <v>1</v>
      </c>
      <c r="Y71" s="5">
        <v>121764.08</v>
      </c>
      <c r="Z71" s="5"/>
      <c r="AA71" s="5"/>
      <c r="AB71" s="5"/>
    </row>
    <row r="73" spans="1:255" x14ac:dyDescent="0.2">
      <c r="A73" s="1">
        <v>4</v>
      </c>
      <c r="B73" s="1">
        <v>1</v>
      </c>
      <c r="C73" s="1"/>
      <c r="D73" s="1">
        <f>ROW(A102)</f>
        <v>102</v>
      </c>
      <c r="E73" s="1"/>
      <c r="F73" s="1" t="s">
        <v>14</v>
      </c>
      <c r="G73" s="1" t="s">
        <v>151</v>
      </c>
      <c r="H73" s="1" t="s">
        <v>3</v>
      </c>
      <c r="I73" s="1">
        <v>0</v>
      </c>
      <c r="J73" s="1"/>
      <c r="K73" s="1">
        <v>0</v>
      </c>
      <c r="L73" s="1"/>
      <c r="M73" s="1" t="s">
        <v>3</v>
      </c>
      <c r="N73" s="1"/>
      <c r="O73" s="1"/>
      <c r="P73" s="1"/>
      <c r="Q73" s="1"/>
      <c r="R73" s="1"/>
      <c r="S73" s="1">
        <v>0</v>
      </c>
      <c r="T73" s="1"/>
      <c r="U73" s="1" t="s">
        <v>3</v>
      </c>
      <c r="V73" s="1">
        <v>0</v>
      </c>
      <c r="W73" s="1"/>
      <c r="X73" s="1"/>
      <c r="Y73" s="1"/>
      <c r="Z73" s="1"/>
      <c r="AA73" s="1"/>
      <c r="AB73" s="1" t="s">
        <v>3</v>
      </c>
      <c r="AC73" s="1" t="s">
        <v>3</v>
      </c>
      <c r="AD73" s="1" t="s">
        <v>3</v>
      </c>
      <c r="AE73" s="1" t="s">
        <v>3</v>
      </c>
      <c r="AF73" s="1" t="s">
        <v>3</v>
      </c>
      <c r="AG73" s="1" t="s">
        <v>3</v>
      </c>
      <c r="AH73" s="1"/>
      <c r="AI73" s="1"/>
      <c r="AJ73" s="1"/>
      <c r="AK73" s="1"/>
      <c r="AL73" s="1"/>
      <c r="AM73" s="1"/>
      <c r="AN73" s="1"/>
      <c r="AO73" s="1"/>
      <c r="AP73" s="1" t="s">
        <v>3</v>
      </c>
      <c r="AQ73" s="1" t="s">
        <v>3</v>
      </c>
      <c r="AR73" s="1" t="s">
        <v>3</v>
      </c>
      <c r="AS73" s="1"/>
      <c r="AT73" s="1"/>
      <c r="AU73" s="1"/>
      <c r="AV73" s="1"/>
      <c r="AW73" s="1"/>
      <c r="AX73" s="1"/>
      <c r="AY73" s="1"/>
      <c r="AZ73" s="1" t="s">
        <v>3</v>
      </c>
      <c r="BA73" s="1"/>
      <c r="BB73" s="1" t="s">
        <v>3</v>
      </c>
      <c r="BC73" s="1" t="s">
        <v>3</v>
      </c>
      <c r="BD73" s="1" t="s">
        <v>3</v>
      </c>
      <c r="BE73" s="1" t="s">
        <v>3</v>
      </c>
      <c r="BF73" s="1" t="s">
        <v>3</v>
      </c>
      <c r="BG73" s="1" t="s">
        <v>3</v>
      </c>
      <c r="BH73" s="1" t="s">
        <v>3</v>
      </c>
      <c r="BI73" s="1" t="s">
        <v>3</v>
      </c>
      <c r="BJ73" s="1" t="s">
        <v>3</v>
      </c>
      <c r="BK73" s="1" t="s">
        <v>3</v>
      </c>
      <c r="BL73" s="1" t="s">
        <v>3</v>
      </c>
      <c r="BM73" s="1" t="s">
        <v>3</v>
      </c>
      <c r="BN73" s="1" t="s">
        <v>3</v>
      </c>
      <c r="BO73" s="1" t="s">
        <v>3</v>
      </c>
      <c r="BP73" s="1" t="s">
        <v>3</v>
      </c>
      <c r="BQ73" s="1"/>
      <c r="BR73" s="1"/>
      <c r="BS73" s="1"/>
      <c r="BT73" s="1"/>
      <c r="BU73" s="1"/>
      <c r="BV73" s="1"/>
      <c r="BW73" s="1"/>
      <c r="BX73" s="1">
        <v>0</v>
      </c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>
        <v>0</v>
      </c>
    </row>
    <row r="75" spans="1:255" x14ac:dyDescent="0.2">
      <c r="A75" s="3">
        <v>52</v>
      </c>
      <c r="B75" s="3">
        <f t="shared" ref="B75:G75" si="44">B102</f>
        <v>1</v>
      </c>
      <c r="C75" s="3">
        <f t="shared" si="44"/>
        <v>4</v>
      </c>
      <c r="D75" s="3">
        <f t="shared" si="44"/>
        <v>73</v>
      </c>
      <c r="E75" s="3">
        <f t="shared" si="44"/>
        <v>0</v>
      </c>
      <c r="F75" s="3" t="str">
        <f t="shared" si="44"/>
        <v>Новый раздел</v>
      </c>
      <c r="G75" s="3" t="str">
        <f t="shared" si="44"/>
        <v>Работа 2</v>
      </c>
      <c r="H75" s="3"/>
      <c r="I75" s="3"/>
      <c r="J75" s="3"/>
      <c r="K75" s="3"/>
      <c r="L75" s="3"/>
      <c r="M75" s="3"/>
      <c r="N75" s="3"/>
      <c r="O75" s="3">
        <f t="shared" ref="O75:AT75" si="45">O102</f>
        <v>107016.8</v>
      </c>
      <c r="P75" s="3">
        <f t="shared" si="45"/>
        <v>72942.5</v>
      </c>
      <c r="Q75" s="3">
        <f t="shared" si="45"/>
        <v>306.86</v>
      </c>
      <c r="R75" s="3">
        <f t="shared" si="45"/>
        <v>149.19</v>
      </c>
      <c r="S75" s="3">
        <f t="shared" si="45"/>
        <v>33618.25</v>
      </c>
      <c r="T75" s="3">
        <f t="shared" si="45"/>
        <v>0</v>
      </c>
      <c r="U75" s="3">
        <f t="shared" si="45"/>
        <v>49.1509</v>
      </c>
      <c r="V75" s="3">
        <f t="shared" si="45"/>
        <v>0.1903</v>
      </c>
      <c r="W75" s="3">
        <f t="shared" si="45"/>
        <v>0</v>
      </c>
      <c r="X75" s="3">
        <f t="shared" si="45"/>
        <v>35164.129999999997</v>
      </c>
      <c r="Y75" s="3">
        <f t="shared" si="45"/>
        <v>18907.400000000001</v>
      </c>
      <c r="Z75" s="3">
        <f t="shared" si="45"/>
        <v>0</v>
      </c>
      <c r="AA75" s="3">
        <f t="shared" si="45"/>
        <v>0</v>
      </c>
      <c r="AB75" s="3">
        <f t="shared" si="45"/>
        <v>107016.8</v>
      </c>
      <c r="AC75" s="3">
        <f t="shared" si="45"/>
        <v>72942.5</v>
      </c>
      <c r="AD75" s="3">
        <f t="shared" si="45"/>
        <v>306.86</v>
      </c>
      <c r="AE75" s="3">
        <f t="shared" si="45"/>
        <v>149.19</v>
      </c>
      <c r="AF75" s="3">
        <f t="shared" si="45"/>
        <v>33618.25</v>
      </c>
      <c r="AG75" s="3">
        <f t="shared" si="45"/>
        <v>0</v>
      </c>
      <c r="AH75" s="3">
        <f t="shared" si="45"/>
        <v>49.1509</v>
      </c>
      <c r="AI75" s="3">
        <f t="shared" si="45"/>
        <v>0.1903</v>
      </c>
      <c r="AJ75" s="3">
        <f t="shared" si="45"/>
        <v>0</v>
      </c>
      <c r="AK75" s="3">
        <f t="shared" si="45"/>
        <v>35164.129999999997</v>
      </c>
      <c r="AL75" s="3">
        <f t="shared" si="45"/>
        <v>18907.400000000001</v>
      </c>
      <c r="AM75" s="3">
        <f t="shared" si="45"/>
        <v>0</v>
      </c>
      <c r="AN75" s="3">
        <f t="shared" si="45"/>
        <v>0</v>
      </c>
      <c r="AO75" s="3">
        <f t="shared" si="45"/>
        <v>0</v>
      </c>
      <c r="AP75" s="3">
        <f t="shared" si="45"/>
        <v>30789.77</v>
      </c>
      <c r="AQ75" s="3">
        <f t="shared" si="45"/>
        <v>0</v>
      </c>
      <c r="AR75" s="3">
        <f t="shared" si="45"/>
        <v>161088.32999999999</v>
      </c>
      <c r="AS75" s="3">
        <f t="shared" si="45"/>
        <v>130298.56</v>
      </c>
      <c r="AT75" s="3">
        <f t="shared" si="45"/>
        <v>0</v>
      </c>
      <c r="AU75" s="3">
        <f t="shared" ref="AU75:BZ75" si="46">AU102</f>
        <v>0</v>
      </c>
      <c r="AV75" s="3">
        <f t="shared" si="46"/>
        <v>72942.5</v>
      </c>
      <c r="AW75" s="3">
        <f t="shared" si="46"/>
        <v>42152.73</v>
      </c>
      <c r="AX75" s="3">
        <f t="shared" si="46"/>
        <v>0</v>
      </c>
      <c r="AY75" s="3">
        <f t="shared" si="46"/>
        <v>42152.73</v>
      </c>
      <c r="AZ75" s="3">
        <f t="shared" si="46"/>
        <v>30789.77</v>
      </c>
      <c r="BA75" s="3">
        <f t="shared" si="46"/>
        <v>0</v>
      </c>
      <c r="BB75" s="3">
        <f t="shared" si="46"/>
        <v>0</v>
      </c>
      <c r="BC75" s="3">
        <f t="shared" si="46"/>
        <v>0</v>
      </c>
      <c r="BD75" s="3">
        <f t="shared" si="46"/>
        <v>0</v>
      </c>
      <c r="BE75" s="3">
        <f t="shared" si="46"/>
        <v>0</v>
      </c>
      <c r="BF75" s="3">
        <f t="shared" si="46"/>
        <v>0</v>
      </c>
      <c r="BG75" s="3">
        <f t="shared" si="46"/>
        <v>0</v>
      </c>
      <c r="BH75" s="3">
        <f t="shared" si="46"/>
        <v>0</v>
      </c>
      <c r="BI75" s="3">
        <f t="shared" si="46"/>
        <v>0</v>
      </c>
      <c r="BJ75" s="3">
        <f t="shared" si="46"/>
        <v>0</v>
      </c>
      <c r="BK75" s="3">
        <f t="shared" si="46"/>
        <v>0</v>
      </c>
      <c r="BL75" s="3">
        <f t="shared" si="46"/>
        <v>0</v>
      </c>
      <c r="BM75" s="3">
        <f t="shared" si="46"/>
        <v>0</v>
      </c>
      <c r="BN75" s="3">
        <f t="shared" si="46"/>
        <v>0</v>
      </c>
      <c r="BO75" s="3">
        <f t="shared" si="46"/>
        <v>0</v>
      </c>
      <c r="BP75" s="3">
        <f t="shared" si="46"/>
        <v>0</v>
      </c>
      <c r="BQ75" s="3">
        <f t="shared" si="46"/>
        <v>0</v>
      </c>
      <c r="BR75" s="3">
        <f t="shared" si="46"/>
        <v>0</v>
      </c>
      <c r="BS75" s="3">
        <f t="shared" si="46"/>
        <v>0</v>
      </c>
      <c r="BT75" s="3">
        <f t="shared" si="46"/>
        <v>0</v>
      </c>
      <c r="BU75" s="3">
        <f t="shared" si="46"/>
        <v>0</v>
      </c>
      <c r="BV75" s="3">
        <f t="shared" si="46"/>
        <v>0</v>
      </c>
      <c r="BW75" s="3">
        <f t="shared" si="46"/>
        <v>0</v>
      </c>
      <c r="BX75" s="3">
        <f t="shared" si="46"/>
        <v>0</v>
      </c>
      <c r="BY75" s="3">
        <f t="shared" si="46"/>
        <v>30789.77</v>
      </c>
      <c r="BZ75" s="3">
        <f t="shared" si="46"/>
        <v>0</v>
      </c>
      <c r="CA75" s="3">
        <f t="shared" ref="CA75:DF75" si="47">CA102</f>
        <v>161088.32999999999</v>
      </c>
      <c r="CB75" s="3">
        <f t="shared" si="47"/>
        <v>130298.56</v>
      </c>
      <c r="CC75" s="3">
        <f t="shared" si="47"/>
        <v>0</v>
      </c>
      <c r="CD75" s="3">
        <f t="shared" si="47"/>
        <v>0</v>
      </c>
      <c r="CE75" s="3">
        <f t="shared" si="47"/>
        <v>72942.5</v>
      </c>
      <c r="CF75" s="3">
        <f t="shared" si="47"/>
        <v>42152.729999999996</v>
      </c>
      <c r="CG75" s="3">
        <f t="shared" si="47"/>
        <v>0</v>
      </c>
      <c r="CH75" s="3">
        <f t="shared" si="47"/>
        <v>42152.729999999996</v>
      </c>
      <c r="CI75" s="3">
        <f t="shared" si="47"/>
        <v>30789.77</v>
      </c>
      <c r="CJ75" s="3">
        <f t="shared" si="47"/>
        <v>0</v>
      </c>
      <c r="CK75" s="3">
        <f t="shared" si="47"/>
        <v>0</v>
      </c>
      <c r="CL75" s="3">
        <f t="shared" si="47"/>
        <v>0</v>
      </c>
      <c r="CM75" s="3">
        <f t="shared" si="47"/>
        <v>0</v>
      </c>
      <c r="CN75" s="3">
        <f t="shared" si="47"/>
        <v>0</v>
      </c>
      <c r="CO75" s="3">
        <f t="shared" si="47"/>
        <v>0</v>
      </c>
      <c r="CP75" s="3">
        <f t="shared" si="47"/>
        <v>0</v>
      </c>
      <c r="CQ75" s="3">
        <f t="shared" si="47"/>
        <v>0</v>
      </c>
      <c r="CR75" s="3">
        <f t="shared" si="47"/>
        <v>0</v>
      </c>
      <c r="CS75" s="3">
        <f t="shared" si="47"/>
        <v>0</v>
      </c>
      <c r="CT75" s="3">
        <f t="shared" si="47"/>
        <v>0</v>
      </c>
      <c r="CU75" s="3">
        <f t="shared" si="47"/>
        <v>0</v>
      </c>
      <c r="CV75" s="3">
        <f t="shared" si="47"/>
        <v>0</v>
      </c>
      <c r="CW75" s="3">
        <f t="shared" si="47"/>
        <v>0</v>
      </c>
      <c r="CX75" s="3">
        <f t="shared" si="47"/>
        <v>0</v>
      </c>
      <c r="CY75" s="3">
        <f t="shared" si="47"/>
        <v>0</v>
      </c>
      <c r="CZ75" s="3">
        <f t="shared" si="47"/>
        <v>0</v>
      </c>
      <c r="DA75" s="3">
        <f t="shared" si="47"/>
        <v>0</v>
      </c>
      <c r="DB75" s="3">
        <f t="shared" si="47"/>
        <v>0</v>
      </c>
      <c r="DC75" s="3">
        <f t="shared" si="47"/>
        <v>0</v>
      </c>
      <c r="DD75" s="3">
        <f t="shared" si="47"/>
        <v>0</v>
      </c>
      <c r="DE75" s="3">
        <f t="shared" si="47"/>
        <v>0</v>
      </c>
      <c r="DF75" s="3">
        <f t="shared" si="47"/>
        <v>0</v>
      </c>
      <c r="DG75" s="4">
        <f t="shared" ref="DG75:EL75" si="48">DG102</f>
        <v>0</v>
      </c>
      <c r="DH75" s="4">
        <f t="shared" si="48"/>
        <v>0</v>
      </c>
      <c r="DI75" s="4">
        <f t="shared" si="48"/>
        <v>0</v>
      </c>
      <c r="DJ75" s="4">
        <f t="shared" si="48"/>
        <v>0</v>
      </c>
      <c r="DK75" s="4">
        <f t="shared" si="48"/>
        <v>0</v>
      </c>
      <c r="DL75" s="4">
        <f t="shared" si="48"/>
        <v>0</v>
      </c>
      <c r="DM75" s="4">
        <f t="shared" si="48"/>
        <v>0</v>
      </c>
      <c r="DN75" s="4">
        <f t="shared" si="48"/>
        <v>0</v>
      </c>
      <c r="DO75" s="4">
        <f t="shared" si="48"/>
        <v>0</v>
      </c>
      <c r="DP75" s="4">
        <f t="shared" si="48"/>
        <v>0</v>
      </c>
      <c r="DQ75" s="4">
        <f t="shared" si="48"/>
        <v>0</v>
      </c>
      <c r="DR75" s="4">
        <f t="shared" si="48"/>
        <v>0</v>
      </c>
      <c r="DS75" s="4">
        <f t="shared" si="48"/>
        <v>0</v>
      </c>
      <c r="DT75" s="4">
        <f t="shared" si="48"/>
        <v>0</v>
      </c>
      <c r="DU75" s="4">
        <f t="shared" si="48"/>
        <v>0</v>
      </c>
      <c r="DV75" s="4">
        <f t="shared" si="48"/>
        <v>0</v>
      </c>
      <c r="DW75" s="4">
        <f t="shared" si="48"/>
        <v>0</v>
      </c>
      <c r="DX75" s="4">
        <f t="shared" si="48"/>
        <v>0</v>
      </c>
      <c r="DY75" s="4">
        <f t="shared" si="48"/>
        <v>0</v>
      </c>
      <c r="DZ75" s="4">
        <f t="shared" si="48"/>
        <v>0</v>
      </c>
      <c r="EA75" s="4">
        <f t="shared" si="48"/>
        <v>0</v>
      </c>
      <c r="EB75" s="4">
        <f t="shared" si="48"/>
        <v>0</v>
      </c>
      <c r="EC75" s="4">
        <f t="shared" si="48"/>
        <v>0</v>
      </c>
      <c r="ED75" s="4">
        <f t="shared" si="48"/>
        <v>0</v>
      </c>
      <c r="EE75" s="4">
        <f t="shared" si="48"/>
        <v>0</v>
      </c>
      <c r="EF75" s="4">
        <f t="shared" si="48"/>
        <v>0</v>
      </c>
      <c r="EG75" s="4">
        <f t="shared" si="48"/>
        <v>0</v>
      </c>
      <c r="EH75" s="4">
        <f t="shared" si="48"/>
        <v>0</v>
      </c>
      <c r="EI75" s="4">
        <f t="shared" si="48"/>
        <v>0</v>
      </c>
      <c r="EJ75" s="4">
        <f t="shared" si="48"/>
        <v>0</v>
      </c>
      <c r="EK75" s="4">
        <f t="shared" si="48"/>
        <v>0</v>
      </c>
      <c r="EL75" s="4">
        <f t="shared" si="48"/>
        <v>0</v>
      </c>
      <c r="EM75" s="4">
        <f t="shared" ref="EM75:FR75" si="49">EM102</f>
        <v>0</v>
      </c>
      <c r="EN75" s="4">
        <f t="shared" si="49"/>
        <v>0</v>
      </c>
      <c r="EO75" s="4">
        <f t="shared" si="49"/>
        <v>0</v>
      </c>
      <c r="EP75" s="4">
        <f t="shared" si="49"/>
        <v>0</v>
      </c>
      <c r="EQ75" s="4">
        <f t="shared" si="49"/>
        <v>0</v>
      </c>
      <c r="ER75" s="4">
        <f t="shared" si="49"/>
        <v>0</v>
      </c>
      <c r="ES75" s="4">
        <f t="shared" si="49"/>
        <v>0</v>
      </c>
      <c r="ET75" s="4">
        <f t="shared" si="49"/>
        <v>0</v>
      </c>
      <c r="EU75" s="4">
        <f t="shared" si="49"/>
        <v>0</v>
      </c>
      <c r="EV75" s="4">
        <f t="shared" si="49"/>
        <v>0</v>
      </c>
      <c r="EW75" s="4">
        <f t="shared" si="49"/>
        <v>0</v>
      </c>
      <c r="EX75" s="4">
        <f t="shared" si="49"/>
        <v>0</v>
      </c>
      <c r="EY75" s="4">
        <f t="shared" si="49"/>
        <v>0</v>
      </c>
      <c r="EZ75" s="4">
        <f t="shared" si="49"/>
        <v>0</v>
      </c>
      <c r="FA75" s="4">
        <f t="shared" si="49"/>
        <v>0</v>
      </c>
      <c r="FB75" s="4">
        <f t="shared" si="49"/>
        <v>0</v>
      </c>
      <c r="FC75" s="4">
        <f t="shared" si="49"/>
        <v>0</v>
      </c>
      <c r="FD75" s="4">
        <f t="shared" si="49"/>
        <v>0</v>
      </c>
      <c r="FE75" s="4">
        <f t="shared" si="49"/>
        <v>0</v>
      </c>
      <c r="FF75" s="4">
        <f t="shared" si="49"/>
        <v>0</v>
      </c>
      <c r="FG75" s="4">
        <f t="shared" si="49"/>
        <v>0</v>
      </c>
      <c r="FH75" s="4">
        <f t="shared" si="49"/>
        <v>0</v>
      </c>
      <c r="FI75" s="4">
        <f t="shared" si="49"/>
        <v>0</v>
      </c>
      <c r="FJ75" s="4">
        <f t="shared" si="49"/>
        <v>0</v>
      </c>
      <c r="FK75" s="4">
        <f t="shared" si="49"/>
        <v>0</v>
      </c>
      <c r="FL75" s="4">
        <f t="shared" si="49"/>
        <v>0</v>
      </c>
      <c r="FM75" s="4">
        <f t="shared" si="49"/>
        <v>0</v>
      </c>
      <c r="FN75" s="4">
        <f t="shared" si="49"/>
        <v>0</v>
      </c>
      <c r="FO75" s="4">
        <f t="shared" si="49"/>
        <v>0</v>
      </c>
      <c r="FP75" s="4">
        <f t="shared" si="49"/>
        <v>0</v>
      </c>
      <c r="FQ75" s="4">
        <f t="shared" si="49"/>
        <v>0</v>
      </c>
      <c r="FR75" s="4">
        <f t="shared" si="49"/>
        <v>0</v>
      </c>
      <c r="FS75" s="4">
        <f t="shared" ref="FS75:GX75" si="50">FS102</f>
        <v>0</v>
      </c>
      <c r="FT75" s="4">
        <f t="shared" si="50"/>
        <v>0</v>
      </c>
      <c r="FU75" s="4">
        <f t="shared" si="50"/>
        <v>0</v>
      </c>
      <c r="FV75" s="4">
        <f t="shared" si="50"/>
        <v>0</v>
      </c>
      <c r="FW75" s="4">
        <f t="shared" si="50"/>
        <v>0</v>
      </c>
      <c r="FX75" s="4">
        <f t="shared" si="50"/>
        <v>0</v>
      </c>
      <c r="FY75" s="4">
        <f t="shared" si="50"/>
        <v>0</v>
      </c>
      <c r="FZ75" s="4">
        <f t="shared" si="50"/>
        <v>0</v>
      </c>
      <c r="GA75" s="4">
        <f t="shared" si="50"/>
        <v>0</v>
      </c>
      <c r="GB75" s="4">
        <f t="shared" si="50"/>
        <v>0</v>
      </c>
      <c r="GC75" s="4">
        <f t="shared" si="50"/>
        <v>0</v>
      </c>
      <c r="GD75" s="4">
        <f t="shared" si="50"/>
        <v>0</v>
      </c>
      <c r="GE75" s="4">
        <f t="shared" si="50"/>
        <v>0</v>
      </c>
      <c r="GF75" s="4">
        <f t="shared" si="50"/>
        <v>0</v>
      </c>
      <c r="GG75" s="4">
        <f t="shared" si="50"/>
        <v>0</v>
      </c>
      <c r="GH75" s="4">
        <f t="shared" si="50"/>
        <v>0</v>
      </c>
      <c r="GI75" s="4">
        <f t="shared" si="50"/>
        <v>0</v>
      </c>
      <c r="GJ75" s="4">
        <f t="shared" si="50"/>
        <v>0</v>
      </c>
      <c r="GK75" s="4">
        <f t="shared" si="50"/>
        <v>0</v>
      </c>
      <c r="GL75" s="4">
        <f t="shared" si="50"/>
        <v>0</v>
      </c>
      <c r="GM75" s="4">
        <f t="shared" si="50"/>
        <v>0</v>
      </c>
      <c r="GN75" s="4">
        <f t="shared" si="50"/>
        <v>0</v>
      </c>
      <c r="GO75" s="4">
        <f t="shared" si="50"/>
        <v>0</v>
      </c>
      <c r="GP75" s="4">
        <f t="shared" si="50"/>
        <v>0</v>
      </c>
      <c r="GQ75" s="4">
        <f t="shared" si="50"/>
        <v>0</v>
      </c>
      <c r="GR75" s="4">
        <f t="shared" si="50"/>
        <v>0</v>
      </c>
      <c r="GS75" s="4">
        <f t="shared" si="50"/>
        <v>0</v>
      </c>
      <c r="GT75" s="4">
        <f t="shared" si="50"/>
        <v>0</v>
      </c>
      <c r="GU75" s="4">
        <f t="shared" si="50"/>
        <v>0</v>
      </c>
      <c r="GV75" s="4">
        <f t="shared" si="50"/>
        <v>0</v>
      </c>
      <c r="GW75" s="4">
        <f t="shared" si="50"/>
        <v>0</v>
      </c>
      <c r="GX75" s="4">
        <f t="shared" si="50"/>
        <v>0</v>
      </c>
    </row>
    <row r="77" spans="1:255" x14ac:dyDescent="0.2">
      <c r="A77" s="2">
        <v>17</v>
      </c>
      <c r="B77" s="2">
        <v>1</v>
      </c>
      <c r="C77" s="2">
        <f>ROW(SmtRes!A48)</f>
        <v>48</v>
      </c>
      <c r="D77" s="2">
        <f>ROW(EtalonRes!A47)</f>
        <v>47</v>
      </c>
      <c r="E77" s="2" t="s">
        <v>152</v>
      </c>
      <c r="F77" s="2" t="s">
        <v>153</v>
      </c>
      <c r="G77" s="2" t="s">
        <v>154</v>
      </c>
      <c r="H77" s="2" t="s">
        <v>19</v>
      </c>
      <c r="I77" s="2">
        <f>ROUND(7/100,7)</f>
        <v>7.0000000000000007E-2</v>
      </c>
      <c r="J77" s="2">
        <v>0</v>
      </c>
      <c r="K77" s="2">
        <f>ROUND(7/100,7)</f>
        <v>7.0000000000000007E-2</v>
      </c>
      <c r="L77" s="2"/>
      <c r="M77" s="2"/>
      <c r="N77" s="2"/>
      <c r="O77" s="2">
        <f t="shared" ref="O77:O100" si="51">ROUND(CP77,2)</f>
        <v>8308.7199999999993</v>
      </c>
      <c r="P77" s="2">
        <f>SUMIF(SmtRes!AQ44:'SmtRes'!AQ48,"=1",SmtRes!DF44:'SmtRes'!DF48)</f>
        <v>195.26</v>
      </c>
      <c r="Q77" s="2">
        <f>SUMIF(SmtRes!AQ44:'SmtRes'!AQ48,"=1",SmtRes!DG44:'SmtRes'!DG48)</f>
        <v>0</v>
      </c>
      <c r="R77" s="2">
        <f>SUMIF(SmtRes!AQ44:'SmtRes'!AQ48,"=1",SmtRes!DH44:'SmtRes'!DH48)</f>
        <v>0</v>
      </c>
      <c r="S77" s="2">
        <f>SUMIF(SmtRes!AQ44:'SmtRes'!AQ48,"=1",SmtRes!DI44:'SmtRes'!DI48)</f>
        <v>8113.46</v>
      </c>
      <c r="T77" s="2">
        <f t="shared" ref="T77:T100" si="52">ROUND(CU77*I77,2)</f>
        <v>0</v>
      </c>
      <c r="U77" s="2">
        <f>SUMIF(SmtRes!AQ44:'SmtRes'!AQ48,"=1",SmtRes!CV44:'SmtRes'!CV48)</f>
        <v>12.495699999999999</v>
      </c>
      <c r="V77" s="2">
        <f>SUMIF(SmtRes!AQ44:'SmtRes'!AQ48,"=1",SmtRes!CW44:'SmtRes'!CW48)</f>
        <v>0</v>
      </c>
      <c r="W77" s="2">
        <f t="shared" ref="W77:W100" si="53">ROUND(CX77*I77,2)</f>
        <v>0</v>
      </c>
      <c r="X77" s="2">
        <f t="shared" ref="X77:X100" si="54">ROUND(CY77,2)</f>
        <v>8356.86</v>
      </c>
      <c r="Y77" s="2">
        <f t="shared" ref="Y77:Y100" si="55">ROUND(CZ77,2)</f>
        <v>4219</v>
      </c>
      <c r="Z77" s="2"/>
      <c r="AA77" s="2">
        <v>80308166</v>
      </c>
      <c r="AB77" s="2">
        <f t="shared" ref="AB77:AB100" si="56">ROUND((AC77+AD77+AF77),6)</f>
        <v>117960.57105</v>
      </c>
      <c r="AC77" s="2">
        <f>ROUND((SUM(SmtRes!BQ44:'SmtRes'!BQ48)),6)</f>
        <v>2054.0280499999999</v>
      </c>
      <c r="AD77" s="2">
        <f>ROUND((((0)-(0))+AE77),6)</f>
        <v>0</v>
      </c>
      <c r="AE77" s="2">
        <f>ROUND((0),6)</f>
        <v>0</v>
      </c>
      <c r="AF77" s="2">
        <f>ROUND((SUM(SmtRes!BT44:'SmtRes'!BT48)),6)</f>
        <v>115906.54300000001</v>
      </c>
      <c r="AG77" s="2">
        <f t="shared" ref="AG77:AG100" si="57">ROUND((AP77),6)</f>
        <v>0</v>
      </c>
      <c r="AH77" s="2">
        <f>(SUM(SmtRes!BU44:'SmtRes'!BU48))</f>
        <v>178.51</v>
      </c>
      <c r="AI77" s="2">
        <f>(0)</f>
        <v>0</v>
      </c>
      <c r="AJ77" s="2">
        <f t="shared" ref="AJ77:AJ100" si="58">(AS77)</f>
        <v>0</v>
      </c>
      <c r="AK77" s="2">
        <v>117960.57104999998</v>
      </c>
      <c r="AL77" s="2">
        <v>2054.0280499999999</v>
      </c>
      <c r="AM77" s="2">
        <v>0</v>
      </c>
      <c r="AN77" s="2">
        <v>0</v>
      </c>
      <c r="AO77" s="2">
        <v>115906.54299999999</v>
      </c>
      <c r="AP77" s="2">
        <v>0</v>
      </c>
      <c r="AQ77" s="2">
        <v>178.51</v>
      </c>
      <c r="AR77" s="2">
        <v>0</v>
      </c>
      <c r="AS77" s="2">
        <v>0</v>
      </c>
      <c r="AT77" s="2">
        <v>103</v>
      </c>
      <c r="AU77" s="2">
        <v>52</v>
      </c>
      <c r="AV77" s="2">
        <v>1</v>
      </c>
      <c r="AW77" s="2">
        <v>1</v>
      </c>
      <c r="AX77" s="2"/>
      <c r="AY77" s="2"/>
      <c r="AZ77" s="2">
        <v>1</v>
      </c>
      <c r="BA77" s="2">
        <v>1</v>
      </c>
      <c r="BB77" s="2">
        <v>1</v>
      </c>
      <c r="BC77" s="2">
        <v>1</v>
      </c>
      <c r="BD77" s="2" t="s">
        <v>3</v>
      </c>
      <c r="BE77" s="2" t="s">
        <v>3</v>
      </c>
      <c r="BF77" s="2" t="s">
        <v>3</v>
      </c>
      <c r="BG77" s="2" t="s">
        <v>3</v>
      </c>
      <c r="BH77" s="2">
        <v>0</v>
      </c>
      <c r="BI77" s="2">
        <v>1</v>
      </c>
      <c r="BJ77" s="2" t="s">
        <v>155</v>
      </c>
      <c r="BK77" s="2"/>
      <c r="BL77" s="2"/>
      <c r="BM77" s="2">
        <v>65007</v>
      </c>
      <c r="BN77" s="2">
        <v>0</v>
      </c>
      <c r="BO77" s="2" t="s">
        <v>3</v>
      </c>
      <c r="BP77" s="2">
        <v>0</v>
      </c>
      <c r="BQ77" s="2">
        <v>6</v>
      </c>
      <c r="BR77" s="2">
        <v>0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 t="s">
        <v>3</v>
      </c>
      <c r="BZ77" s="2">
        <v>103</v>
      </c>
      <c r="CA77" s="2">
        <v>52</v>
      </c>
      <c r="CB77" s="2" t="s">
        <v>3</v>
      </c>
      <c r="CC77" s="2"/>
      <c r="CD77" s="2"/>
      <c r="CE77" s="2">
        <v>0</v>
      </c>
      <c r="CF77" s="2">
        <v>0</v>
      </c>
      <c r="CG77" s="2">
        <v>0</v>
      </c>
      <c r="CH77" s="2"/>
      <c r="CI77" s="2"/>
      <c r="CJ77" s="2"/>
      <c r="CK77" s="2"/>
      <c r="CL77" s="2"/>
      <c r="CM77" s="2">
        <v>0</v>
      </c>
      <c r="CN77" s="2" t="s">
        <v>3</v>
      </c>
      <c r="CO77" s="2">
        <v>0</v>
      </c>
      <c r="CP77" s="2">
        <f t="shared" ref="CP77:CP100" si="59">(P77+Q77+S77+R77)</f>
        <v>8308.7199999999993</v>
      </c>
      <c r="CQ77" s="2">
        <f>SUMIF(SmtRes!AQ44:'SmtRes'!AQ48,"=1",SmtRes!AA44:'SmtRes'!AA48)</f>
        <v>73173.89</v>
      </c>
      <c r="CR77" s="2">
        <f>SUMIF(SmtRes!AQ44:'SmtRes'!AQ48,"=1",SmtRes!AB44:'SmtRes'!AB48)</f>
        <v>0</v>
      </c>
      <c r="CS77" s="2">
        <f>SUMIF(SmtRes!AQ44:'SmtRes'!AQ48,"=1",SmtRes!AC44:'SmtRes'!AC48)</f>
        <v>0</v>
      </c>
      <c r="CT77" s="2">
        <f>SUMIF(SmtRes!AQ44:'SmtRes'!AQ48,"=1",SmtRes!AD44:'SmtRes'!AD48)</f>
        <v>649.29999999999995</v>
      </c>
      <c r="CU77" s="2">
        <f t="shared" ref="CU77:CU100" si="60">AG77</f>
        <v>0</v>
      </c>
      <c r="CV77" s="2">
        <f>SUMIF(SmtRes!AQ44:'SmtRes'!AQ48,"=1",SmtRes!BU44:'SmtRes'!BU48)</f>
        <v>178.51</v>
      </c>
      <c r="CW77" s="2">
        <f>SUMIF(SmtRes!AQ44:'SmtRes'!AQ48,"=1",SmtRes!BV44:'SmtRes'!BV48)</f>
        <v>0</v>
      </c>
      <c r="CX77" s="2">
        <f t="shared" ref="CX77:CX100" si="61">AJ77</f>
        <v>0</v>
      </c>
      <c r="CY77" s="2">
        <f>(((S77+R77)*AT77)/100)</f>
        <v>8356.8637999999992</v>
      </c>
      <c r="CZ77" s="2">
        <f>(((S77+R77)*AU77)/100)</f>
        <v>4218.9992000000002</v>
      </c>
      <c r="DA77" s="2"/>
      <c r="DB77" s="2"/>
      <c r="DC77" s="2" t="s">
        <v>3</v>
      </c>
      <c r="DD77" s="2" t="s">
        <v>3</v>
      </c>
      <c r="DE77" s="2" t="s">
        <v>3</v>
      </c>
      <c r="DF77" s="2" t="s">
        <v>3</v>
      </c>
      <c r="DG77" s="2" t="s">
        <v>3</v>
      </c>
      <c r="DH77" s="2" t="s">
        <v>3</v>
      </c>
      <c r="DI77" s="2" t="s">
        <v>3</v>
      </c>
      <c r="DJ77" s="2" t="s">
        <v>3</v>
      </c>
      <c r="DK77" s="2" t="s">
        <v>3</v>
      </c>
      <c r="DL77" s="2" t="s">
        <v>3</v>
      </c>
      <c r="DM77" s="2" t="s">
        <v>3</v>
      </c>
      <c r="DN77" s="2">
        <v>0</v>
      </c>
      <c r="DO77" s="2">
        <v>0</v>
      </c>
      <c r="DP77" s="2">
        <v>1</v>
      </c>
      <c r="DQ77" s="2">
        <v>1</v>
      </c>
      <c r="DR77" s="2"/>
      <c r="DS77" s="2"/>
      <c r="DT77" s="2"/>
      <c r="DU77" s="2">
        <v>1013</v>
      </c>
      <c r="DV77" s="2" t="s">
        <v>19</v>
      </c>
      <c r="DW77" s="2" t="s">
        <v>19</v>
      </c>
      <c r="DX77" s="2">
        <v>1</v>
      </c>
      <c r="DY77" s="2"/>
      <c r="DZ77" s="2" t="s">
        <v>3</v>
      </c>
      <c r="EA77" s="2" t="s">
        <v>3</v>
      </c>
      <c r="EB77" s="2" t="s">
        <v>3</v>
      </c>
      <c r="EC77" s="2" t="s">
        <v>3</v>
      </c>
      <c r="ED77" s="2"/>
      <c r="EE77" s="2">
        <v>77313190</v>
      </c>
      <c r="EF77" s="2">
        <v>6</v>
      </c>
      <c r="EG77" s="2" t="s">
        <v>21</v>
      </c>
      <c r="EH77" s="2">
        <v>99</v>
      </c>
      <c r="EI77" s="2" t="s">
        <v>22</v>
      </c>
      <c r="EJ77" s="2">
        <v>1</v>
      </c>
      <c r="EK77" s="2">
        <v>65007</v>
      </c>
      <c r="EL77" s="2" t="s">
        <v>23</v>
      </c>
      <c r="EM77" s="2" t="s">
        <v>24</v>
      </c>
      <c r="EN77" s="2"/>
      <c r="EO77" s="2" t="s">
        <v>3</v>
      </c>
      <c r="EP77" s="2"/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178.51</v>
      </c>
      <c r="EX77" s="2">
        <v>0</v>
      </c>
      <c r="EY77" s="2">
        <v>0</v>
      </c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>
        <v>0</v>
      </c>
      <c r="FR77" s="2">
        <v>0</v>
      </c>
      <c r="FS77" s="2">
        <v>0</v>
      </c>
      <c r="FT77" s="2"/>
      <c r="FU77" s="2"/>
      <c r="FV77" s="2"/>
      <c r="FW77" s="2"/>
      <c r="FX77" s="2">
        <v>103</v>
      </c>
      <c r="FY77" s="2">
        <v>52</v>
      </c>
      <c r="FZ77" s="2"/>
      <c r="GA77" s="2" t="s">
        <v>3</v>
      </c>
      <c r="GB77" s="2"/>
      <c r="GC77" s="2"/>
      <c r="GD77" s="2">
        <v>1</v>
      </c>
      <c r="GE77" s="2"/>
      <c r="GF77" s="2">
        <v>-1125975212</v>
      </c>
      <c r="GG77" s="2">
        <v>2</v>
      </c>
      <c r="GH77" s="2">
        <v>1</v>
      </c>
      <c r="GI77" s="2">
        <v>-2</v>
      </c>
      <c r="GJ77" s="2">
        <v>0</v>
      </c>
      <c r="GK77" s="2">
        <v>0</v>
      </c>
      <c r="GL77" s="2">
        <f t="shared" ref="GL77:GL100" si="62">ROUND(IF(AND(BH77=3,BI77=3,FS77&lt;&gt;0),P77,0),2)</f>
        <v>0</v>
      </c>
      <c r="GM77" s="2">
        <f t="shared" ref="GM77:GM100" si="63">ROUND(O77+X77+Y77,2)+GX77</f>
        <v>20884.580000000002</v>
      </c>
      <c r="GN77" s="2">
        <f t="shared" ref="GN77:GN100" si="64">IF(OR(BI77=0,BI77=1),GM77-GX77,0)</f>
        <v>20884.580000000002</v>
      </c>
      <c r="GO77" s="2">
        <f t="shared" ref="GO77:GO100" si="65">IF(BI77=2,GM77-GX77,0)</f>
        <v>0</v>
      </c>
      <c r="GP77" s="2">
        <f t="shared" ref="GP77:GP100" si="66">IF(BI77=4,GM77-GX77,0)</f>
        <v>0</v>
      </c>
      <c r="GQ77" s="2"/>
      <c r="GR77" s="2">
        <v>0</v>
      </c>
      <c r="GS77" s="2">
        <v>3</v>
      </c>
      <c r="GT77" s="2">
        <v>0</v>
      </c>
      <c r="GU77" s="2" t="s">
        <v>3</v>
      </c>
      <c r="GV77" s="2">
        <f t="shared" ref="GV77:GV100" si="67">ROUND((GT77),6)</f>
        <v>0</v>
      </c>
      <c r="GW77" s="2">
        <v>1</v>
      </c>
      <c r="GX77" s="2">
        <f t="shared" ref="GX77:GX100" si="68">ROUND(HC77*I77,2)</f>
        <v>0</v>
      </c>
      <c r="GY77" s="2"/>
      <c r="GZ77" s="2"/>
      <c r="HA77" s="2">
        <v>0</v>
      </c>
      <c r="HB77" s="2">
        <v>0</v>
      </c>
      <c r="HC77" s="2">
        <f t="shared" ref="HC77:HC100" si="69">GV77*GW77</f>
        <v>0</v>
      </c>
      <c r="HD77" s="2"/>
      <c r="HE77" s="2" t="s">
        <v>3</v>
      </c>
      <c r="HF77" s="2" t="s">
        <v>3</v>
      </c>
      <c r="HG77" s="2"/>
      <c r="HH77" s="2"/>
      <c r="HI77" s="2"/>
      <c r="HJ77" s="2"/>
      <c r="HK77" s="2"/>
      <c r="HL77" s="2"/>
      <c r="HM77" s="2" t="s">
        <v>3</v>
      </c>
      <c r="HN77" s="2" t="s">
        <v>25</v>
      </c>
      <c r="HO77" s="2" t="s">
        <v>26</v>
      </c>
      <c r="HP77" s="2" t="s">
        <v>23</v>
      </c>
      <c r="HQ77" s="2" t="s">
        <v>23</v>
      </c>
      <c r="HR77" s="2"/>
      <c r="HS77" s="2">
        <v>0</v>
      </c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>
        <v>0</v>
      </c>
      <c r="IL77" s="2"/>
      <c r="IM77" s="2"/>
      <c r="IN77" s="2"/>
      <c r="IO77" s="2"/>
      <c r="IP77" s="2"/>
      <c r="IQ77" s="2"/>
      <c r="IR77" s="2"/>
      <c r="IS77" s="2"/>
      <c r="IT77" s="2"/>
      <c r="IU77" s="2"/>
    </row>
    <row r="78" spans="1:255" ht="409.5" x14ac:dyDescent="0.2">
      <c r="A78" s="2">
        <v>17</v>
      </c>
      <c r="B78" s="2">
        <v>1</v>
      </c>
      <c r="C78" s="2">
        <f>ROW(SmtRes!A55)</f>
        <v>55</v>
      </c>
      <c r="D78" s="2">
        <f>ROW(EtalonRes!A52)</f>
        <v>52</v>
      </c>
      <c r="E78" s="2" t="s">
        <v>156</v>
      </c>
      <c r="F78" s="2" t="s">
        <v>157</v>
      </c>
      <c r="G78" s="2" t="s">
        <v>158</v>
      </c>
      <c r="H78" s="2" t="s">
        <v>90</v>
      </c>
      <c r="I78" s="2">
        <v>8</v>
      </c>
      <c r="J78" s="2">
        <v>0</v>
      </c>
      <c r="K78" s="2">
        <v>8</v>
      </c>
      <c r="L78" s="2"/>
      <c r="M78" s="2"/>
      <c r="N78" s="2"/>
      <c r="O78" s="2">
        <f t="shared" si="51"/>
        <v>2141.3200000000002</v>
      </c>
      <c r="P78" s="2">
        <f>SUMIF(SmtRes!AQ49:'SmtRes'!AQ55,"=1",SmtRes!DF49:'SmtRes'!DF55)</f>
        <v>128.15</v>
      </c>
      <c r="Q78" s="2">
        <f>SUMIF(SmtRes!AQ49:'SmtRes'!AQ55,"=1",SmtRes!DG49:'SmtRes'!DG55)</f>
        <v>0</v>
      </c>
      <c r="R78" s="2">
        <f>SUMIF(SmtRes!AQ49:'SmtRes'!AQ55,"=1",SmtRes!DH49:'SmtRes'!DH55)</f>
        <v>0</v>
      </c>
      <c r="S78" s="2">
        <f>SUMIF(SmtRes!AQ49:'SmtRes'!AQ55,"=1",SmtRes!DI49:'SmtRes'!DI55)</f>
        <v>2013.17</v>
      </c>
      <c r="T78" s="2">
        <f t="shared" si="52"/>
        <v>0</v>
      </c>
      <c r="U78" s="2">
        <f>SUMIF(SmtRes!AQ49:'SmtRes'!AQ55,"=1",SmtRes!CV49:'SmtRes'!CV55)</f>
        <v>2.8519999999999999</v>
      </c>
      <c r="V78" s="2">
        <f>SUMIF(SmtRes!AQ49:'SmtRes'!AQ55,"=1",SmtRes!CW49:'SmtRes'!CW55)</f>
        <v>0</v>
      </c>
      <c r="W78" s="2">
        <f t="shared" si="53"/>
        <v>0</v>
      </c>
      <c r="X78" s="2">
        <f t="shared" si="54"/>
        <v>2192.34</v>
      </c>
      <c r="Y78" s="2">
        <f t="shared" si="55"/>
        <v>1232.06</v>
      </c>
      <c r="Z78" s="2"/>
      <c r="AA78" s="2">
        <v>80308166</v>
      </c>
      <c r="AB78" s="2">
        <f t="shared" si="56"/>
        <v>267.60386399999999</v>
      </c>
      <c r="AC78" s="2">
        <f>ROUND((SUM(SmtRes!BQ49:'SmtRes'!BQ55)),6)</f>
        <v>15.957644</v>
      </c>
      <c r="AD78" s="2">
        <f>ROUND((((0)-(0))+AE78),6)</f>
        <v>0</v>
      </c>
      <c r="AE78" s="2">
        <f>ROUND((0),6)</f>
        <v>0</v>
      </c>
      <c r="AF78" s="2">
        <f>ROUND((SUM(SmtRes!BT49:'SmtRes'!BT55)),6)</f>
        <v>251.64622</v>
      </c>
      <c r="AG78" s="2">
        <f t="shared" si="57"/>
        <v>0</v>
      </c>
      <c r="AH78" s="2">
        <f>(SUM(SmtRes!BU49:'SmtRes'!BU55))</f>
        <v>0.35649999999999998</v>
      </c>
      <c r="AI78" s="2">
        <f>(0)</f>
        <v>0</v>
      </c>
      <c r="AJ78" s="2">
        <f t="shared" si="58"/>
        <v>0</v>
      </c>
      <c r="AK78" s="2">
        <v>234.78044410000001</v>
      </c>
      <c r="AL78" s="2">
        <v>15.9576441</v>
      </c>
      <c r="AM78" s="2">
        <v>0</v>
      </c>
      <c r="AN78" s="2">
        <v>0</v>
      </c>
      <c r="AO78" s="2">
        <v>218.8228</v>
      </c>
      <c r="AP78" s="2">
        <v>0</v>
      </c>
      <c r="AQ78" s="2">
        <v>0.31</v>
      </c>
      <c r="AR78" s="2">
        <v>0</v>
      </c>
      <c r="AS78" s="2">
        <v>0</v>
      </c>
      <c r="AT78" s="2">
        <v>108.9</v>
      </c>
      <c r="AU78" s="2">
        <v>61.2</v>
      </c>
      <c r="AV78" s="2">
        <v>1</v>
      </c>
      <c r="AW78" s="2">
        <v>1</v>
      </c>
      <c r="AX78" s="2"/>
      <c r="AY78" s="2"/>
      <c r="AZ78" s="2">
        <v>1</v>
      </c>
      <c r="BA78" s="2">
        <v>1</v>
      </c>
      <c r="BB78" s="2">
        <v>1</v>
      </c>
      <c r="BC78" s="2">
        <v>1</v>
      </c>
      <c r="BD78" s="2" t="s">
        <v>3</v>
      </c>
      <c r="BE78" s="2" t="s">
        <v>3</v>
      </c>
      <c r="BF78" s="2" t="s">
        <v>3</v>
      </c>
      <c r="BG78" s="2" t="s">
        <v>3</v>
      </c>
      <c r="BH78" s="2">
        <v>0</v>
      </c>
      <c r="BI78" s="2">
        <v>1</v>
      </c>
      <c r="BJ78" s="2" t="s">
        <v>159</v>
      </c>
      <c r="BK78" s="2"/>
      <c r="BL78" s="2"/>
      <c r="BM78" s="2">
        <v>18001</v>
      </c>
      <c r="BN78" s="2">
        <v>0</v>
      </c>
      <c r="BO78" s="2" t="s">
        <v>3</v>
      </c>
      <c r="BP78" s="2">
        <v>0</v>
      </c>
      <c r="BQ78" s="2">
        <v>2</v>
      </c>
      <c r="BR78" s="2">
        <v>0</v>
      </c>
      <c r="BS78" s="2">
        <v>1</v>
      </c>
      <c r="BT78" s="2">
        <v>1</v>
      </c>
      <c r="BU78" s="2">
        <v>1</v>
      </c>
      <c r="BV78" s="2">
        <v>1</v>
      </c>
      <c r="BW78" s="2">
        <v>1</v>
      </c>
      <c r="BX78" s="2">
        <v>1</v>
      </c>
      <c r="BY78" s="2" t="s">
        <v>3</v>
      </c>
      <c r="BZ78" s="2">
        <v>121</v>
      </c>
      <c r="CA78" s="2">
        <v>72</v>
      </c>
      <c r="CB78" s="2" t="s">
        <v>3</v>
      </c>
      <c r="CC78" s="2"/>
      <c r="CD78" s="2"/>
      <c r="CE78" s="2">
        <v>0</v>
      </c>
      <c r="CF78" s="2">
        <v>0</v>
      </c>
      <c r="CG78" s="2">
        <v>0</v>
      </c>
      <c r="CH78" s="2"/>
      <c r="CI78" s="2"/>
      <c r="CJ78" s="2"/>
      <c r="CK78" s="2"/>
      <c r="CL78" s="2"/>
      <c r="CM78" s="2">
        <v>0</v>
      </c>
      <c r="CN78" s="7" t="s">
        <v>651</v>
      </c>
      <c r="CO78" s="2">
        <v>0</v>
      </c>
      <c r="CP78" s="2">
        <f t="shared" si="59"/>
        <v>2141.3200000000002</v>
      </c>
      <c r="CQ78" s="2">
        <f>SUMIF(SmtRes!AQ49:'SmtRes'!AQ55,"=1",SmtRes!AA49:'SmtRes'!AA55)</f>
        <v>73211.349999999991</v>
      </c>
      <c r="CR78" s="2">
        <f>SUMIF(SmtRes!AQ49:'SmtRes'!AQ55,"=1",SmtRes!AB49:'SmtRes'!AB55)</f>
        <v>0</v>
      </c>
      <c r="CS78" s="2">
        <f>SUMIF(SmtRes!AQ49:'SmtRes'!AQ55,"=1",SmtRes!AC49:'SmtRes'!AC55)</f>
        <v>0</v>
      </c>
      <c r="CT78" s="2">
        <f>SUMIF(SmtRes!AQ49:'SmtRes'!AQ55,"=1",SmtRes!AD49:'SmtRes'!AD55)</f>
        <v>705.88</v>
      </c>
      <c r="CU78" s="2">
        <f t="shared" si="60"/>
        <v>0</v>
      </c>
      <c r="CV78" s="2">
        <f>SUMIF(SmtRes!AQ49:'SmtRes'!AQ55,"=1",SmtRes!BU49:'SmtRes'!BU55)</f>
        <v>0.35649999999999998</v>
      </c>
      <c r="CW78" s="2">
        <f>SUMIF(SmtRes!AQ49:'SmtRes'!AQ55,"=1",SmtRes!BV49:'SmtRes'!BV55)</f>
        <v>0</v>
      </c>
      <c r="CX78" s="2">
        <f t="shared" si="61"/>
        <v>0</v>
      </c>
      <c r="CY78" s="2">
        <f>(((S78+R78)*AT78)/100)</f>
        <v>2192.34213</v>
      </c>
      <c r="CZ78" s="2">
        <f>(((S78+R78)*AU78)/100)</f>
        <v>1232.0600400000001</v>
      </c>
      <c r="DA78" s="2"/>
      <c r="DB78" s="2">
        <v>4</v>
      </c>
      <c r="DC78" s="2" t="s">
        <v>3</v>
      </c>
      <c r="DD78" s="2" t="s">
        <v>3</v>
      </c>
      <c r="DE78" s="2" t="s">
        <v>48</v>
      </c>
      <c r="DF78" s="2" t="s">
        <v>48</v>
      </c>
      <c r="DG78" s="2" t="s">
        <v>49</v>
      </c>
      <c r="DH78" s="2" t="s">
        <v>3</v>
      </c>
      <c r="DI78" s="2" t="s">
        <v>49</v>
      </c>
      <c r="DJ78" s="2" t="s">
        <v>48</v>
      </c>
      <c r="DK78" s="2" t="s">
        <v>3</v>
      </c>
      <c r="DL78" s="2" t="s">
        <v>50</v>
      </c>
      <c r="DM78" s="2" t="s">
        <v>51</v>
      </c>
      <c r="DN78" s="2">
        <v>0</v>
      </c>
      <c r="DO78" s="2">
        <v>0</v>
      </c>
      <c r="DP78" s="2">
        <v>1</v>
      </c>
      <c r="DQ78" s="2">
        <v>1</v>
      </c>
      <c r="DR78" s="2"/>
      <c r="DS78" s="2"/>
      <c r="DT78" s="2"/>
      <c r="DU78" s="2">
        <v>1013</v>
      </c>
      <c r="DV78" s="2" t="s">
        <v>90</v>
      </c>
      <c r="DW78" s="2" t="s">
        <v>90</v>
      </c>
      <c r="DX78" s="2">
        <v>1</v>
      </c>
      <c r="DY78" s="2"/>
      <c r="DZ78" s="2" t="s">
        <v>3</v>
      </c>
      <c r="EA78" s="2" t="s">
        <v>3</v>
      </c>
      <c r="EB78" s="2" t="s">
        <v>3</v>
      </c>
      <c r="EC78" s="2" t="s">
        <v>3</v>
      </c>
      <c r="ED78" s="2"/>
      <c r="EE78" s="2">
        <v>77313121</v>
      </c>
      <c r="EF78" s="2">
        <v>2</v>
      </c>
      <c r="EG78" s="2" t="s">
        <v>52</v>
      </c>
      <c r="EH78" s="2">
        <v>16</v>
      </c>
      <c r="EI78" s="2" t="s">
        <v>53</v>
      </c>
      <c r="EJ78" s="2">
        <v>1</v>
      </c>
      <c r="EK78" s="2">
        <v>18001</v>
      </c>
      <c r="EL78" s="2" t="s">
        <v>160</v>
      </c>
      <c r="EM78" s="2" t="s">
        <v>161</v>
      </c>
      <c r="EN78" s="2"/>
      <c r="EO78" s="2" t="s">
        <v>56</v>
      </c>
      <c r="EP78" s="2"/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0.31</v>
      </c>
      <c r="EX78" s="2">
        <v>0</v>
      </c>
      <c r="EY78" s="2">
        <v>0</v>
      </c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>
        <v>0</v>
      </c>
      <c r="FR78" s="2">
        <v>0</v>
      </c>
      <c r="FS78" s="2">
        <v>0</v>
      </c>
      <c r="FT78" s="2"/>
      <c r="FU78" s="2"/>
      <c r="FV78" s="2"/>
      <c r="FW78" s="2"/>
      <c r="FX78" s="2">
        <v>108.9</v>
      </c>
      <c r="FY78" s="2">
        <v>61.2</v>
      </c>
      <c r="FZ78" s="2"/>
      <c r="GA78" s="2" t="s">
        <v>3</v>
      </c>
      <c r="GB78" s="2"/>
      <c r="GC78" s="2"/>
      <c r="GD78" s="2">
        <v>1</v>
      </c>
      <c r="GE78" s="2"/>
      <c r="GF78" s="2">
        <v>818984624</v>
      </c>
      <c r="GG78" s="2">
        <v>2</v>
      </c>
      <c r="GH78" s="2">
        <v>1</v>
      </c>
      <c r="GI78" s="2">
        <v>-2</v>
      </c>
      <c r="GJ78" s="2">
        <v>0</v>
      </c>
      <c r="GK78" s="2">
        <v>0</v>
      </c>
      <c r="GL78" s="2">
        <f t="shared" si="62"/>
        <v>0</v>
      </c>
      <c r="GM78" s="2">
        <f t="shared" si="63"/>
        <v>5565.72</v>
      </c>
      <c r="GN78" s="2">
        <f t="shared" si="64"/>
        <v>5565.72</v>
      </c>
      <c r="GO78" s="2">
        <f t="shared" si="65"/>
        <v>0</v>
      </c>
      <c r="GP78" s="2">
        <f t="shared" si="66"/>
        <v>0</v>
      </c>
      <c r="GQ78" s="2"/>
      <c r="GR78" s="2">
        <v>0</v>
      </c>
      <c r="GS78" s="2">
        <v>3</v>
      </c>
      <c r="GT78" s="2">
        <v>0</v>
      </c>
      <c r="GU78" s="2" t="s">
        <v>3</v>
      </c>
      <c r="GV78" s="2">
        <f t="shared" si="67"/>
        <v>0</v>
      </c>
      <c r="GW78" s="2">
        <v>1</v>
      </c>
      <c r="GX78" s="2">
        <f t="shared" si="68"/>
        <v>0</v>
      </c>
      <c r="GY78" s="2"/>
      <c r="GZ78" s="2"/>
      <c r="HA78" s="2">
        <v>0</v>
      </c>
      <c r="HB78" s="2">
        <v>0</v>
      </c>
      <c r="HC78" s="2">
        <f t="shared" si="69"/>
        <v>0</v>
      </c>
      <c r="HD78" s="2"/>
      <c r="HE78" s="2" t="s">
        <v>3</v>
      </c>
      <c r="HF78" s="2" t="s">
        <v>3</v>
      </c>
      <c r="HG78" s="2"/>
      <c r="HH78" s="2"/>
      <c r="HI78" s="2"/>
      <c r="HJ78" s="2"/>
      <c r="HK78" s="2"/>
      <c r="HL78" s="2"/>
      <c r="HM78" s="2" t="s">
        <v>3</v>
      </c>
      <c r="HN78" s="2" t="s">
        <v>57</v>
      </c>
      <c r="HO78" s="2" t="s">
        <v>58</v>
      </c>
      <c r="HP78" s="2" t="s">
        <v>53</v>
      </c>
      <c r="HQ78" s="2" t="s">
        <v>53</v>
      </c>
      <c r="HR78" s="2"/>
      <c r="HS78" s="2">
        <v>0</v>
      </c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>
        <v>0</v>
      </c>
      <c r="IL78" s="2"/>
      <c r="IM78" s="2"/>
      <c r="IN78" s="2"/>
      <c r="IO78" s="2"/>
      <c r="IP78" s="2"/>
      <c r="IQ78" s="2"/>
      <c r="IR78" s="2"/>
      <c r="IS78" s="2"/>
      <c r="IT78" s="2"/>
      <c r="IU78" s="2"/>
    </row>
    <row r="79" spans="1:255" x14ac:dyDescent="0.2">
      <c r="A79" s="2">
        <v>18</v>
      </c>
      <c r="B79" s="2">
        <v>1</v>
      </c>
      <c r="C79" s="2">
        <v>54</v>
      </c>
      <c r="D79" s="2"/>
      <c r="E79" s="2" t="s">
        <v>162</v>
      </c>
      <c r="F79" s="2" t="s">
        <v>163</v>
      </c>
      <c r="G79" s="2" t="s">
        <v>164</v>
      </c>
      <c r="H79" s="2" t="s">
        <v>30</v>
      </c>
      <c r="I79" s="2">
        <f>I78*J79</f>
        <v>3</v>
      </c>
      <c r="J79" s="2">
        <v>0.375</v>
      </c>
      <c r="K79" s="2">
        <v>0.375</v>
      </c>
      <c r="L79" s="2"/>
      <c r="M79" s="2"/>
      <c r="N79" s="2"/>
      <c r="O79" s="2">
        <f t="shared" si="51"/>
        <v>3863.28</v>
      </c>
      <c r="P79" s="2">
        <f>ROUND(CQ79*I79,2)</f>
        <v>3863.28</v>
      </c>
      <c r="Q79" s="2">
        <f>ROUND(CR79*I79,2)</f>
        <v>0</v>
      </c>
      <c r="R79" s="2">
        <f>ROUND(CS79*I79,2)</f>
        <v>0</v>
      </c>
      <c r="S79" s="2">
        <f>ROUND(CT79*I79,2)</f>
        <v>0</v>
      </c>
      <c r="T79" s="2">
        <f t="shared" si="52"/>
        <v>0</v>
      </c>
      <c r="U79" s="2">
        <f>ROUND(CV79*I79,7)</f>
        <v>0</v>
      </c>
      <c r="V79" s="2">
        <f>ROUND(CW79*I79,7)</f>
        <v>0</v>
      </c>
      <c r="W79" s="2">
        <f t="shared" si="53"/>
        <v>0</v>
      </c>
      <c r="X79" s="2">
        <f t="shared" si="54"/>
        <v>0</v>
      </c>
      <c r="Y79" s="2">
        <f t="shared" si="55"/>
        <v>0</v>
      </c>
      <c r="Z79" s="2"/>
      <c r="AA79" s="2">
        <v>80308166</v>
      </c>
      <c r="AB79" s="2">
        <f t="shared" si="56"/>
        <v>1287.76</v>
      </c>
      <c r="AC79" s="2">
        <f>ROUND((ES79),6)</f>
        <v>1287.76</v>
      </c>
      <c r="AD79" s="2">
        <f>ROUND((((ET79)-(EU79))+AE79),6)</f>
        <v>0</v>
      </c>
      <c r="AE79" s="2">
        <f>ROUND((EU79),6)</f>
        <v>0</v>
      </c>
      <c r="AF79" s="2">
        <f>ROUND((EV79),6)</f>
        <v>0</v>
      </c>
      <c r="AG79" s="2">
        <f t="shared" si="57"/>
        <v>0</v>
      </c>
      <c r="AH79" s="2">
        <f>(EW79)</f>
        <v>0</v>
      </c>
      <c r="AI79" s="2">
        <f>(EX79)</f>
        <v>0</v>
      </c>
      <c r="AJ79" s="2">
        <f t="shared" si="58"/>
        <v>0</v>
      </c>
      <c r="AK79" s="2">
        <v>1287.76</v>
      </c>
      <c r="AL79" s="2">
        <v>1287.76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1</v>
      </c>
      <c r="AW79" s="2">
        <v>1</v>
      </c>
      <c r="AX79" s="2"/>
      <c r="AY79" s="2"/>
      <c r="AZ79" s="2">
        <v>1</v>
      </c>
      <c r="BA79" s="2">
        <v>1</v>
      </c>
      <c r="BB79" s="2">
        <v>1</v>
      </c>
      <c r="BC79" s="2">
        <v>1</v>
      </c>
      <c r="BD79" s="2" t="s">
        <v>3</v>
      </c>
      <c r="BE79" s="2" t="s">
        <v>3</v>
      </c>
      <c r="BF79" s="2" t="s">
        <v>3</v>
      </c>
      <c r="BG79" s="2" t="s">
        <v>3</v>
      </c>
      <c r="BH79" s="2">
        <v>3</v>
      </c>
      <c r="BI79" s="2">
        <v>3</v>
      </c>
      <c r="BJ79" s="2" t="s">
        <v>165</v>
      </c>
      <c r="BK79" s="2"/>
      <c r="BL79" s="2"/>
      <c r="BM79" s="2">
        <v>600001</v>
      </c>
      <c r="BN79" s="2">
        <v>0</v>
      </c>
      <c r="BO79" s="2" t="s">
        <v>3</v>
      </c>
      <c r="BP79" s="2">
        <v>0</v>
      </c>
      <c r="BQ79" s="2">
        <v>5</v>
      </c>
      <c r="BR79" s="2">
        <v>0</v>
      </c>
      <c r="BS79" s="2">
        <v>1</v>
      </c>
      <c r="BT79" s="2">
        <v>1</v>
      </c>
      <c r="BU79" s="2">
        <v>1</v>
      </c>
      <c r="BV79" s="2">
        <v>1</v>
      </c>
      <c r="BW79" s="2">
        <v>1</v>
      </c>
      <c r="BX79" s="2">
        <v>1</v>
      </c>
      <c r="BY79" s="2" t="s">
        <v>3</v>
      </c>
      <c r="BZ79" s="2">
        <v>127</v>
      </c>
      <c r="CA79" s="2">
        <v>72</v>
      </c>
      <c r="CB79" s="2" t="s">
        <v>3</v>
      </c>
      <c r="CC79" s="2"/>
      <c r="CD79" s="2"/>
      <c r="CE79" s="2">
        <v>0</v>
      </c>
      <c r="CF79" s="2">
        <v>0</v>
      </c>
      <c r="CG79" s="2">
        <v>0</v>
      </c>
      <c r="CH79" s="2"/>
      <c r="CI79" s="2"/>
      <c r="CJ79" s="2"/>
      <c r="CK79" s="2"/>
      <c r="CL79" s="2"/>
      <c r="CM79" s="2">
        <v>0</v>
      </c>
      <c r="CN79" s="2" t="s">
        <v>3</v>
      </c>
      <c r="CO79" s="2">
        <v>0</v>
      </c>
      <c r="CP79" s="2">
        <f t="shared" si="59"/>
        <v>3863.28</v>
      </c>
      <c r="CQ79" s="2">
        <f>ROUND(AL79*BC79,2)</f>
        <v>1287.76</v>
      </c>
      <c r="CR79" s="2">
        <f>ROUND(AM79*BB79,2)</f>
        <v>0</v>
      </c>
      <c r="CS79" s="2">
        <f>ROUND(AN79*BS79,2)</f>
        <v>0</v>
      </c>
      <c r="CT79" s="2">
        <f>ROUND(AO79*BA79,2)</f>
        <v>0</v>
      </c>
      <c r="CU79" s="2">
        <f t="shared" si="60"/>
        <v>0</v>
      </c>
      <c r="CV79" s="2">
        <f>AH79</f>
        <v>0</v>
      </c>
      <c r="CW79" s="2">
        <f>AI79</f>
        <v>0</v>
      </c>
      <c r="CX79" s="2">
        <f t="shared" si="61"/>
        <v>0</v>
      </c>
      <c r="CY79" s="2">
        <f>0</f>
        <v>0</v>
      </c>
      <c r="CZ79" s="2">
        <f>0</f>
        <v>0</v>
      </c>
      <c r="DA79" s="2"/>
      <c r="DB79" s="2"/>
      <c r="DC79" s="2" t="s">
        <v>3</v>
      </c>
      <c r="DD79" s="2" t="s">
        <v>3</v>
      </c>
      <c r="DE79" s="2" t="s">
        <v>3</v>
      </c>
      <c r="DF79" s="2" t="s">
        <v>3</v>
      </c>
      <c r="DG79" s="2" t="s">
        <v>3</v>
      </c>
      <c r="DH79" s="2" t="s">
        <v>3</v>
      </c>
      <c r="DI79" s="2" t="s">
        <v>3</v>
      </c>
      <c r="DJ79" s="2" t="s">
        <v>3</v>
      </c>
      <c r="DK79" s="2" t="s">
        <v>3</v>
      </c>
      <c r="DL79" s="2" t="s">
        <v>3</v>
      </c>
      <c r="DM79" s="2" t="s">
        <v>3</v>
      </c>
      <c r="DN79" s="2">
        <v>0</v>
      </c>
      <c r="DO79" s="2">
        <v>0</v>
      </c>
      <c r="DP79" s="2">
        <v>1</v>
      </c>
      <c r="DQ79" s="2">
        <v>1</v>
      </c>
      <c r="DR79" s="2"/>
      <c r="DS79" s="2"/>
      <c r="DT79" s="2"/>
      <c r="DU79" s="2">
        <v>1013</v>
      </c>
      <c r="DV79" s="2" t="s">
        <v>30</v>
      </c>
      <c r="DW79" s="2" t="s">
        <v>30</v>
      </c>
      <c r="DX79" s="2">
        <v>1</v>
      </c>
      <c r="DY79" s="2"/>
      <c r="DZ79" s="2" t="s">
        <v>3</v>
      </c>
      <c r="EA79" s="2" t="s">
        <v>3</v>
      </c>
      <c r="EB79" s="2" t="s">
        <v>3</v>
      </c>
      <c r="EC79" s="2" t="s">
        <v>3</v>
      </c>
      <c r="ED79" s="2"/>
      <c r="EE79" s="2">
        <v>77313027</v>
      </c>
      <c r="EF79" s="2">
        <v>5</v>
      </c>
      <c r="EG79" s="2" t="s">
        <v>166</v>
      </c>
      <c r="EH79" s="2">
        <v>0</v>
      </c>
      <c r="EI79" s="2" t="s">
        <v>3</v>
      </c>
      <c r="EJ79" s="2">
        <v>3</v>
      </c>
      <c r="EK79" s="2">
        <v>600001</v>
      </c>
      <c r="EL79" s="2" t="s">
        <v>167</v>
      </c>
      <c r="EM79" s="2" t="s">
        <v>168</v>
      </c>
      <c r="EN79" s="2"/>
      <c r="EO79" s="2" t="s">
        <v>3</v>
      </c>
      <c r="EP79" s="2"/>
      <c r="EQ79" s="2">
        <v>0</v>
      </c>
      <c r="ER79" s="2">
        <v>1287.76</v>
      </c>
      <c r="ES79" s="2">
        <v>1287.76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>
        <v>0</v>
      </c>
      <c r="FR79" s="2">
        <f>P79</f>
        <v>3863.28</v>
      </c>
      <c r="FS79" s="2">
        <v>0</v>
      </c>
      <c r="FT79" s="2"/>
      <c r="FU79" s="2"/>
      <c r="FV79" s="2"/>
      <c r="FW79" s="2"/>
      <c r="FX79" s="2">
        <v>127</v>
      </c>
      <c r="FY79" s="2">
        <v>72</v>
      </c>
      <c r="FZ79" s="2"/>
      <c r="GA79" s="2" t="s">
        <v>3</v>
      </c>
      <c r="GB79" s="2"/>
      <c r="GC79" s="2"/>
      <c r="GD79" s="2">
        <v>1</v>
      </c>
      <c r="GE79" s="2"/>
      <c r="GF79" s="2">
        <v>-1267788365</v>
      </c>
      <c r="GG79" s="2">
        <v>2</v>
      </c>
      <c r="GH79" s="2">
        <v>1</v>
      </c>
      <c r="GI79" s="2">
        <v>2</v>
      </c>
      <c r="GJ79" s="2">
        <v>0</v>
      </c>
      <c r="GK79" s="2">
        <v>0</v>
      </c>
      <c r="GL79" s="2">
        <f t="shared" si="62"/>
        <v>0</v>
      </c>
      <c r="GM79" s="2">
        <f t="shared" si="63"/>
        <v>3863.28</v>
      </c>
      <c r="GN79" s="2">
        <f t="shared" si="64"/>
        <v>0</v>
      </c>
      <c r="GO79" s="2">
        <f t="shared" si="65"/>
        <v>0</v>
      </c>
      <c r="GP79" s="2">
        <f t="shared" si="66"/>
        <v>0</v>
      </c>
      <c r="GQ79" s="2"/>
      <c r="GR79" s="2">
        <v>0</v>
      </c>
      <c r="GS79" s="2">
        <v>3</v>
      </c>
      <c r="GT79" s="2">
        <v>0</v>
      </c>
      <c r="GU79" s="2" t="s">
        <v>3</v>
      </c>
      <c r="GV79" s="2">
        <f t="shared" si="67"/>
        <v>0</v>
      </c>
      <c r="GW79" s="2">
        <v>1</v>
      </c>
      <c r="GX79" s="2">
        <f t="shared" si="68"/>
        <v>0</v>
      </c>
      <c r="GY79" s="2"/>
      <c r="GZ79" s="2"/>
      <c r="HA79" s="2">
        <v>0</v>
      </c>
      <c r="HB79" s="2">
        <v>0</v>
      </c>
      <c r="HC79" s="2">
        <f t="shared" si="69"/>
        <v>0</v>
      </c>
      <c r="HD79" s="2"/>
      <c r="HE79" s="2" t="s">
        <v>3</v>
      </c>
      <c r="HF79" s="2" t="s">
        <v>3</v>
      </c>
      <c r="HG79" s="2"/>
      <c r="HH79" s="2"/>
      <c r="HI79" s="2"/>
      <c r="HJ79" s="2"/>
      <c r="HK79" s="2"/>
      <c r="HL79" s="2"/>
      <c r="HM79" s="2" t="s">
        <v>3</v>
      </c>
      <c r="HN79" s="2" t="s">
        <v>3</v>
      </c>
      <c r="HO79" s="2" t="s">
        <v>3</v>
      </c>
      <c r="HP79" s="2" t="s">
        <v>3</v>
      </c>
      <c r="HQ79" s="2" t="s">
        <v>3</v>
      </c>
      <c r="HR79" s="2"/>
      <c r="HS79" s="2">
        <v>0</v>
      </c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>
        <v>0</v>
      </c>
      <c r="IL79" s="2"/>
      <c r="IM79" s="2"/>
      <c r="IN79" s="2"/>
      <c r="IO79" s="2"/>
      <c r="IP79" s="2"/>
      <c r="IQ79" s="2"/>
      <c r="IR79" s="2"/>
      <c r="IS79" s="2"/>
      <c r="IT79" s="2"/>
      <c r="IU79" s="2"/>
    </row>
    <row r="80" spans="1:255" x14ac:dyDescent="0.2">
      <c r="A80" s="2">
        <v>18</v>
      </c>
      <c r="B80" s="2">
        <v>1</v>
      </c>
      <c r="C80" s="2">
        <v>55</v>
      </c>
      <c r="D80" s="2"/>
      <c r="E80" s="2" t="s">
        <v>169</v>
      </c>
      <c r="F80" s="2" t="s">
        <v>170</v>
      </c>
      <c r="G80" s="2" t="s">
        <v>171</v>
      </c>
      <c r="H80" s="2" t="s">
        <v>90</v>
      </c>
      <c r="I80" s="2">
        <f>I78*J80</f>
        <v>5</v>
      </c>
      <c r="J80" s="2">
        <v>0.625</v>
      </c>
      <c r="K80" s="2">
        <v>0.625</v>
      </c>
      <c r="L80" s="2"/>
      <c r="M80" s="2"/>
      <c r="N80" s="2"/>
      <c r="O80" s="2">
        <f t="shared" si="51"/>
        <v>3205.75</v>
      </c>
      <c r="P80" s="2">
        <f>ROUND(CQ80*I80,2)</f>
        <v>3205.75</v>
      </c>
      <c r="Q80" s="2">
        <f>ROUND(CR80*I80,2)</f>
        <v>0</v>
      </c>
      <c r="R80" s="2">
        <f>ROUND(CS80*I80,2)</f>
        <v>0</v>
      </c>
      <c r="S80" s="2">
        <f>ROUND(CT80*I80,2)</f>
        <v>0</v>
      </c>
      <c r="T80" s="2">
        <f t="shared" si="52"/>
        <v>0</v>
      </c>
      <c r="U80" s="2">
        <f>ROUND(CV80*I80,7)</f>
        <v>0</v>
      </c>
      <c r="V80" s="2">
        <f>ROUND(CW80*I80,7)</f>
        <v>0</v>
      </c>
      <c r="W80" s="2">
        <f t="shared" si="53"/>
        <v>0</v>
      </c>
      <c r="X80" s="2">
        <f t="shared" si="54"/>
        <v>0</v>
      </c>
      <c r="Y80" s="2">
        <f t="shared" si="55"/>
        <v>0</v>
      </c>
      <c r="Z80" s="2"/>
      <c r="AA80" s="2">
        <v>80308166</v>
      </c>
      <c r="AB80" s="2">
        <f t="shared" si="56"/>
        <v>641.15</v>
      </c>
      <c r="AC80" s="2">
        <f>ROUND((ES80),6)</f>
        <v>641.15</v>
      </c>
      <c r="AD80" s="2">
        <f>ROUND((((ET80)-(EU80))+AE80),6)</f>
        <v>0</v>
      </c>
      <c r="AE80" s="2">
        <f>ROUND((EU80),6)</f>
        <v>0</v>
      </c>
      <c r="AF80" s="2">
        <f>ROUND((EV80),6)</f>
        <v>0</v>
      </c>
      <c r="AG80" s="2">
        <f t="shared" si="57"/>
        <v>0</v>
      </c>
      <c r="AH80" s="2">
        <f>(EW80)</f>
        <v>0</v>
      </c>
      <c r="AI80" s="2">
        <f>(EX80)</f>
        <v>0</v>
      </c>
      <c r="AJ80" s="2">
        <f t="shared" si="58"/>
        <v>0</v>
      </c>
      <c r="AK80" s="2">
        <v>641.15</v>
      </c>
      <c r="AL80" s="2">
        <v>641.15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1</v>
      </c>
      <c r="AW80" s="2">
        <v>1</v>
      </c>
      <c r="AX80" s="2"/>
      <c r="AY80" s="2"/>
      <c r="AZ80" s="2">
        <v>1</v>
      </c>
      <c r="BA80" s="2">
        <v>1</v>
      </c>
      <c r="BB80" s="2">
        <v>1</v>
      </c>
      <c r="BC80" s="2">
        <v>1</v>
      </c>
      <c r="BD80" s="2" t="s">
        <v>3</v>
      </c>
      <c r="BE80" s="2" t="s">
        <v>3</v>
      </c>
      <c r="BF80" s="2" t="s">
        <v>3</v>
      </c>
      <c r="BG80" s="2" t="s">
        <v>3</v>
      </c>
      <c r="BH80" s="2">
        <v>3</v>
      </c>
      <c r="BI80" s="2">
        <v>3</v>
      </c>
      <c r="BJ80" s="2" t="s">
        <v>172</v>
      </c>
      <c r="BK80" s="2"/>
      <c r="BL80" s="2"/>
      <c r="BM80" s="2">
        <v>600001</v>
      </c>
      <c r="BN80" s="2">
        <v>0</v>
      </c>
      <c r="BO80" s="2" t="s">
        <v>3</v>
      </c>
      <c r="BP80" s="2">
        <v>0</v>
      </c>
      <c r="BQ80" s="2">
        <v>5</v>
      </c>
      <c r="BR80" s="2">
        <v>0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 t="s">
        <v>3</v>
      </c>
      <c r="BZ80" s="2">
        <v>127</v>
      </c>
      <c r="CA80" s="2">
        <v>72</v>
      </c>
      <c r="CB80" s="2" t="s">
        <v>3</v>
      </c>
      <c r="CC80" s="2"/>
      <c r="CD80" s="2"/>
      <c r="CE80" s="2">
        <v>0</v>
      </c>
      <c r="CF80" s="2">
        <v>0</v>
      </c>
      <c r="CG80" s="2">
        <v>0</v>
      </c>
      <c r="CH80" s="2"/>
      <c r="CI80" s="2"/>
      <c r="CJ80" s="2"/>
      <c r="CK80" s="2"/>
      <c r="CL80" s="2"/>
      <c r="CM80" s="2">
        <v>0</v>
      </c>
      <c r="CN80" s="2" t="s">
        <v>3</v>
      </c>
      <c r="CO80" s="2">
        <v>0</v>
      </c>
      <c r="CP80" s="2">
        <f t="shared" si="59"/>
        <v>3205.75</v>
      </c>
      <c r="CQ80" s="2">
        <f>ROUND(AL80*BC80,2)</f>
        <v>641.15</v>
      </c>
      <c r="CR80" s="2">
        <f>ROUND(AM80*BB80,2)</f>
        <v>0</v>
      </c>
      <c r="CS80" s="2">
        <f>ROUND(AN80*BS80,2)</f>
        <v>0</v>
      </c>
      <c r="CT80" s="2">
        <f>ROUND(AO80*BA80,2)</f>
        <v>0</v>
      </c>
      <c r="CU80" s="2">
        <f t="shared" si="60"/>
        <v>0</v>
      </c>
      <c r="CV80" s="2">
        <f>AH80</f>
        <v>0</v>
      </c>
      <c r="CW80" s="2">
        <f>AI80</f>
        <v>0</v>
      </c>
      <c r="CX80" s="2">
        <f t="shared" si="61"/>
        <v>0</v>
      </c>
      <c r="CY80" s="2">
        <f>0</f>
        <v>0</v>
      </c>
      <c r="CZ80" s="2">
        <f>0</f>
        <v>0</v>
      </c>
      <c r="DA80" s="2"/>
      <c r="DB80" s="2"/>
      <c r="DC80" s="2" t="s">
        <v>3</v>
      </c>
      <c r="DD80" s="2" t="s">
        <v>3</v>
      </c>
      <c r="DE80" s="2" t="s">
        <v>3</v>
      </c>
      <c r="DF80" s="2" t="s">
        <v>3</v>
      </c>
      <c r="DG80" s="2" t="s">
        <v>3</v>
      </c>
      <c r="DH80" s="2" t="s">
        <v>3</v>
      </c>
      <c r="DI80" s="2" t="s">
        <v>3</v>
      </c>
      <c r="DJ80" s="2" t="s">
        <v>3</v>
      </c>
      <c r="DK80" s="2" t="s">
        <v>3</v>
      </c>
      <c r="DL80" s="2" t="s">
        <v>3</v>
      </c>
      <c r="DM80" s="2" t="s">
        <v>3</v>
      </c>
      <c r="DN80" s="2">
        <v>0</v>
      </c>
      <c r="DO80" s="2">
        <v>0</v>
      </c>
      <c r="DP80" s="2">
        <v>1</v>
      </c>
      <c r="DQ80" s="2">
        <v>1</v>
      </c>
      <c r="DR80" s="2"/>
      <c r="DS80" s="2"/>
      <c r="DT80" s="2"/>
      <c r="DU80" s="2">
        <v>1013</v>
      </c>
      <c r="DV80" s="2" t="s">
        <v>90</v>
      </c>
      <c r="DW80" s="2" t="s">
        <v>90</v>
      </c>
      <c r="DX80" s="2">
        <v>1</v>
      </c>
      <c r="DY80" s="2"/>
      <c r="DZ80" s="2" t="s">
        <v>3</v>
      </c>
      <c r="EA80" s="2" t="s">
        <v>3</v>
      </c>
      <c r="EB80" s="2" t="s">
        <v>3</v>
      </c>
      <c r="EC80" s="2" t="s">
        <v>3</v>
      </c>
      <c r="ED80" s="2"/>
      <c r="EE80" s="2">
        <v>77313027</v>
      </c>
      <c r="EF80" s="2">
        <v>5</v>
      </c>
      <c r="EG80" s="2" t="s">
        <v>166</v>
      </c>
      <c r="EH80" s="2">
        <v>0</v>
      </c>
      <c r="EI80" s="2" t="s">
        <v>3</v>
      </c>
      <c r="EJ80" s="2">
        <v>3</v>
      </c>
      <c r="EK80" s="2">
        <v>600001</v>
      </c>
      <c r="EL80" s="2" t="s">
        <v>167</v>
      </c>
      <c r="EM80" s="2" t="s">
        <v>168</v>
      </c>
      <c r="EN80" s="2"/>
      <c r="EO80" s="2" t="s">
        <v>3</v>
      </c>
      <c r="EP80" s="2"/>
      <c r="EQ80" s="2">
        <v>0</v>
      </c>
      <c r="ER80" s="2">
        <v>641.15</v>
      </c>
      <c r="ES80" s="2">
        <v>641.15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>
        <v>0</v>
      </c>
      <c r="FR80" s="2">
        <f>P80</f>
        <v>3205.75</v>
      </c>
      <c r="FS80" s="2">
        <v>0</v>
      </c>
      <c r="FT80" s="2"/>
      <c r="FU80" s="2"/>
      <c r="FV80" s="2"/>
      <c r="FW80" s="2"/>
      <c r="FX80" s="2">
        <v>127</v>
      </c>
      <c r="FY80" s="2">
        <v>72</v>
      </c>
      <c r="FZ80" s="2"/>
      <c r="GA80" s="2" t="s">
        <v>3</v>
      </c>
      <c r="GB80" s="2"/>
      <c r="GC80" s="2"/>
      <c r="GD80" s="2">
        <v>1</v>
      </c>
      <c r="GE80" s="2"/>
      <c r="GF80" s="2">
        <v>-186984694</v>
      </c>
      <c r="GG80" s="2">
        <v>2</v>
      </c>
      <c r="GH80" s="2">
        <v>1</v>
      </c>
      <c r="GI80" s="2">
        <v>2</v>
      </c>
      <c r="GJ80" s="2">
        <v>0</v>
      </c>
      <c r="GK80" s="2">
        <v>0</v>
      </c>
      <c r="GL80" s="2">
        <f t="shared" si="62"/>
        <v>0</v>
      </c>
      <c r="GM80" s="2">
        <f t="shared" si="63"/>
        <v>3205.75</v>
      </c>
      <c r="GN80" s="2">
        <f t="shared" si="64"/>
        <v>0</v>
      </c>
      <c r="GO80" s="2">
        <f t="shared" si="65"/>
        <v>0</v>
      </c>
      <c r="GP80" s="2">
        <f t="shared" si="66"/>
        <v>0</v>
      </c>
      <c r="GQ80" s="2"/>
      <c r="GR80" s="2">
        <v>0</v>
      </c>
      <c r="GS80" s="2">
        <v>3</v>
      </c>
      <c r="GT80" s="2">
        <v>0</v>
      </c>
      <c r="GU80" s="2" t="s">
        <v>3</v>
      </c>
      <c r="GV80" s="2">
        <f t="shared" si="67"/>
        <v>0</v>
      </c>
      <c r="GW80" s="2">
        <v>1</v>
      </c>
      <c r="GX80" s="2">
        <f t="shared" si="68"/>
        <v>0</v>
      </c>
      <c r="GY80" s="2"/>
      <c r="GZ80" s="2"/>
      <c r="HA80" s="2">
        <v>0</v>
      </c>
      <c r="HB80" s="2">
        <v>0</v>
      </c>
      <c r="HC80" s="2">
        <f t="shared" si="69"/>
        <v>0</v>
      </c>
      <c r="HD80" s="2"/>
      <c r="HE80" s="2" t="s">
        <v>3</v>
      </c>
      <c r="HF80" s="2" t="s">
        <v>3</v>
      </c>
      <c r="HG80" s="2"/>
      <c r="HH80" s="2"/>
      <c r="HI80" s="2"/>
      <c r="HJ80" s="2"/>
      <c r="HK80" s="2"/>
      <c r="HL80" s="2"/>
      <c r="HM80" s="2" t="s">
        <v>3</v>
      </c>
      <c r="HN80" s="2" t="s">
        <v>3</v>
      </c>
      <c r="HO80" s="2" t="s">
        <v>3</v>
      </c>
      <c r="HP80" s="2" t="s">
        <v>3</v>
      </c>
      <c r="HQ80" s="2" t="s">
        <v>3</v>
      </c>
      <c r="HR80" s="2"/>
      <c r="HS80" s="2">
        <v>0</v>
      </c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>
        <v>0</v>
      </c>
      <c r="IL80" s="2"/>
      <c r="IM80" s="2"/>
      <c r="IN80" s="2"/>
      <c r="IO80" s="2"/>
      <c r="IP80" s="2"/>
      <c r="IQ80" s="2"/>
      <c r="IR80" s="2"/>
      <c r="IS80" s="2"/>
      <c r="IT80" s="2"/>
      <c r="IU80" s="2"/>
    </row>
    <row r="81" spans="1:255" x14ac:dyDescent="0.2">
      <c r="A81" s="2">
        <v>17</v>
      </c>
      <c r="B81" s="2">
        <v>1</v>
      </c>
      <c r="C81" s="2">
        <f>ROW(SmtRes!A56)</f>
        <v>56</v>
      </c>
      <c r="D81" s="2">
        <f>ROW(EtalonRes!A53)</f>
        <v>53</v>
      </c>
      <c r="E81" s="2" t="s">
        <v>173</v>
      </c>
      <c r="F81" s="2" t="s">
        <v>174</v>
      </c>
      <c r="G81" s="2" t="s">
        <v>175</v>
      </c>
      <c r="H81" s="2" t="s">
        <v>19</v>
      </c>
      <c r="I81" s="2">
        <f>ROUND(5/100,7)</f>
        <v>0.05</v>
      </c>
      <c r="J81" s="2">
        <v>0</v>
      </c>
      <c r="K81" s="2">
        <f>ROUND(5/100,7)</f>
        <v>0.05</v>
      </c>
      <c r="L81" s="2"/>
      <c r="M81" s="2"/>
      <c r="N81" s="2"/>
      <c r="O81" s="2">
        <f t="shared" si="51"/>
        <v>74.06</v>
      </c>
      <c r="P81" s="2">
        <f>SUMIF(SmtRes!AQ56:'SmtRes'!AQ56,"=1",SmtRes!DF56:'SmtRes'!DF56)</f>
        <v>0</v>
      </c>
      <c r="Q81" s="2">
        <f>SUMIF(SmtRes!AQ56:'SmtRes'!AQ56,"=1",SmtRes!DG56:'SmtRes'!DG56)</f>
        <v>0</v>
      </c>
      <c r="R81" s="2">
        <f>SUMIF(SmtRes!AQ56:'SmtRes'!AQ56,"=1",SmtRes!DH56:'SmtRes'!DH56)</f>
        <v>0</v>
      </c>
      <c r="S81" s="2">
        <f>SUMIF(SmtRes!AQ56:'SmtRes'!AQ56,"=1",SmtRes!DI56:'SmtRes'!DI56)</f>
        <v>74.06</v>
      </c>
      <c r="T81" s="2">
        <f t="shared" si="52"/>
        <v>0</v>
      </c>
      <c r="U81" s="2">
        <f>SUMIF(SmtRes!AQ56:'SmtRes'!AQ56,"=1",SmtRes!CV56:'SmtRes'!CV56)</f>
        <v>0.11550000000000001</v>
      </c>
      <c r="V81" s="2">
        <f>SUMIF(SmtRes!AQ56:'SmtRes'!AQ56,"=1",SmtRes!CW56:'SmtRes'!CW56)</f>
        <v>0</v>
      </c>
      <c r="W81" s="2">
        <f t="shared" si="53"/>
        <v>0</v>
      </c>
      <c r="X81" s="2">
        <f t="shared" si="54"/>
        <v>64.430000000000007</v>
      </c>
      <c r="Y81" s="2">
        <f t="shared" si="55"/>
        <v>32.590000000000003</v>
      </c>
      <c r="Z81" s="2"/>
      <c r="AA81" s="2">
        <v>80308166</v>
      </c>
      <c r="AB81" s="2">
        <f t="shared" si="56"/>
        <v>1481.2182</v>
      </c>
      <c r="AC81" s="2">
        <f>ROUND((0),6)</f>
        <v>0</v>
      </c>
      <c r="AD81" s="2">
        <f>ROUND((((0)-(0))+AE81),6)</f>
        <v>0</v>
      </c>
      <c r="AE81" s="2">
        <f>ROUND((0),6)</f>
        <v>0</v>
      </c>
      <c r="AF81" s="2">
        <f>ROUND((SUM(SmtRes!BT56:'SmtRes'!BT56)),6)</f>
        <v>1481.2182</v>
      </c>
      <c r="AG81" s="2">
        <f t="shared" si="57"/>
        <v>0</v>
      </c>
      <c r="AH81" s="2">
        <f>(SUM(SmtRes!BU56:'SmtRes'!BU56))</f>
        <v>2.31</v>
      </c>
      <c r="AI81" s="2">
        <f>(0)</f>
        <v>0</v>
      </c>
      <c r="AJ81" s="2">
        <f t="shared" si="58"/>
        <v>0</v>
      </c>
      <c r="AK81" s="2">
        <v>1481.2182</v>
      </c>
      <c r="AL81" s="2">
        <v>0</v>
      </c>
      <c r="AM81" s="2">
        <v>0</v>
      </c>
      <c r="AN81" s="2">
        <v>0</v>
      </c>
      <c r="AO81" s="2">
        <v>1481.2182</v>
      </c>
      <c r="AP81" s="2">
        <v>0</v>
      </c>
      <c r="AQ81" s="2">
        <v>2.31</v>
      </c>
      <c r="AR81" s="2">
        <v>0</v>
      </c>
      <c r="AS81" s="2">
        <v>0</v>
      </c>
      <c r="AT81" s="2">
        <v>87</v>
      </c>
      <c r="AU81" s="2">
        <v>44</v>
      </c>
      <c r="AV81" s="2">
        <v>1</v>
      </c>
      <c r="AW81" s="2">
        <v>1</v>
      </c>
      <c r="AX81" s="2"/>
      <c r="AY81" s="2"/>
      <c r="AZ81" s="2">
        <v>1</v>
      </c>
      <c r="BA81" s="2">
        <v>1</v>
      </c>
      <c r="BB81" s="2">
        <v>1</v>
      </c>
      <c r="BC81" s="2">
        <v>1</v>
      </c>
      <c r="BD81" s="2" t="s">
        <v>3</v>
      </c>
      <c r="BE81" s="2" t="s">
        <v>3</v>
      </c>
      <c r="BF81" s="2" t="s">
        <v>3</v>
      </c>
      <c r="BG81" s="2" t="s">
        <v>3</v>
      </c>
      <c r="BH81" s="2">
        <v>0</v>
      </c>
      <c r="BI81" s="2">
        <v>1</v>
      </c>
      <c r="BJ81" s="2" t="s">
        <v>176</v>
      </c>
      <c r="BK81" s="2"/>
      <c r="BL81" s="2"/>
      <c r="BM81" s="2">
        <v>65001</v>
      </c>
      <c r="BN81" s="2">
        <v>0</v>
      </c>
      <c r="BO81" s="2" t="s">
        <v>3</v>
      </c>
      <c r="BP81" s="2">
        <v>0</v>
      </c>
      <c r="BQ81" s="2">
        <v>6</v>
      </c>
      <c r="BR81" s="2">
        <v>0</v>
      </c>
      <c r="BS81" s="2">
        <v>1</v>
      </c>
      <c r="BT81" s="2">
        <v>1</v>
      </c>
      <c r="BU81" s="2">
        <v>1</v>
      </c>
      <c r="BV81" s="2">
        <v>1</v>
      </c>
      <c r="BW81" s="2">
        <v>1</v>
      </c>
      <c r="BX81" s="2">
        <v>1</v>
      </c>
      <c r="BY81" s="2" t="s">
        <v>3</v>
      </c>
      <c r="BZ81" s="2">
        <v>87</v>
      </c>
      <c r="CA81" s="2">
        <v>44</v>
      </c>
      <c r="CB81" s="2" t="s">
        <v>3</v>
      </c>
      <c r="CC81" s="2"/>
      <c r="CD81" s="2"/>
      <c r="CE81" s="2">
        <v>0</v>
      </c>
      <c r="CF81" s="2">
        <v>0</v>
      </c>
      <c r="CG81" s="2">
        <v>0</v>
      </c>
      <c r="CH81" s="2"/>
      <c r="CI81" s="2"/>
      <c r="CJ81" s="2"/>
      <c r="CK81" s="2"/>
      <c r="CL81" s="2"/>
      <c r="CM81" s="2">
        <v>0</v>
      </c>
      <c r="CN81" s="2" t="s">
        <v>3</v>
      </c>
      <c r="CO81" s="2">
        <v>0</v>
      </c>
      <c r="CP81" s="2">
        <f t="shared" si="59"/>
        <v>74.06</v>
      </c>
      <c r="CQ81" s="2">
        <f>SUMIF(SmtRes!AQ56:'SmtRes'!AQ56,"=1",SmtRes!AA56:'SmtRes'!AA56)</f>
        <v>0</v>
      </c>
      <c r="CR81" s="2">
        <f>SUMIF(SmtRes!AQ56:'SmtRes'!AQ56,"=1",SmtRes!AB56:'SmtRes'!AB56)</f>
        <v>0</v>
      </c>
      <c r="CS81" s="2">
        <f>SUMIF(SmtRes!AQ56:'SmtRes'!AQ56,"=1",SmtRes!AC56:'SmtRes'!AC56)</f>
        <v>0</v>
      </c>
      <c r="CT81" s="2">
        <f>SUMIF(SmtRes!AQ56:'SmtRes'!AQ56,"=1",SmtRes!AD56:'SmtRes'!AD56)</f>
        <v>641.22</v>
      </c>
      <c r="CU81" s="2">
        <f t="shared" si="60"/>
        <v>0</v>
      </c>
      <c r="CV81" s="2">
        <f>SUMIF(SmtRes!AQ56:'SmtRes'!AQ56,"=1",SmtRes!BU56:'SmtRes'!BU56)</f>
        <v>2.31</v>
      </c>
      <c r="CW81" s="2">
        <f>SUMIF(SmtRes!AQ56:'SmtRes'!AQ56,"=1",SmtRes!BV56:'SmtRes'!BV56)</f>
        <v>0</v>
      </c>
      <c r="CX81" s="2">
        <f t="shared" si="61"/>
        <v>0</v>
      </c>
      <c r="CY81" s="2">
        <f>(((S81+R81)*AT81)/100)</f>
        <v>64.432200000000009</v>
      </c>
      <c r="CZ81" s="2">
        <f>(((S81+R81)*AU81)/100)</f>
        <v>32.586400000000005</v>
      </c>
      <c r="DA81" s="2"/>
      <c r="DB81" s="2"/>
      <c r="DC81" s="2" t="s">
        <v>3</v>
      </c>
      <c r="DD81" s="2" t="s">
        <v>3</v>
      </c>
      <c r="DE81" s="2" t="s">
        <v>3</v>
      </c>
      <c r="DF81" s="2" t="s">
        <v>3</v>
      </c>
      <c r="DG81" s="2" t="s">
        <v>3</v>
      </c>
      <c r="DH81" s="2" t="s">
        <v>3</v>
      </c>
      <c r="DI81" s="2" t="s">
        <v>3</v>
      </c>
      <c r="DJ81" s="2" t="s">
        <v>3</v>
      </c>
      <c r="DK81" s="2" t="s">
        <v>3</v>
      </c>
      <c r="DL81" s="2" t="s">
        <v>3</v>
      </c>
      <c r="DM81" s="2" t="s">
        <v>3</v>
      </c>
      <c r="DN81" s="2">
        <v>0</v>
      </c>
      <c r="DO81" s="2">
        <v>0</v>
      </c>
      <c r="DP81" s="2">
        <v>1</v>
      </c>
      <c r="DQ81" s="2">
        <v>1</v>
      </c>
      <c r="DR81" s="2"/>
      <c r="DS81" s="2"/>
      <c r="DT81" s="2"/>
      <c r="DU81" s="2">
        <v>1013</v>
      </c>
      <c r="DV81" s="2" t="s">
        <v>19</v>
      </c>
      <c r="DW81" s="2" t="s">
        <v>19</v>
      </c>
      <c r="DX81" s="2">
        <v>1</v>
      </c>
      <c r="DY81" s="2"/>
      <c r="DZ81" s="2" t="s">
        <v>3</v>
      </c>
      <c r="EA81" s="2" t="s">
        <v>3</v>
      </c>
      <c r="EB81" s="2" t="s">
        <v>3</v>
      </c>
      <c r="EC81" s="2" t="s">
        <v>3</v>
      </c>
      <c r="ED81" s="2"/>
      <c r="EE81" s="2">
        <v>77313178</v>
      </c>
      <c r="EF81" s="2">
        <v>6</v>
      </c>
      <c r="EG81" s="2" t="s">
        <v>21</v>
      </c>
      <c r="EH81" s="2">
        <v>99</v>
      </c>
      <c r="EI81" s="2" t="s">
        <v>22</v>
      </c>
      <c r="EJ81" s="2">
        <v>1</v>
      </c>
      <c r="EK81" s="2">
        <v>65001</v>
      </c>
      <c r="EL81" s="2" t="s">
        <v>40</v>
      </c>
      <c r="EM81" s="2" t="s">
        <v>24</v>
      </c>
      <c r="EN81" s="2"/>
      <c r="EO81" s="2" t="s">
        <v>3</v>
      </c>
      <c r="EP81" s="2"/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2.31</v>
      </c>
      <c r="EX81" s="2">
        <v>0</v>
      </c>
      <c r="EY81" s="2">
        <v>0</v>
      </c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>
        <v>0</v>
      </c>
      <c r="FR81" s="2">
        <v>0</v>
      </c>
      <c r="FS81" s="2">
        <v>0</v>
      </c>
      <c r="FT81" s="2"/>
      <c r="FU81" s="2"/>
      <c r="FV81" s="2"/>
      <c r="FW81" s="2"/>
      <c r="FX81" s="2">
        <v>87</v>
      </c>
      <c r="FY81" s="2">
        <v>44</v>
      </c>
      <c r="FZ81" s="2"/>
      <c r="GA81" s="2" t="s">
        <v>3</v>
      </c>
      <c r="GB81" s="2"/>
      <c r="GC81" s="2"/>
      <c r="GD81" s="2">
        <v>1</v>
      </c>
      <c r="GE81" s="2"/>
      <c r="GF81" s="2">
        <v>-1408831870</v>
      </c>
      <c r="GG81" s="2">
        <v>2</v>
      </c>
      <c r="GH81" s="2">
        <v>1</v>
      </c>
      <c r="GI81" s="2">
        <v>-2</v>
      </c>
      <c r="GJ81" s="2">
        <v>0</v>
      </c>
      <c r="GK81" s="2">
        <v>0</v>
      </c>
      <c r="GL81" s="2">
        <f t="shared" si="62"/>
        <v>0</v>
      </c>
      <c r="GM81" s="2">
        <f t="shared" si="63"/>
        <v>171.08</v>
      </c>
      <c r="GN81" s="2">
        <f t="shared" si="64"/>
        <v>171.08</v>
      </c>
      <c r="GO81" s="2">
        <f t="shared" si="65"/>
        <v>0</v>
      </c>
      <c r="GP81" s="2">
        <f t="shared" si="66"/>
        <v>0</v>
      </c>
      <c r="GQ81" s="2"/>
      <c r="GR81" s="2">
        <v>0</v>
      </c>
      <c r="GS81" s="2">
        <v>3</v>
      </c>
      <c r="GT81" s="2">
        <v>0</v>
      </c>
      <c r="GU81" s="2" t="s">
        <v>3</v>
      </c>
      <c r="GV81" s="2">
        <f t="shared" si="67"/>
        <v>0</v>
      </c>
      <c r="GW81" s="2">
        <v>1</v>
      </c>
      <c r="GX81" s="2">
        <f t="shared" si="68"/>
        <v>0</v>
      </c>
      <c r="GY81" s="2"/>
      <c r="GZ81" s="2"/>
      <c r="HA81" s="2">
        <v>0</v>
      </c>
      <c r="HB81" s="2">
        <v>0</v>
      </c>
      <c r="HC81" s="2">
        <f t="shared" si="69"/>
        <v>0</v>
      </c>
      <c r="HD81" s="2"/>
      <c r="HE81" s="2" t="s">
        <v>3</v>
      </c>
      <c r="HF81" s="2" t="s">
        <v>3</v>
      </c>
      <c r="HG81" s="2"/>
      <c r="HH81" s="2"/>
      <c r="HI81" s="2"/>
      <c r="HJ81" s="2"/>
      <c r="HK81" s="2"/>
      <c r="HL81" s="2"/>
      <c r="HM81" s="2" t="s">
        <v>3</v>
      </c>
      <c r="HN81" s="2" t="s">
        <v>41</v>
      </c>
      <c r="HO81" s="2" t="s">
        <v>42</v>
      </c>
      <c r="HP81" s="2" t="s">
        <v>40</v>
      </c>
      <c r="HQ81" s="2" t="s">
        <v>40</v>
      </c>
      <c r="HR81" s="2"/>
      <c r="HS81" s="2">
        <v>0</v>
      </c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>
        <v>0</v>
      </c>
      <c r="IL81" s="2"/>
      <c r="IM81" s="2"/>
      <c r="IN81" s="2"/>
      <c r="IO81" s="2"/>
      <c r="IP81" s="2"/>
      <c r="IQ81" s="2"/>
      <c r="IR81" s="2"/>
      <c r="IS81" s="2"/>
      <c r="IT81" s="2"/>
      <c r="IU81" s="2"/>
    </row>
    <row r="82" spans="1:255" ht="409.5" x14ac:dyDescent="0.2">
      <c r="A82" s="2">
        <v>17</v>
      </c>
      <c r="B82" s="2">
        <v>1</v>
      </c>
      <c r="C82" s="2">
        <f>ROW(SmtRes!A61)</f>
        <v>61</v>
      </c>
      <c r="D82" s="2">
        <f>ROW(EtalonRes!A57)</f>
        <v>57</v>
      </c>
      <c r="E82" s="2" t="s">
        <v>177</v>
      </c>
      <c r="F82" s="2" t="s">
        <v>178</v>
      </c>
      <c r="G82" s="2" t="s">
        <v>179</v>
      </c>
      <c r="H82" s="2" t="s">
        <v>90</v>
      </c>
      <c r="I82" s="2">
        <v>6</v>
      </c>
      <c r="J82" s="2">
        <v>0</v>
      </c>
      <c r="K82" s="2">
        <v>6</v>
      </c>
      <c r="L82" s="2"/>
      <c r="M82" s="2"/>
      <c r="N82" s="2"/>
      <c r="O82" s="2">
        <f t="shared" si="51"/>
        <v>1156.82</v>
      </c>
      <c r="P82" s="2">
        <f>SUMIF(SmtRes!AQ57:'SmtRes'!AQ61,"=1",SmtRes!DF57:'SmtRes'!DF61)</f>
        <v>28.040000000000003</v>
      </c>
      <c r="Q82" s="2">
        <f>SUMIF(SmtRes!AQ57:'SmtRes'!AQ61,"=1",SmtRes!DG57:'SmtRes'!DG61)</f>
        <v>0</v>
      </c>
      <c r="R82" s="2">
        <f>SUMIF(SmtRes!AQ57:'SmtRes'!AQ61,"=1",SmtRes!DH57:'SmtRes'!DH61)</f>
        <v>0</v>
      </c>
      <c r="S82" s="2">
        <f>SUMIF(SmtRes!AQ57:'SmtRes'!AQ61,"=1",SmtRes!DI57:'SmtRes'!DI61)</f>
        <v>1128.78</v>
      </c>
      <c r="T82" s="2">
        <f t="shared" si="52"/>
        <v>0</v>
      </c>
      <c r="U82" s="2">
        <f>SUMIF(SmtRes!AQ57:'SmtRes'!AQ61,"=1",SmtRes!CV57:'SmtRes'!CV61)</f>
        <v>1.518</v>
      </c>
      <c r="V82" s="2">
        <f>SUMIF(SmtRes!AQ57:'SmtRes'!AQ61,"=1",SmtRes!CW57:'SmtRes'!CW61)</f>
        <v>0</v>
      </c>
      <c r="W82" s="2">
        <f t="shared" si="53"/>
        <v>0</v>
      </c>
      <c r="X82" s="2">
        <f t="shared" si="54"/>
        <v>1229.24</v>
      </c>
      <c r="Y82" s="2">
        <f t="shared" si="55"/>
        <v>690.81</v>
      </c>
      <c r="Z82" s="2"/>
      <c r="AA82" s="2">
        <v>80308166</v>
      </c>
      <c r="AB82" s="2">
        <f t="shared" si="56"/>
        <v>191.619372</v>
      </c>
      <c r="AC82" s="2">
        <f>ROUND((SUM(SmtRes!BQ57:'SmtRes'!BQ61)),6)</f>
        <v>3.488572</v>
      </c>
      <c r="AD82" s="2">
        <f>ROUND((((0)-(0))+AE82),6)</f>
        <v>0</v>
      </c>
      <c r="AE82" s="2">
        <f>ROUND((0),6)</f>
        <v>0</v>
      </c>
      <c r="AF82" s="2">
        <f>ROUND((SUM(SmtRes!BT57:'SmtRes'!BT61)),6)</f>
        <v>188.13079999999999</v>
      </c>
      <c r="AG82" s="2">
        <f t="shared" si="57"/>
        <v>0</v>
      </c>
      <c r="AH82" s="2">
        <f>(SUM(SmtRes!BU57:'SmtRes'!BU61))</f>
        <v>0.253</v>
      </c>
      <c r="AI82" s="2">
        <f>(0)</f>
        <v>0</v>
      </c>
      <c r="AJ82" s="2">
        <f t="shared" si="58"/>
        <v>0</v>
      </c>
      <c r="AK82" s="2">
        <v>167.08057210000001</v>
      </c>
      <c r="AL82" s="2">
        <v>3.4885720999999998</v>
      </c>
      <c r="AM82" s="2">
        <v>0</v>
      </c>
      <c r="AN82" s="2">
        <v>0</v>
      </c>
      <c r="AO82" s="2">
        <v>163.59200000000001</v>
      </c>
      <c r="AP82" s="2">
        <v>0</v>
      </c>
      <c r="AQ82" s="2">
        <v>0.22</v>
      </c>
      <c r="AR82" s="2">
        <v>0</v>
      </c>
      <c r="AS82" s="2">
        <v>0</v>
      </c>
      <c r="AT82" s="2">
        <v>108.9</v>
      </c>
      <c r="AU82" s="2">
        <v>61.2</v>
      </c>
      <c r="AV82" s="2">
        <v>1</v>
      </c>
      <c r="AW82" s="2">
        <v>1</v>
      </c>
      <c r="AX82" s="2"/>
      <c r="AY82" s="2"/>
      <c r="AZ82" s="2">
        <v>1</v>
      </c>
      <c r="BA82" s="2">
        <v>1</v>
      </c>
      <c r="BB82" s="2">
        <v>1</v>
      </c>
      <c r="BC82" s="2">
        <v>1</v>
      </c>
      <c r="BD82" s="2" t="s">
        <v>3</v>
      </c>
      <c r="BE82" s="2" t="s">
        <v>3</v>
      </c>
      <c r="BF82" s="2" t="s">
        <v>3</v>
      </c>
      <c r="BG82" s="2" t="s">
        <v>3</v>
      </c>
      <c r="BH82" s="2">
        <v>0</v>
      </c>
      <c r="BI82" s="2">
        <v>1</v>
      </c>
      <c r="BJ82" s="2" t="s">
        <v>180</v>
      </c>
      <c r="BK82" s="2"/>
      <c r="BL82" s="2"/>
      <c r="BM82" s="2">
        <v>18001</v>
      </c>
      <c r="BN82" s="2">
        <v>0</v>
      </c>
      <c r="BO82" s="2" t="s">
        <v>3</v>
      </c>
      <c r="BP82" s="2">
        <v>0</v>
      </c>
      <c r="BQ82" s="2">
        <v>2</v>
      </c>
      <c r="BR82" s="2">
        <v>0</v>
      </c>
      <c r="BS82" s="2">
        <v>1</v>
      </c>
      <c r="BT82" s="2">
        <v>1</v>
      </c>
      <c r="BU82" s="2">
        <v>1</v>
      </c>
      <c r="BV82" s="2">
        <v>1</v>
      </c>
      <c r="BW82" s="2">
        <v>1</v>
      </c>
      <c r="BX82" s="2">
        <v>1</v>
      </c>
      <c r="BY82" s="2" t="s">
        <v>3</v>
      </c>
      <c r="BZ82" s="2">
        <v>121</v>
      </c>
      <c r="CA82" s="2">
        <v>72</v>
      </c>
      <c r="CB82" s="2" t="s">
        <v>3</v>
      </c>
      <c r="CC82" s="2"/>
      <c r="CD82" s="2"/>
      <c r="CE82" s="2">
        <v>0</v>
      </c>
      <c r="CF82" s="2">
        <v>0</v>
      </c>
      <c r="CG82" s="2">
        <v>0</v>
      </c>
      <c r="CH82" s="2"/>
      <c r="CI82" s="2"/>
      <c r="CJ82" s="2"/>
      <c r="CK82" s="2"/>
      <c r="CL82" s="2"/>
      <c r="CM82" s="2">
        <v>0</v>
      </c>
      <c r="CN82" s="7" t="s">
        <v>651</v>
      </c>
      <c r="CO82" s="2">
        <v>0</v>
      </c>
      <c r="CP82" s="2">
        <f t="shared" si="59"/>
        <v>1156.82</v>
      </c>
      <c r="CQ82" s="2">
        <f>SUMIF(SmtRes!AQ57:'SmtRes'!AQ61,"=1",SmtRes!AA57:'SmtRes'!AA61)</f>
        <v>73119.25</v>
      </c>
      <c r="CR82" s="2">
        <f>SUMIF(SmtRes!AQ57:'SmtRes'!AQ61,"=1",SmtRes!AB57:'SmtRes'!AB61)</f>
        <v>0</v>
      </c>
      <c r="CS82" s="2">
        <f>SUMIF(SmtRes!AQ57:'SmtRes'!AQ61,"=1",SmtRes!AC57:'SmtRes'!AC61)</f>
        <v>0</v>
      </c>
      <c r="CT82" s="2">
        <f>SUMIF(SmtRes!AQ57:'SmtRes'!AQ61,"=1",SmtRes!AD57:'SmtRes'!AD61)</f>
        <v>743.6</v>
      </c>
      <c r="CU82" s="2">
        <f t="shared" si="60"/>
        <v>0</v>
      </c>
      <c r="CV82" s="2">
        <f>SUMIF(SmtRes!AQ57:'SmtRes'!AQ61,"=1",SmtRes!BU57:'SmtRes'!BU61)</f>
        <v>0.253</v>
      </c>
      <c r="CW82" s="2">
        <f>SUMIF(SmtRes!AQ57:'SmtRes'!AQ61,"=1",SmtRes!BV57:'SmtRes'!BV61)</f>
        <v>0</v>
      </c>
      <c r="CX82" s="2">
        <f t="shared" si="61"/>
        <v>0</v>
      </c>
      <c r="CY82" s="2">
        <f>(((S82+R82)*AT82)/100)</f>
        <v>1229.2414200000001</v>
      </c>
      <c r="CZ82" s="2">
        <f>(((S82+R82)*AU82)/100)</f>
        <v>690.81335999999999</v>
      </c>
      <c r="DA82" s="2"/>
      <c r="DB82" s="2">
        <v>5</v>
      </c>
      <c r="DC82" s="2" t="s">
        <v>3</v>
      </c>
      <c r="DD82" s="2" t="s">
        <v>3</v>
      </c>
      <c r="DE82" s="2" t="s">
        <v>48</v>
      </c>
      <c r="DF82" s="2" t="s">
        <v>48</v>
      </c>
      <c r="DG82" s="2" t="s">
        <v>49</v>
      </c>
      <c r="DH82" s="2" t="s">
        <v>3</v>
      </c>
      <c r="DI82" s="2" t="s">
        <v>49</v>
      </c>
      <c r="DJ82" s="2" t="s">
        <v>48</v>
      </c>
      <c r="DK82" s="2" t="s">
        <v>3</v>
      </c>
      <c r="DL82" s="2" t="s">
        <v>50</v>
      </c>
      <c r="DM82" s="2" t="s">
        <v>51</v>
      </c>
      <c r="DN82" s="2">
        <v>0</v>
      </c>
      <c r="DO82" s="2">
        <v>0</v>
      </c>
      <c r="DP82" s="2">
        <v>1</v>
      </c>
      <c r="DQ82" s="2">
        <v>1</v>
      </c>
      <c r="DR82" s="2"/>
      <c r="DS82" s="2"/>
      <c r="DT82" s="2"/>
      <c r="DU82" s="2">
        <v>1013</v>
      </c>
      <c r="DV82" s="2" t="s">
        <v>90</v>
      </c>
      <c r="DW82" s="2" t="s">
        <v>90</v>
      </c>
      <c r="DX82" s="2">
        <v>1</v>
      </c>
      <c r="DY82" s="2"/>
      <c r="DZ82" s="2" t="s">
        <v>3</v>
      </c>
      <c r="EA82" s="2" t="s">
        <v>3</v>
      </c>
      <c r="EB82" s="2" t="s">
        <v>3</v>
      </c>
      <c r="EC82" s="2" t="s">
        <v>3</v>
      </c>
      <c r="ED82" s="2"/>
      <c r="EE82" s="2">
        <v>77313121</v>
      </c>
      <c r="EF82" s="2">
        <v>2</v>
      </c>
      <c r="EG82" s="2" t="s">
        <v>52</v>
      </c>
      <c r="EH82" s="2">
        <v>16</v>
      </c>
      <c r="EI82" s="2" t="s">
        <v>53</v>
      </c>
      <c r="EJ82" s="2">
        <v>1</v>
      </c>
      <c r="EK82" s="2">
        <v>18001</v>
      </c>
      <c r="EL82" s="2" t="s">
        <v>160</v>
      </c>
      <c r="EM82" s="2" t="s">
        <v>161</v>
      </c>
      <c r="EN82" s="2"/>
      <c r="EO82" s="2" t="s">
        <v>56</v>
      </c>
      <c r="EP82" s="2"/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0.22</v>
      </c>
      <c r="EX82" s="2">
        <v>0</v>
      </c>
      <c r="EY82" s="2">
        <v>0</v>
      </c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>
        <v>0</v>
      </c>
      <c r="FR82" s="2">
        <v>0</v>
      </c>
      <c r="FS82" s="2">
        <v>0</v>
      </c>
      <c r="FT82" s="2"/>
      <c r="FU82" s="2"/>
      <c r="FV82" s="2"/>
      <c r="FW82" s="2"/>
      <c r="FX82" s="2">
        <v>108.9</v>
      </c>
      <c r="FY82" s="2">
        <v>61.2</v>
      </c>
      <c r="FZ82" s="2"/>
      <c r="GA82" s="2" t="s">
        <v>3</v>
      </c>
      <c r="GB82" s="2"/>
      <c r="GC82" s="2"/>
      <c r="GD82" s="2">
        <v>1</v>
      </c>
      <c r="GE82" s="2"/>
      <c r="GF82" s="2">
        <v>-422150115</v>
      </c>
      <c r="GG82" s="2">
        <v>2</v>
      </c>
      <c r="GH82" s="2">
        <v>1</v>
      </c>
      <c r="GI82" s="2">
        <v>-2</v>
      </c>
      <c r="GJ82" s="2">
        <v>0</v>
      </c>
      <c r="GK82" s="2">
        <v>0</v>
      </c>
      <c r="GL82" s="2">
        <f t="shared" si="62"/>
        <v>0</v>
      </c>
      <c r="GM82" s="2">
        <f t="shared" si="63"/>
        <v>3076.87</v>
      </c>
      <c r="GN82" s="2">
        <f t="shared" si="64"/>
        <v>3076.87</v>
      </c>
      <c r="GO82" s="2">
        <f t="shared" si="65"/>
        <v>0</v>
      </c>
      <c r="GP82" s="2">
        <f t="shared" si="66"/>
        <v>0</v>
      </c>
      <c r="GQ82" s="2"/>
      <c r="GR82" s="2">
        <v>0</v>
      </c>
      <c r="GS82" s="2">
        <v>3</v>
      </c>
      <c r="GT82" s="2">
        <v>0</v>
      </c>
      <c r="GU82" s="2" t="s">
        <v>3</v>
      </c>
      <c r="GV82" s="2">
        <f t="shared" si="67"/>
        <v>0</v>
      </c>
      <c r="GW82" s="2">
        <v>1</v>
      </c>
      <c r="GX82" s="2">
        <f t="shared" si="68"/>
        <v>0</v>
      </c>
      <c r="GY82" s="2"/>
      <c r="GZ82" s="2"/>
      <c r="HA82" s="2">
        <v>0</v>
      </c>
      <c r="HB82" s="2">
        <v>0</v>
      </c>
      <c r="HC82" s="2">
        <f t="shared" si="69"/>
        <v>0</v>
      </c>
      <c r="HD82" s="2"/>
      <c r="HE82" s="2" t="s">
        <v>3</v>
      </c>
      <c r="HF82" s="2" t="s">
        <v>3</v>
      </c>
      <c r="HG82" s="2"/>
      <c r="HH82" s="2"/>
      <c r="HI82" s="2"/>
      <c r="HJ82" s="2"/>
      <c r="HK82" s="2"/>
      <c r="HL82" s="2"/>
      <c r="HM82" s="2" t="s">
        <v>3</v>
      </c>
      <c r="HN82" s="2" t="s">
        <v>57</v>
      </c>
      <c r="HO82" s="2" t="s">
        <v>58</v>
      </c>
      <c r="HP82" s="2" t="s">
        <v>53</v>
      </c>
      <c r="HQ82" s="2" t="s">
        <v>53</v>
      </c>
      <c r="HR82" s="2"/>
      <c r="HS82" s="2">
        <v>0</v>
      </c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>
        <v>0</v>
      </c>
      <c r="IL82" s="2"/>
      <c r="IM82" s="2"/>
      <c r="IN82" s="2"/>
      <c r="IO82" s="2"/>
      <c r="IP82" s="2"/>
      <c r="IQ82" s="2"/>
      <c r="IR82" s="2"/>
      <c r="IS82" s="2"/>
      <c r="IT82" s="2"/>
      <c r="IU82" s="2"/>
    </row>
    <row r="83" spans="1:255" x14ac:dyDescent="0.2">
      <c r="A83" s="2">
        <v>18</v>
      </c>
      <c r="B83" s="2">
        <v>1</v>
      </c>
      <c r="C83" s="2">
        <v>61</v>
      </c>
      <c r="D83" s="2"/>
      <c r="E83" s="2" t="s">
        <v>181</v>
      </c>
      <c r="F83" s="2" t="s">
        <v>182</v>
      </c>
      <c r="G83" s="2" t="s">
        <v>183</v>
      </c>
      <c r="H83" s="2" t="s">
        <v>30</v>
      </c>
      <c r="I83" s="2">
        <f>I82*J83</f>
        <v>6</v>
      </c>
      <c r="J83" s="2">
        <v>1</v>
      </c>
      <c r="K83" s="2">
        <v>1</v>
      </c>
      <c r="L83" s="2"/>
      <c r="M83" s="2"/>
      <c r="N83" s="2"/>
      <c r="O83" s="2">
        <f t="shared" si="51"/>
        <v>3745.38</v>
      </c>
      <c r="P83" s="2">
        <f>ROUND(CQ83*I83,2)</f>
        <v>3745.38</v>
      </c>
      <c r="Q83" s="2">
        <f>ROUND(CR83*I83,2)</f>
        <v>0</v>
      </c>
      <c r="R83" s="2">
        <f>ROUND(CS83*I83,2)</f>
        <v>0</v>
      </c>
      <c r="S83" s="2">
        <f>ROUND(CT83*I83,2)</f>
        <v>0</v>
      </c>
      <c r="T83" s="2">
        <f t="shared" si="52"/>
        <v>0</v>
      </c>
      <c r="U83" s="2">
        <f>ROUND(CV83*I83,7)</f>
        <v>0</v>
      </c>
      <c r="V83" s="2">
        <f>ROUND(CW83*I83,7)</f>
        <v>0</v>
      </c>
      <c r="W83" s="2">
        <f t="shared" si="53"/>
        <v>0</v>
      </c>
      <c r="X83" s="2">
        <f t="shared" si="54"/>
        <v>0</v>
      </c>
      <c r="Y83" s="2">
        <f t="shared" si="55"/>
        <v>0</v>
      </c>
      <c r="Z83" s="2"/>
      <c r="AA83" s="2">
        <v>80308166</v>
      </c>
      <c r="AB83" s="2">
        <f t="shared" si="56"/>
        <v>624.23</v>
      </c>
      <c r="AC83" s="2">
        <f>ROUND((ES83),6)</f>
        <v>624.23</v>
      </c>
      <c r="AD83" s="2">
        <f>ROUND((((ET83)-(EU83))+AE83),6)</f>
        <v>0</v>
      </c>
      <c r="AE83" s="2">
        <f>ROUND((EU83),6)</f>
        <v>0</v>
      </c>
      <c r="AF83" s="2">
        <f>ROUND((EV83),6)</f>
        <v>0</v>
      </c>
      <c r="AG83" s="2">
        <f t="shared" si="57"/>
        <v>0</v>
      </c>
      <c r="AH83" s="2">
        <f>(EW83)</f>
        <v>0</v>
      </c>
      <c r="AI83" s="2">
        <f>(EX83)</f>
        <v>0</v>
      </c>
      <c r="AJ83" s="2">
        <f t="shared" si="58"/>
        <v>0</v>
      </c>
      <c r="AK83" s="2">
        <v>624.23</v>
      </c>
      <c r="AL83" s="2">
        <v>624.23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1</v>
      </c>
      <c r="AW83" s="2">
        <v>1</v>
      </c>
      <c r="AX83" s="2"/>
      <c r="AY83" s="2"/>
      <c r="AZ83" s="2">
        <v>1</v>
      </c>
      <c r="BA83" s="2">
        <v>1</v>
      </c>
      <c r="BB83" s="2">
        <v>1</v>
      </c>
      <c r="BC83" s="2">
        <v>1</v>
      </c>
      <c r="BD83" s="2" t="s">
        <v>3</v>
      </c>
      <c r="BE83" s="2" t="s">
        <v>3</v>
      </c>
      <c r="BF83" s="2" t="s">
        <v>3</v>
      </c>
      <c r="BG83" s="2" t="s">
        <v>3</v>
      </c>
      <c r="BH83" s="2">
        <v>3</v>
      </c>
      <c r="BI83" s="2">
        <v>3</v>
      </c>
      <c r="BJ83" s="2" t="s">
        <v>184</v>
      </c>
      <c r="BK83" s="2"/>
      <c r="BL83" s="2"/>
      <c r="BM83" s="2">
        <v>600001</v>
      </c>
      <c r="BN83" s="2">
        <v>0</v>
      </c>
      <c r="BO83" s="2" t="s">
        <v>3</v>
      </c>
      <c r="BP83" s="2">
        <v>0</v>
      </c>
      <c r="BQ83" s="2">
        <v>5</v>
      </c>
      <c r="BR83" s="2">
        <v>0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 t="s">
        <v>3</v>
      </c>
      <c r="BZ83" s="2">
        <v>127</v>
      </c>
      <c r="CA83" s="2">
        <v>72</v>
      </c>
      <c r="CB83" s="2" t="s">
        <v>3</v>
      </c>
      <c r="CC83" s="2"/>
      <c r="CD83" s="2"/>
      <c r="CE83" s="2">
        <v>0</v>
      </c>
      <c r="CF83" s="2">
        <v>0</v>
      </c>
      <c r="CG83" s="2">
        <v>0</v>
      </c>
      <c r="CH83" s="2"/>
      <c r="CI83" s="2"/>
      <c r="CJ83" s="2"/>
      <c r="CK83" s="2"/>
      <c r="CL83" s="2"/>
      <c r="CM83" s="2">
        <v>0</v>
      </c>
      <c r="CN83" s="2" t="s">
        <v>3</v>
      </c>
      <c r="CO83" s="2">
        <v>0</v>
      </c>
      <c r="CP83" s="2">
        <f t="shared" si="59"/>
        <v>3745.38</v>
      </c>
      <c r="CQ83" s="2">
        <f>ROUND(AL83*BC83,2)</f>
        <v>624.23</v>
      </c>
      <c r="CR83" s="2">
        <f>ROUND(AM83*BB83,2)</f>
        <v>0</v>
      </c>
      <c r="CS83" s="2">
        <f>ROUND(AN83*BS83,2)</f>
        <v>0</v>
      </c>
      <c r="CT83" s="2">
        <f>ROUND(AO83*BA83,2)</f>
        <v>0</v>
      </c>
      <c r="CU83" s="2">
        <f t="shared" si="60"/>
        <v>0</v>
      </c>
      <c r="CV83" s="2">
        <f>AH83</f>
        <v>0</v>
      </c>
      <c r="CW83" s="2">
        <f>AI83</f>
        <v>0</v>
      </c>
      <c r="CX83" s="2">
        <f t="shared" si="61"/>
        <v>0</v>
      </c>
      <c r="CY83" s="2">
        <f>0</f>
        <v>0</v>
      </c>
      <c r="CZ83" s="2">
        <f>0</f>
        <v>0</v>
      </c>
      <c r="DA83" s="2"/>
      <c r="DB83" s="2"/>
      <c r="DC83" s="2" t="s">
        <v>3</v>
      </c>
      <c r="DD83" s="2" t="s">
        <v>3</v>
      </c>
      <c r="DE83" s="2" t="s">
        <v>3</v>
      </c>
      <c r="DF83" s="2" t="s">
        <v>3</v>
      </c>
      <c r="DG83" s="2" t="s">
        <v>3</v>
      </c>
      <c r="DH83" s="2" t="s">
        <v>3</v>
      </c>
      <c r="DI83" s="2" t="s">
        <v>3</v>
      </c>
      <c r="DJ83" s="2" t="s">
        <v>3</v>
      </c>
      <c r="DK83" s="2" t="s">
        <v>3</v>
      </c>
      <c r="DL83" s="2" t="s">
        <v>3</v>
      </c>
      <c r="DM83" s="2" t="s">
        <v>3</v>
      </c>
      <c r="DN83" s="2">
        <v>0</v>
      </c>
      <c r="DO83" s="2">
        <v>0</v>
      </c>
      <c r="DP83" s="2">
        <v>1</v>
      </c>
      <c r="DQ83" s="2">
        <v>1</v>
      </c>
      <c r="DR83" s="2"/>
      <c r="DS83" s="2"/>
      <c r="DT83" s="2"/>
      <c r="DU83" s="2">
        <v>1013</v>
      </c>
      <c r="DV83" s="2" t="s">
        <v>30</v>
      </c>
      <c r="DW83" s="2" t="s">
        <v>30</v>
      </c>
      <c r="DX83" s="2">
        <v>1</v>
      </c>
      <c r="DY83" s="2"/>
      <c r="DZ83" s="2" t="s">
        <v>3</v>
      </c>
      <c r="EA83" s="2" t="s">
        <v>3</v>
      </c>
      <c r="EB83" s="2" t="s">
        <v>3</v>
      </c>
      <c r="EC83" s="2" t="s">
        <v>3</v>
      </c>
      <c r="ED83" s="2"/>
      <c r="EE83" s="2">
        <v>77313027</v>
      </c>
      <c r="EF83" s="2">
        <v>5</v>
      </c>
      <c r="EG83" s="2" t="s">
        <v>166</v>
      </c>
      <c r="EH83" s="2">
        <v>0</v>
      </c>
      <c r="EI83" s="2" t="s">
        <v>3</v>
      </c>
      <c r="EJ83" s="2">
        <v>3</v>
      </c>
      <c r="EK83" s="2">
        <v>600001</v>
      </c>
      <c r="EL83" s="2" t="s">
        <v>167</v>
      </c>
      <c r="EM83" s="2" t="s">
        <v>168</v>
      </c>
      <c r="EN83" s="2"/>
      <c r="EO83" s="2" t="s">
        <v>3</v>
      </c>
      <c r="EP83" s="2"/>
      <c r="EQ83" s="2">
        <v>0</v>
      </c>
      <c r="ER83" s="2">
        <v>624.23</v>
      </c>
      <c r="ES83" s="2">
        <v>624.23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>
        <v>0</v>
      </c>
      <c r="FR83" s="2">
        <f>P83</f>
        <v>3745.38</v>
      </c>
      <c r="FS83" s="2">
        <v>0</v>
      </c>
      <c r="FT83" s="2"/>
      <c r="FU83" s="2"/>
      <c r="FV83" s="2"/>
      <c r="FW83" s="2"/>
      <c r="FX83" s="2">
        <v>127</v>
      </c>
      <c r="FY83" s="2">
        <v>72</v>
      </c>
      <c r="FZ83" s="2"/>
      <c r="GA83" s="2" t="s">
        <v>3</v>
      </c>
      <c r="GB83" s="2"/>
      <c r="GC83" s="2"/>
      <c r="GD83" s="2">
        <v>1</v>
      </c>
      <c r="GE83" s="2"/>
      <c r="GF83" s="2">
        <v>-1960629749</v>
      </c>
      <c r="GG83" s="2">
        <v>2</v>
      </c>
      <c r="GH83" s="2">
        <v>1</v>
      </c>
      <c r="GI83" s="2">
        <v>2</v>
      </c>
      <c r="GJ83" s="2">
        <v>0</v>
      </c>
      <c r="GK83" s="2">
        <v>0</v>
      </c>
      <c r="GL83" s="2">
        <f t="shared" si="62"/>
        <v>0</v>
      </c>
      <c r="GM83" s="2">
        <f t="shared" si="63"/>
        <v>3745.38</v>
      </c>
      <c r="GN83" s="2">
        <f t="shared" si="64"/>
        <v>0</v>
      </c>
      <c r="GO83" s="2">
        <f t="shared" si="65"/>
        <v>0</v>
      </c>
      <c r="GP83" s="2">
        <f t="shared" si="66"/>
        <v>0</v>
      </c>
      <c r="GQ83" s="2"/>
      <c r="GR83" s="2">
        <v>0</v>
      </c>
      <c r="GS83" s="2">
        <v>3</v>
      </c>
      <c r="GT83" s="2">
        <v>0</v>
      </c>
      <c r="GU83" s="2" t="s">
        <v>3</v>
      </c>
      <c r="GV83" s="2">
        <f t="shared" si="67"/>
        <v>0</v>
      </c>
      <c r="GW83" s="2">
        <v>1</v>
      </c>
      <c r="GX83" s="2">
        <f t="shared" si="68"/>
        <v>0</v>
      </c>
      <c r="GY83" s="2"/>
      <c r="GZ83" s="2"/>
      <c r="HA83" s="2">
        <v>0</v>
      </c>
      <c r="HB83" s="2">
        <v>0</v>
      </c>
      <c r="HC83" s="2">
        <f t="shared" si="69"/>
        <v>0</v>
      </c>
      <c r="HD83" s="2"/>
      <c r="HE83" s="2" t="s">
        <v>3</v>
      </c>
      <c r="HF83" s="2" t="s">
        <v>3</v>
      </c>
      <c r="HG83" s="2"/>
      <c r="HH83" s="2"/>
      <c r="HI83" s="2"/>
      <c r="HJ83" s="2"/>
      <c r="HK83" s="2"/>
      <c r="HL83" s="2"/>
      <c r="HM83" s="2" t="s">
        <v>3</v>
      </c>
      <c r="HN83" s="2" t="s">
        <v>3</v>
      </c>
      <c r="HO83" s="2" t="s">
        <v>3</v>
      </c>
      <c r="HP83" s="2" t="s">
        <v>3</v>
      </c>
      <c r="HQ83" s="2" t="s">
        <v>3</v>
      </c>
      <c r="HR83" s="2"/>
      <c r="HS83" s="2">
        <v>0</v>
      </c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>
        <v>0</v>
      </c>
      <c r="IL83" s="2"/>
      <c r="IM83" s="2"/>
      <c r="IN83" s="2"/>
      <c r="IO83" s="2"/>
      <c r="IP83" s="2"/>
      <c r="IQ83" s="2"/>
      <c r="IR83" s="2"/>
      <c r="IS83" s="2"/>
      <c r="IT83" s="2"/>
      <c r="IU83" s="2"/>
    </row>
    <row r="84" spans="1:255" x14ac:dyDescent="0.2">
      <c r="A84" s="2">
        <v>17</v>
      </c>
      <c r="B84" s="2">
        <v>1</v>
      </c>
      <c r="C84" s="2">
        <f>ROW(SmtRes!A65)</f>
        <v>65</v>
      </c>
      <c r="D84" s="2">
        <f>ROW(EtalonRes!A61)</f>
        <v>61</v>
      </c>
      <c r="E84" s="2" t="s">
        <v>185</v>
      </c>
      <c r="F84" s="2" t="s">
        <v>37</v>
      </c>
      <c r="G84" s="2" t="s">
        <v>186</v>
      </c>
      <c r="H84" s="2" t="s">
        <v>19</v>
      </c>
      <c r="I84" s="2">
        <f>ROUND(3/100,7)</f>
        <v>0.03</v>
      </c>
      <c r="J84" s="2">
        <v>0</v>
      </c>
      <c r="K84" s="2">
        <f>ROUND(3/100,7)</f>
        <v>0.03</v>
      </c>
      <c r="L84" s="2"/>
      <c r="M84" s="2"/>
      <c r="N84" s="2"/>
      <c r="O84" s="2">
        <f t="shared" si="51"/>
        <v>1838.49</v>
      </c>
      <c r="P84" s="2">
        <f>SUMIF(SmtRes!AQ62:'SmtRes'!AQ65,"=1",SmtRes!DF62:'SmtRes'!DF65)</f>
        <v>0</v>
      </c>
      <c r="Q84" s="2">
        <f>SUMIF(SmtRes!AQ62:'SmtRes'!AQ65,"=1",SmtRes!DG62:'SmtRes'!DG65)</f>
        <v>0.43</v>
      </c>
      <c r="R84" s="2">
        <f>SUMIF(SmtRes!AQ62:'SmtRes'!AQ65,"=1",SmtRes!DH62:'SmtRes'!DH65)</f>
        <v>4.8099999999999996</v>
      </c>
      <c r="S84" s="2">
        <f>SUMIF(SmtRes!AQ62:'SmtRes'!AQ65,"=1",SmtRes!DI62:'SmtRes'!DI65)</f>
        <v>1833.25</v>
      </c>
      <c r="T84" s="2">
        <f t="shared" si="52"/>
        <v>0</v>
      </c>
      <c r="U84" s="2">
        <f>SUMIF(SmtRes!AQ62:'SmtRes'!AQ65,"=1",SmtRes!CV62:'SmtRes'!CV65)</f>
        <v>2.859</v>
      </c>
      <c r="V84" s="2">
        <f>SUMIF(SmtRes!AQ62:'SmtRes'!AQ65,"=1",SmtRes!CW62:'SmtRes'!CW65)</f>
        <v>7.4999999999999997E-3</v>
      </c>
      <c r="W84" s="2">
        <f t="shared" si="53"/>
        <v>0</v>
      </c>
      <c r="X84" s="2">
        <f t="shared" si="54"/>
        <v>1599.11</v>
      </c>
      <c r="Y84" s="2">
        <f t="shared" si="55"/>
        <v>808.75</v>
      </c>
      <c r="Z84" s="2"/>
      <c r="AA84" s="2">
        <v>80308166</v>
      </c>
      <c r="AB84" s="2">
        <f t="shared" si="56"/>
        <v>61117.595999999998</v>
      </c>
      <c r="AC84" s="2">
        <f>ROUND((0),6)</f>
        <v>0</v>
      </c>
      <c r="AD84" s="2">
        <f>ROUND((((SUM(SmtRes!BR62:'SmtRes'!BR65))-(SUM(SmtRes!BS62:'SmtRes'!BS65)))+AE84),6)</f>
        <v>9.33</v>
      </c>
      <c r="AE84" s="2">
        <f>ROUND((SUM(SmtRes!BS62:'SmtRes'!BS65)),6)</f>
        <v>160.30500000000001</v>
      </c>
      <c r="AF84" s="2">
        <f>ROUND((SUM(SmtRes!BT62:'SmtRes'!BT65)),6)</f>
        <v>61108.266000000003</v>
      </c>
      <c r="AG84" s="2">
        <f t="shared" si="57"/>
        <v>0</v>
      </c>
      <c r="AH84" s="2">
        <f>(SUM(SmtRes!BU62:'SmtRes'!BU65))</f>
        <v>95.3</v>
      </c>
      <c r="AI84" s="2">
        <f>(SUM(SmtRes!BV62:'SmtRes'!BV65))</f>
        <v>0.25</v>
      </c>
      <c r="AJ84" s="2">
        <f t="shared" si="58"/>
        <v>0</v>
      </c>
      <c r="AK84" s="2">
        <v>61277.901000000005</v>
      </c>
      <c r="AL84" s="2">
        <v>0</v>
      </c>
      <c r="AM84" s="2">
        <v>9.33</v>
      </c>
      <c r="AN84" s="2">
        <v>160.30500000000001</v>
      </c>
      <c r="AO84" s="2">
        <v>61108.266000000003</v>
      </c>
      <c r="AP84" s="2">
        <v>0</v>
      </c>
      <c r="AQ84" s="2">
        <v>95.3</v>
      </c>
      <c r="AR84" s="2">
        <v>0.25</v>
      </c>
      <c r="AS84" s="2">
        <v>0</v>
      </c>
      <c r="AT84" s="2">
        <v>87</v>
      </c>
      <c r="AU84" s="2">
        <v>44</v>
      </c>
      <c r="AV84" s="2">
        <v>1</v>
      </c>
      <c r="AW84" s="2">
        <v>1</v>
      </c>
      <c r="AX84" s="2"/>
      <c r="AY84" s="2"/>
      <c r="AZ84" s="2">
        <v>1</v>
      </c>
      <c r="BA84" s="2">
        <v>1</v>
      </c>
      <c r="BB84" s="2">
        <v>1</v>
      </c>
      <c r="BC84" s="2">
        <v>1</v>
      </c>
      <c r="BD84" s="2" t="s">
        <v>3</v>
      </c>
      <c r="BE84" s="2" t="s">
        <v>3</v>
      </c>
      <c r="BF84" s="2" t="s">
        <v>3</v>
      </c>
      <c r="BG84" s="2" t="s">
        <v>3</v>
      </c>
      <c r="BH84" s="2">
        <v>0</v>
      </c>
      <c r="BI84" s="2">
        <v>1</v>
      </c>
      <c r="BJ84" s="2" t="s">
        <v>39</v>
      </c>
      <c r="BK84" s="2"/>
      <c r="BL84" s="2"/>
      <c r="BM84" s="2">
        <v>65001</v>
      </c>
      <c r="BN84" s="2">
        <v>0</v>
      </c>
      <c r="BO84" s="2" t="s">
        <v>3</v>
      </c>
      <c r="BP84" s="2">
        <v>0</v>
      </c>
      <c r="BQ84" s="2">
        <v>6</v>
      </c>
      <c r="BR84" s="2">
        <v>0</v>
      </c>
      <c r="BS84" s="2">
        <v>1</v>
      </c>
      <c r="BT84" s="2">
        <v>1</v>
      </c>
      <c r="BU84" s="2">
        <v>1</v>
      </c>
      <c r="BV84" s="2">
        <v>1</v>
      </c>
      <c r="BW84" s="2">
        <v>1</v>
      </c>
      <c r="BX84" s="2">
        <v>1</v>
      </c>
      <c r="BY84" s="2" t="s">
        <v>3</v>
      </c>
      <c r="BZ84" s="2">
        <v>87</v>
      </c>
      <c r="CA84" s="2">
        <v>44</v>
      </c>
      <c r="CB84" s="2" t="s">
        <v>3</v>
      </c>
      <c r="CC84" s="2"/>
      <c r="CD84" s="2"/>
      <c r="CE84" s="2">
        <v>0</v>
      </c>
      <c r="CF84" s="2">
        <v>0</v>
      </c>
      <c r="CG84" s="2">
        <v>0</v>
      </c>
      <c r="CH84" s="2"/>
      <c r="CI84" s="2"/>
      <c r="CJ84" s="2"/>
      <c r="CK84" s="2"/>
      <c r="CL84" s="2"/>
      <c r="CM84" s="2">
        <v>0</v>
      </c>
      <c r="CN84" s="2" t="s">
        <v>3</v>
      </c>
      <c r="CO84" s="2">
        <v>0</v>
      </c>
      <c r="CP84" s="2">
        <f t="shared" si="59"/>
        <v>1838.49</v>
      </c>
      <c r="CQ84" s="2">
        <f>SUMIF(SmtRes!AQ62:'SmtRes'!AQ65,"=1",SmtRes!AA62:'SmtRes'!AA65)</f>
        <v>0</v>
      </c>
      <c r="CR84" s="2">
        <f>SUMIF(SmtRes!AQ62:'SmtRes'!AQ65,"=1",SmtRes!AB62:'SmtRes'!AB65)</f>
        <v>57.47</v>
      </c>
      <c r="CS84" s="2">
        <f>SUMIF(SmtRes!AQ62:'SmtRes'!AQ65,"=1",SmtRes!AC62:'SmtRes'!AC65)</f>
        <v>641.22</v>
      </c>
      <c r="CT84" s="2">
        <f>SUMIF(SmtRes!AQ62:'SmtRes'!AQ65,"=1",SmtRes!AD62:'SmtRes'!AD65)</f>
        <v>641.22</v>
      </c>
      <c r="CU84" s="2">
        <f t="shared" si="60"/>
        <v>0</v>
      </c>
      <c r="CV84" s="2">
        <f>SUMIF(SmtRes!AQ62:'SmtRes'!AQ65,"=1",SmtRes!BU62:'SmtRes'!BU65)</f>
        <v>95.3</v>
      </c>
      <c r="CW84" s="2">
        <f>SUMIF(SmtRes!AQ62:'SmtRes'!AQ65,"=1",SmtRes!BV62:'SmtRes'!BV65)</f>
        <v>0.25</v>
      </c>
      <c r="CX84" s="2">
        <f t="shared" si="61"/>
        <v>0</v>
      </c>
      <c r="CY84" s="2">
        <f t="shared" ref="CY84:CY96" si="70">(((S84+R84)*AT84)/100)</f>
        <v>1599.1122</v>
      </c>
      <c r="CZ84" s="2">
        <f t="shared" ref="CZ84:CZ96" si="71">(((S84+R84)*AU84)/100)</f>
        <v>808.74639999999999</v>
      </c>
      <c r="DA84" s="2"/>
      <c r="DB84" s="2"/>
      <c r="DC84" s="2" t="s">
        <v>3</v>
      </c>
      <c r="DD84" s="2" t="s">
        <v>3</v>
      </c>
      <c r="DE84" s="2" t="s">
        <v>3</v>
      </c>
      <c r="DF84" s="2" t="s">
        <v>3</v>
      </c>
      <c r="DG84" s="2" t="s">
        <v>3</v>
      </c>
      <c r="DH84" s="2" t="s">
        <v>3</v>
      </c>
      <c r="DI84" s="2" t="s">
        <v>3</v>
      </c>
      <c r="DJ84" s="2" t="s">
        <v>3</v>
      </c>
      <c r="DK84" s="2" t="s">
        <v>3</v>
      </c>
      <c r="DL84" s="2" t="s">
        <v>3</v>
      </c>
      <c r="DM84" s="2" t="s">
        <v>3</v>
      </c>
      <c r="DN84" s="2">
        <v>0</v>
      </c>
      <c r="DO84" s="2">
        <v>0</v>
      </c>
      <c r="DP84" s="2">
        <v>1</v>
      </c>
      <c r="DQ84" s="2">
        <v>1</v>
      </c>
      <c r="DR84" s="2"/>
      <c r="DS84" s="2"/>
      <c r="DT84" s="2"/>
      <c r="DU84" s="2">
        <v>1013</v>
      </c>
      <c r="DV84" s="2" t="s">
        <v>19</v>
      </c>
      <c r="DW84" s="2" t="s">
        <v>19</v>
      </c>
      <c r="DX84" s="2">
        <v>1</v>
      </c>
      <c r="DY84" s="2"/>
      <c r="DZ84" s="2" t="s">
        <v>3</v>
      </c>
      <c r="EA84" s="2" t="s">
        <v>3</v>
      </c>
      <c r="EB84" s="2" t="s">
        <v>3</v>
      </c>
      <c r="EC84" s="2" t="s">
        <v>3</v>
      </c>
      <c r="ED84" s="2"/>
      <c r="EE84" s="2">
        <v>77313178</v>
      </c>
      <c r="EF84" s="2">
        <v>6</v>
      </c>
      <c r="EG84" s="2" t="s">
        <v>21</v>
      </c>
      <c r="EH84" s="2">
        <v>99</v>
      </c>
      <c r="EI84" s="2" t="s">
        <v>22</v>
      </c>
      <c r="EJ84" s="2">
        <v>1</v>
      </c>
      <c r="EK84" s="2">
        <v>65001</v>
      </c>
      <c r="EL84" s="2" t="s">
        <v>40</v>
      </c>
      <c r="EM84" s="2" t="s">
        <v>24</v>
      </c>
      <c r="EN84" s="2"/>
      <c r="EO84" s="2" t="s">
        <v>3</v>
      </c>
      <c r="EP84" s="2"/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95.3</v>
      </c>
      <c r="EX84" s="2">
        <v>0.25</v>
      </c>
      <c r="EY84" s="2">
        <v>0</v>
      </c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>
        <v>0</v>
      </c>
      <c r="FR84" s="2">
        <v>0</v>
      </c>
      <c r="FS84" s="2">
        <v>0</v>
      </c>
      <c r="FT84" s="2"/>
      <c r="FU84" s="2"/>
      <c r="FV84" s="2"/>
      <c r="FW84" s="2"/>
      <c r="FX84" s="2">
        <v>87</v>
      </c>
      <c r="FY84" s="2">
        <v>44</v>
      </c>
      <c r="FZ84" s="2"/>
      <c r="GA84" s="2" t="s">
        <v>3</v>
      </c>
      <c r="GB84" s="2"/>
      <c r="GC84" s="2"/>
      <c r="GD84" s="2">
        <v>1</v>
      </c>
      <c r="GE84" s="2"/>
      <c r="GF84" s="2">
        <v>-468311241</v>
      </c>
      <c r="GG84" s="2">
        <v>2</v>
      </c>
      <c r="GH84" s="2">
        <v>1</v>
      </c>
      <c r="GI84" s="2">
        <v>-2</v>
      </c>
      <c r="GJ84" s="2">
        <v>0</v>
      </c>
      <c r="GK84" s="2">
        <v>0</v>
      </c>
      <c r="GL84" s="2">
        <f t="shared" si="62"/>
        <v>0</v>
      </c>
      <c r="GM84" s="2">
        <f t="shared" si="63"/>
        <v>4246.3500000000004</v>
      </c>
      <c r="GN84" s="2">
        <f t="shared" si="64"/>
        <v>4246.3500000000004</v>
      </c>
      <c r="GO84" s="2">
        <f t="shared" si="65"/>
        <v>0</v>
      </c>
      <c r="GP84" s="2">
        <f t="shared" si="66"/>
        <v>0</v>
      </c>
      <c r="GQ84" s="2"/>
      <c r="GR84" s="2">
        <v>0</v>
      </c>
      <c r="GS84" s="2">
        <v>3</v>
      </c>
      <c r="GT84" s="2">
        <v>0</v>
      </c>
      <c r="GU84" s="2" t="s">
        <v>3</v>
      </c>
      <c r="GV84" s="2">
        <f t="shared" si="67"/>
        <v>0</v>
      </c>
      <c r="GW84" s="2">
        <v>1</v>
      </c>
      <c r="GX84" s="2">
        <f t="shared" si="68"/>
        <v>0</v>
      </c>
      <c r="GY84" s="2"/>
      <c r="GZ84" s="2"/>
      <c r="HA84" s="2">
        <v>0</v>
      </c>
      <c r="HB84" s="2">
        <v>0</v>
      </c>
      <c r="HC84" s="2">
        <f t="shared" si="69"/>
        <v>0</v>
      </c>
      <c r="HD84" s="2"/>
      <c r="HE84" s="2" t="s">
        <v>3</v>
      </c>
      <c r="HF84" s="2" t="s">
        <v>3</v>
      </c>
      <c r="HG84" s="2"/>
      <c r="HH84" s="2"/>
      <c r="HI84" s="2"/>
      <c r="HJ84" s="2"/>
      <c r="HK84" s="2"/>
      <c r="HL84" s="2"/>
      <c r="HM84" s="2" t="s">
        <v>3</v>
      </c>
      <c r="HN84" s="2" t="s">
        <v>41</v>
      </c>
      <c r="HO84" s="2" t="s">
        <v>42</v>
      </c>
      <c r="HP84" s="2" t="s">
        <v>40</v>
      </c>
      <c r="HQ84" s="2" t="s">
        <v>40</v>
      </c>
      <c r="HR84" s="2"/>
      <c r="HS84" s="2">
        <v>0</v>
      </c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>
        <v>0</v>
      </c>
      <c r="IL84" s="2"/>
      <c r="IM84" s="2"/>
      <c r="IN84" s="2"/>
      <c r="IO84" s="2"/>
      <c r="IP84" s="2"/>
      <c r="IQ84" s="2"/>
      <c r="IR84" s="2"/>
      <c r="IS84" s="2"/>
      <c r="IT84" s="2"/>
      <c r="IU84" s="2"/>
    </row>
    <row r="85" spans="1:255" x14ac:dyDescent="0.2">
      <c r="A85" s="2">
        <v>18</v>
      </c>
      <c r="B85" s="2">
        <v>1</v>
      </c>
      <c r="C85" s="2">
        <v>65</v>
      </c>
      <c r="D85" s="2"/>
      <c r="E85" s="2" t="s">
        <v>187</v>
      </c>
      <c r="F85" s="2" t="s">
        <v>33</v>
      </c>
      <c r="G85" s="2" t="s">
        <v>34</v>
      </c>
      <c r="H85" s="2" t="s">
        <v>35</v>
      </c>
      <c r="I85" s="2">
        <f>I84*J85</f>
        <v>0.11940000000000001</v>
      </c>
      <c r="J85" s="2">
        <v>3.9800000000000004</v>
      </c>
      <c r="K85" s="2">
        <v>3.98</v>
      </c>
      <c r="L85" s="2"/>
      <c r="M85" s="2"/>
      <c r="N85" s="2"/>
      <c r="O85" s="2">
        <f t="shared" si="51"/>
        <v>0</v>
      </c>
      <c r="P85" s="2">
        <f>ROUND(CQ85*I85,2)</f>
        <v>0</v>
      </c>
      <c r="Q85" s="2">
        <f>ROUND(CR85*I85,2)</f>
        <v>0</v>
      </c>
      <c r="R85" s="2">
        <f>ROUND(CS85*I85,2)</f>
        <v>0</v>
      </c>
      <c r="S85" s="2">
        <f>ROUND(CT85*I85,2)</f>
        <v>0</v>
      </c>
      <c r="T85" s="2">
        <f t="shared" si="52"/>
        <v>0</v>
      </c>
      <c r="U85" s="2">
        <f>ROUND(CV85*I85,7)</f>
        <v>0</v>
      </c>
      <c r="V85" s="2">
        <f>ROUND(CW85*I85,7)</f>
        <v>0</v>
      </c>
      <c r="W85" s="2">
        <f t="shared" si="53"/>
        <v>0</v>
      </c>
      <c r="X85" s="2">
        <f t="shared" si="54"/>
        <v>0</v>
      </c>
      <c r="Y85" s="2">
        <f t="shared" si="55"/>
        <v>0</v>
      </c>
      <c r="Z85" s="2"/>
      <c r="AA85" s="2">
        <v>80308166</v>
      </c>
      <c r="AB85" s="2">
        <f t="shared" si="56"/>
        <v>0</v>
      </c>
      <c r="AC85" s="2">
        <f>ROUND((ES85),6)</f>
        <v>0</v>
      </c>
      <c r="AD85" s="2">
        <f>ROUND((((ET85)-(EU85))+AE85),6)</f>
        <v>0</v>
      </c>
      <c r="AE85" s="2">
        <f>ROUND((EU85),6)</f>
        <v>0</v>
      </c>
      <c r="AF85" s="2">
        <f>ROUND((EV85),6)</f>
        <v>0</v>
      </c>
      <c r="AG85" s="2">
        <f t="shared" si="57"/>
        <v>0</v>
      </c>
      <c r="AH85" s="2">
        <f>(EW85)</f>
        <v>0</v>
      </c>
      <c r="AI85" s="2">
        <f>(EX85)</f>
        <v>0</v>
      </c>
      <c r="AJ85" s="2">
        <f t="shared" si="58"/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87</v>
      </c>
      <c r="AU85" s="2">
        <v>44</v>
      </c>
      <c r="AV85" s="2">
        <v>1</v>
      </c>
      <c r="AW85" s="2">
        <v>1</v>
      </c>
      <c r="AX85" s="2"/>
      <c r="AY85" s="2"/>
      <c r="AZ85" s="2">
        <v>1</v>
      </c>
      <c r="BA85" s="2">
        <v>1</v>
      </c>
      <c r="BB85" s="2">
        <v>1</v>
      </c>
      <c r="BC85" s="2">
        <v>1</v>
      </c>
      <c r="BD85" s="2" t="s">
        <v>3</v>
      </c>
      <c r="BE85" s="2" t="s">
        <v>3</v>
      </c>
      <c r="BF85" s="2" t="s">
        <v>3</v>
      </c>
      <c r="BG85" s="2" t="s">
        <v>3</v>
      </c>
      <c r="BH85" s="2">
        <v>3</v>
      </c>
      <c r="BI85" s="2">
        <v>1</v>
      </c>
      <c r="BJ85" s="2" t="s">
        <v>3</v>
      </c>
      <c r="BK85" s="2"/>
      <c r="BL85" s="2"/>
      <c r="BM85" s="2">
        <v>65001</v>
      </c>
      <c r="BN85" s="2">
        <v>0</v>
      </c>
      <c r="BO85" s="2" t="s">
        <v>3</v>
      </c>
      <c r="BP85" s="2">
        <v>0</v>
      </c>
      <c r="BQ85" s="2">
        <v>6</v>
      </c>
      <c r="BR85" s="2">
        <v>0</v>
      </c>
      <c r="BS85" s="2">
        <v>1</v>
      </c>
      <c r="BT85" s="2">
        <v>1</v>
      </c>
      <c r="BU85" s="2">
        <v>1</v>
      </c>
      <c r="BV85" s="2">
        <v>1</v>
      </c>
      <c r="BW85" s="2">
        <v>1</v>
      </c>
      <c r="BX85" s="2">
        <v>1</v>
      </c>
      <c r="BY85" s="2" t="s">
        <v>3</v>
      </c>
      <c r="BZ85" s="2">
        <v>87</v>
      </c>
      <c r="CA85" s="2">
        <v>44</v>
      </c>
      <c r="CB85" s="2" t="s">
        <v>3</v>
      </c>
      <c r="CC85" s="2"/>
      <c r="CD85" s="2"/>
      <c r="CE85" s="2">
        <v>0</v>
      </c>
      <c r="CF85" s="2">
        <v>0</v>
      </c>
      <c r="CG85" s="2">
        <v>0</v>
      </c>
      <c r="CH85" s="2"/>
      <c r="CI85" s="2"/>
      <c r="CJ85" s="2"/>
      <c r="CK85" s="2"/>
      <c r="CL85" s="2"/>
      <c r="CM85" s="2">
        <v>0</v>
      </c>
      <c r="CN85" s="2" t="s">
        <v>3</v>
      </c>
      <c r="CO85" s="2">
        <v>0</v>
      </c>
      <c r="CP85" s="2">
        <f t="shared" si="59"/>
        <v>0</v>
      </c>
      <c r="CQ85" s="2">
        <f>ROUND(AL85*BC85,2)</f>
        <v>0</v>
      </c>
      <c r="CR85" s="2">
        <f>ROUND(AM85*BB85,2)</f>
        <v>0</v>
      </c>
      <c r="CS85" s="2">
        <f>ROUND(AN85*BS85,2)</f>
        <v>0</v>
      </c>
      <c r="CT85" s="2">
        <f>ROUND(AO85*BA85,2)</f>
        <v>0</v>
      </c>
      <c r="CU85" s="2">
        <f t="shared" si="60"/>
        <v>0</v>
      </c>
      <c r="CV85" s="2">
        <f>AH85</f>
        <v>0</v>
      </c>
      <c r="CW85" s="2">
        <f>AI85</f>
        <v>0</v>
      </c>
      <c r="CX85" s="2">
        <f t="shared" si="61"/>
        <v>0</v>
      </c>
      <c r="CY85" s="2">
        <f t="shared" si="70"/>
        <v>0</v>
      </c>
      <c r="CZ85" s="2">
        <f t="shared" si="71"/>
        <v>0</v>
      </c>
      <c r="DA85" s="2"/>
      <c r="DB85" s="2"/>
      <c r="DC85" s="2" t="s">
        <v>3</v>
      </c>
      <c r="DD85" s="2" t="s">
        <v>3</v>
      </c>
      <c r="DE85" s="2" t="s">
        <v>3</v>
      </c>
      <c r="DF85" s="2" t="s">
        <v>3</v>
      </c>
      <c r="DG85" s="2" t="s">
        <v>3</v>
      </c>
      <c r="DH85" s="2" t="s">
        <v>3</v>
      </c>
      <c r="DI85" s="2" t="s">
        <v>3</v>
      </c>
      <c r="DJ85" s="2" t="s">
        <v>3</v>
      </c>
      <c r="DK85" s="2" t="s">
        <v>3</v>
      </c>
      <c r="DL85" s="2" t="s">
        <v>3</v>
      </c>
      <c r="DM85" s="2" t="s">
        <v>3</v>
      </c>
      <c r="DN85" s="2">
        <v>0</v>
      </c>
      <c r="DO85" s="2">
        <v>0</v>
      </c>
      <c r="DP85" s="2">
        <v>1</v>
      </c>
      <c r="DQ85" s="2">
        <v>1</v>
      </c>
      <c r="DR85" s="2"/>
      <c r="DS85" s="2"/>
      <c r="DT85" s="2"/>
      <c r="DU85" s="2">
        <v>1009</v>
      </c>
      <c r="DV85" s="2" t="s">
        <v>35</v>
      </c>
      <c r="DW85" s="2" t="s">
        <v>35</v>
      </c>
      <c r="DX85" s="2">
        <v>1000</v>
      </c>
      <c r="DY85" s="2"/>
      <c r="DZ85" s="2" t="s">
        <v>3</v>
      </c>
      <c r="EA85" s="2" t="s">
        <v>3</v>
      </c>
      <c r="EB85" s="2" t="s">
        <v>3</v>
      </c>
      <c r="EC85" s="2" t="s">
        <v>3</v>
      </c>
      <c r="ED85" s="2"/>
      <c r="EE85" s="2">
        <v>77313178</v>
      </c>
      <c r="EF85" s="2">
        <v>6</v>
      </c>
      <c r="EG85" s="2" t="s">
        <v>21</v>
      </c>
      <c r="EH85" s="2">
        <v>99</v>
      </c>
      <c r="EI85" s="2" t="s">
        <v>22</v>
      </c>
      <c r="EJ85" s="2">
        <v>1</v>
      </c>
      <c r="EK85" s="2">
        <v>65001</v>
      </c>
      <c r="EL85" s="2" t="s">
        <v>40</v>
      </c>
      <c r="EM85" s="2" t="s">
        <v>24</v>
      </c>
      <c r="EN85" s="2"/>
      <c r="EO85" s="2" t="s">
        <v>3</v>
      </c>
      <c r="EP85" s="2"/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>
        <v>0</v>
      </c>
      <c r="FR85" s="2">
        <v>0</v>
      </c>
      <c r="FS85" s="2">
        <v>0</v>
      </c>
      <c r="FT85" s="2"/>
      <c r="FU85" s="2"/>
      <c r="FV85" s="2"/>
      <c r="FW85" s="2"/>
      <c r="FX85" s="2">
        <v>87</v>
      </c>
      <c r="FY85" s="2">
        <v>44</v>
      </c>
      <c r="FZ85" s="2"/>
      <c r="GA85" s="2" t="s">
        <v>3</v>
      </c>
      <c r="GB85" s="2"/>
      <c r="GC85" s="2"/>
      <c r="GD85" s="2">
        <v>1</v>
      </c>
      <c r="GE85" s="2"/>
      <c r="GF85" s="2">
        <v>-1296435862</v>
      </c>
      <c r="GG85" s="2">
        <v>2</v>
      </c>
      <c r="GH85" s="2">
        <v>1</v>
      </c>
      <c r="GI85" s="2">
        <v>-2</v>
      </c>
      <c r="GJ85" s="2">
        <v>0</v>
      </c>
      <c r="GK85" s="2">
        <v>0</v>
      </c>
      <c r="GL85" s="2">
        <f t="shared" si="62"/>
        <v>0</v>
      </c>
      <c r="GM85" s="2">
        <f t="shared" si="63"/>
        <v>0</v>
      </c>
      <c r="GN85" s="2">
        <f t="shared" si="64"/>
        <v>0</v>
      </c>
      <c r="GO85" s="2">
        <f t="shared" si="65"/>
        <v>0</v>
      </c>
      <c r="GP85" s="2">
        <f t="shared" si="66"/>
        <v>0</v>
      </c>
      <c r="GQ85" s="2"/>
      <c r="GR85" s="2">
        <v>0</v>
      </c>
      <c r="GS85" s="2">
        <v>0</v>
      </c>
      <c r="GT85" s="2">
        <v>0</v>
      </c>
      <c r="GU85" s="2" t="s">
        <v>3</v>
      </c>
      <c r="GV85" s="2">
        <f t="shared" si="67"/>
        <v>0</v>
      </c>
      <c r="GW85" s="2">
        <v>1</v>
      </c>
      <c r="GX85" s="2">
        <f t="shared" si="68"/>
        <v>0</v>
      </c>
      <c r="GY85" s="2"/>
      <c r="GZ85" s="2"/>
      <c r="HA85" s="2">
        <v>0</v>
      </c>
      <c r="HB85" s="2">
        <v>0</v>
      </c>
      <c r="HC85" s="2">
        <f t="shared" si="69"/>
        <v>0</v>
      </c>
      <c r="HD85" s="2"/>
      <c r="HE85" s="2" t="s">
        <v>3</v>
      </c>
      <c r="HF85" s="2" t="s">
        <v>3</v>
      </c>
      <c r="HG85" s="2"/>
      <c r="HH85" s="2"/>
      <c r="HI85" s="2"/>
      <c r="HJ85" s="2"/>
      <c r="HK85" s="2"/>
      <c r="HL85" s="2"/>
      <c r="HM85" s="2" t="s">
        <v>3</v>
      </c>
      <c r="HN85" s="2" t="s">
        <v>41</v>
      </c>
      <c r="HO85" s="2" t="s">
        <v>42</v>
      </c>
      <c r="HP85" s="2" t="s">
        <v>40</v>
      </c>
      <c r="HQ85" s="2" t="s">
        <v>40</v>
      </c>
      <c r="HR85" s="2"/>
      <c r="HS85" s="2">
        <v>0</v>
      </c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>
        <v>0</v>
      </c>
      <c r="IL85" s="2"/>
      <c r="IM85" s="2"/>
      <c r="IN85" s="2"/>
      <c r="IO85" s="2"/>
      <c r="IP85" s="2"/>
      <c r="IQ85" s="2"/>
      <c r="IR85" s="2"/>
      <c r="IS85" s="2"/>
      <c r="IT85" s="2"/>
      <c r="IU85" s="2"/>
    </row>
    <row r="86" spans="1:255" ht="409.5" x14ac:dyDescent="0.2">
      <c r="A86" s="2">
        <v>17</v>
      </c>
      <c r="B86" s="2">
        <v>1</v>
      </c>
      <c r="C86" s="2">
        <f>ROW(SmtRes!A74)</f>
        <v>74</v>
      </c>
      <c r="D86" s="2">
        <f>ROW(EtalonRes!A70)</f>
        <v>70</v>
      </c>
      <c r="E86" s="2" t="s">
        <v>188</v>
      </c>
      <c r="F86" s="2" t="s">
        <v>189</v>
      </c>
      <c r="G86" s="2" t="s">
        <v>190</v>
      </c>
      <c r="H86" s="2" t="s">
        <v>30</v>
      </c>
      <c r="I86" s="2">
        <v>3</v>
      </c>
      <c r="J86" s="2">
        <v>0</v>
      </c>
      <c r="K86" s="2">
        <v>3</v>
      </c>
      <c r="L86" s="2"/>
      <c r="M86" s="2"/>
      <c r="N86" s="2"/>
      <c r="O86" s="2">
        <f t="shared" si="51"/>
        <v>4226.79</v>
      </c>
      <c r="P86" s="2">
        <f>SUMIF(SmtRes!AQ66:'SmtRes'!AQ74,"=1",SmtRes!DF66:'SmtRes'!DF74)</f>
        <v>625.16000000000008</v>
      </c>
      <c r="Q86" s="2">
        <f>SUMIF(SmtRes!AQ66:'SmtRes'!AQ74,"=1",SmtRes!DG66:'SmtRes'!DG74)</f>
        <v>90.59</v>
      </c>
      <c r="R86" s="2">
        <f>SUMIF(SmtRes!AQ66:'SmtRes'!AQ74,"=1",SmtRes!DH66:'SmtRes'!DH74)</f>
        <v>54.15</v>
      </c>
      <c r="S86" s="2">
        <f>SUMIF(SmtRes!AQ66:'SmtRes'!AQ74,"=1",SmtRes!DI66:'SmtRes'!DI74)</f>
        <v>3456.89</v>
      </c>
      <c r="T86" s="2">
        <f t="shared" si="52"/>
        <v>0</v>
      </c>
      <c r="U86" s="2">
        <f>SUMIF(SmtRes!AQ66:'SmtRes'!AQ74,"=1",SmtRes!CV66:'SmtRes'!CV74)</f>
        <v>5.0715000000000003</v>
      </c>
      <c r="V86" s="2">
        <f>SUMIF(SmtRes!AQ66:'SmtRes'!AQ74,"=1",SmtRes!CW66:'SmtRes'!CW74)</f>
        <v>7.4999999999999997E-2</v>
      </c>
      <c r="W86" s="2">
        <f t="shared" si="53"/>
        <v>0</v>
      </c>
      <c r="X86" s="2">
        <f t="shared" si="54"/>
        <v>3823.52</v>
      </c>
      <c r="Y86" s="2">
        <f t="shared" si="55"/>
        <v>2148.7600000000002</v>
      </c>
      <c r="Z86" s="2"/>
      <c r="AA86" s="2">
        <v>80308166</v>
      </c>
      <c r="AB86" s="2">
        <f t="shared" si="56"/>
        <v>1378.7086139999999</v>
      </c>
      <c r="AC86" s="2">
        <f>ROUND((SUM(SmtRes!BQ66:'SmtRes'!BQ74)),6)</f>
        <v>196.21709899999999</v>
      </c>
      <c r="AD86" s="2">
        <f>ROUND((((SUM(SmtRes!BR66:'SmtRes'!BR74))-(SUM(SmtRes!BS66:'SmtRes'!BS74)))+AE86),6)</f>
        <v>30.196000000000002</v>
      </c>
      <c r="AE86" s="2">
        <f>ROUND((SUM(SmtRes!BS66:'SmtRes'!BS74)),6)</f>
        <v>18.05125</v>
      </c>
      <c r="AF86" s="2">
        <f>ROUND((SUM(SmtRes!BT66:'SmtRes'!BT74)),6)</f>
        <v>1152.295515</v>
      </c>
      <c r="AG86" s="2">
        <f t="shared" si="57"/>
        <v>0</v>
      </c>
      <c r="AH86" s="2">
        <f>(SUM(SmtRes!BU66:'SmtRes'!BU74))</f>
        <v>1.6904999999999999</v>
      </c>
      <c r="AI86" s="2">
        <f>(SUM(SmtRes!BV66:'SmtRes'!BV74))</f>
        <v>2.5000000000000001E-2</v>
      </c>
      <c r="AJ86" s="2">
        <f t="shared" si="58"/>
        <v>0</v>
      </c>
      <c r="AK86" s="2">
        <v>1236.810999</v>
      </c>
      <c r="AL86" s="2">
        <v>196.21709900000002</v>
      </c>
      <c r="AM86" s="2">
        <v>24.156799999999997</v>
      </c>
      <c r="AN86" s="2">
        <v>14.440999999999999</v>
      </c>
      <c r="AO86" s="2">
        <v>1001.9961</v>
      </c>
      <c r="AP86" s="2">
        <v>0</v>
      </c>
      <c r="AQ86" s="2">
        <v>1.47</v>
      </c>
      <c r="AR86" s="2">
        <v>0.02</v>
      </c>
      <c r="AS86" s="2">
        <v>0</v>
      </c>
      <c r="AT86" s="2">
        <v>108.9</v>
      </c>
      <c r="AU86" s="2">
        <v>61.2</v>
      </c>
      <c r="AV86" s="2">
        <v>1</v>
      </c>
      <c r="AW86" s="2">
        <v>1</v>
      </c>
      <c r="AX86" s="2"/>
      <c r="AY86" s="2"/>
      <c r="AZ86" s="2">
        <v>1</v>
      </c>
      <c r="BA86" s="2">
        <v>1</v>
      </c>
      <c r="BB86" s="2">
        <v>1</v>
      </c>
      <c r="BC86" s="2">
        <v>1</v>
      </c>
      <c r="BD86" s="2" t="s">
        <v>3</v>
      </c>
      <c r="BE86" s="2" t="s">
        <v>3</v>
      </c>
      <c r="BF86" s="2" t="s">
        <v>3</v>
      </c>
      <c r="BG86" s="2" t="s">
        <v>3</v>
      </c>
      <c r="BH86" s="2">
        <v>0</v>
      </c>
      <c r="BI86" s="2">
        <v>1</v>
      </c>
      <c r="BJ86" s="2" t="s">
        <v>191</v>
      </c>
      <c r="BK86" s="2"/>
      <c r="BL86" s="2"/>
      <c r="BM86" s="2">
        <v>16001</v>
      </c>
      <c r="BN86" s="2">
        <v>0</v>
      </c>
      <c r="BO86" s="2" t="s">
        <v>3</v>
      </c>
      <c r="BP86" s="2">
        <v>0</v>
      </c>
      <c r="BQ86" s="2">
        <v>2</v>
      </c>
      <c r="BR86" s="2">
        <v>0</v>
      </c>
      <c r="BS86" s="2">
        <v>1</v>
      </c>
      <c r="BT86" s="2">
        <v>1</v>
      </c>
      <c r="BU86" s="2">
        <v>1</v>
      </c>
      <c r="BV86" s="2">
        <v>1</v>
      </c>
      <c r="BW86" s="2">
        <v>1</v>
      </c>
      <c r="BX86" s="2">
        <v>1</v>
      </c>
      <c r="BY86" s="2" t="s">
        <v>3</v>
      </c>
      <c r="BZ86" s="2">
        <v>121</v>
      </c>
      <c r="CA86" s="2">
        <v>72</v>
      </c>
      <c r="CB86" s="2" t="s">
        <v>3</v>
      </c>
      <c r="CC86" s="2"/>
      <c r="CD86" s="2"/>
      <c r="CE86" s="2">
        <v>0</v>
      </c>
      <c r="CF86" s="2">
        <v>0</v>
      </c>
      <c r="CG86" s="2">
        <v>0</v>
      </c>
      <c r="CH86" s="2"/>
      <c r="CI86" s="2"/>
      <c r="CJ86" s="2"/>
      <c r="CK86" s="2"/>
      <c r="CL86" s="2"/>
      <c r="CM86" s="2">
        <v>0</v>
      </c>
      <c r="CN86" s="7" t="s">
        <v>651</v>
      </c>
      <c r="CO86" s="2">
        <v>0</v>
      </c>
      <c r="CP86" s="2">
        <f t="shared" si="59"/>
        <v>4226.79</v>
      </c>
      <c r="CQ86" s="2">
        <f>SUMIF(SmtRes!AQ66:'SmtRes'!AQ74,"=1",SmtRes!AA66:'SmtRes'!AA74)</f>
        <v>167332.88999999998</v>
      </c>
      <c r="CR86" s="2">
        <f>SUMIF(SmtRes!AQ66:'SmtRes'!AQ74,"=1",SmtRes!AB66:'SmtRes'!AB74)</f>
        <v>675.55</v>
      </c>
      <c r="CS86" s="2">
        <f>SUMIF(SmtRes!AQ66:'SmtRes'!AQ74,"=1",SmtRes!AC66:'SmtRes'!AC74)</f>
        <v>722.05</v>
      </c>
      <c r="CT86" s="2">
        <f>SUMIF(SmtRes!AQ66:'SmtRes'!AQ74,"=1",SmtRes!AD66:'SmtRes'!AD74)</f>
        <v>681.63</v>
      </c>
      <c r="CU86" s="2">
        <f t="shared" si="60"/>
        <v>0</v>
      </c>
      <c r="CV86" s="2">
        <f>SUMIF(SmtRes!AQ66:'SmtRes'!AQ74,"=1",SmtRes!BU66:'SmtRes'!BU74)</f>
        <v>1.6904999999999999</v>
      </c>
      <c r="CW86" s="2">
        <f>SUMIF(SmtRes!AQ66:'SmtRes'!AQ74,"=1",SmtRes!BV66:'SmtRes'!BV74)</f>
        <v>2.5000000000000001E-2</v>
      </c>
      <c r="CX86" s="2">
        <f t="shared" si="61"/>
        <v>0</v>
      </c>
      <c r="CY86" s="2">
        <f t="shared" si="70"/>
        <v>3823.5225599999999</v>
      </c>
      <c r="CZ86" s="2">
        <f t="shared" si="71"/>
        <v>2148.75648</v>
      </c>
      <c r="DA86" s="2"/>
      <c r="DB86" s="2">
        <v>6</v>
      </c>
      <c r="DC86" s="2" t="s">
        <v>3</v>
      </c>
      <c r="DD86" s="2" t="s">
        <v>3</v>
      </c>
      <c r="DE86" s="2" t="s">
        <v>48</v>
      </c>
      <c r="DF86" s="2" t="s">
        <v>48</v>
      </c>
      <c r="DG86" s="2" t="s">
        <v>49</v>
      </c>
      <c r="DH86" s="2" t="s">
        <v>3</v>
      </c>
      <c r="DI86" s="2" t="s">
        <v>49</v>
      </c>
      <c r="DJ86" s="2" t="s">
        <v>48</v>
      </c>
      <c r="DK86" s="2" t="s">
        <v>3</v>
      </c>
      <c r="DL86" s="2" t="s">
        <v>50</v>
      </c>
      <c r="DM86" s="2" t="s">
        <v>51</v>
      </c>
      <c r="DN86" s="2">
        <v>0</v>
      </c>
      <c r="DO86" s="2">
        <v>0</v>
      </c>
      <c r="DP86" s="2">
        <v>1</v>
      </c>
      <c r="DQ86" s="2">
        <v>1</v>
      </c>
      <c r="DR86" s="2"/>
      <c r="DS86" s="2"/>
      <c r="DT86" s="2"/>
      <c r="DU86" s="2">
        <v>1013</v>
      </c>
      <c r="DV86" s="2" t="s">
        <v>30</v>
      </c>
      <c r="DW86" s="2" t="s">
        <v>30</v>
      </c>
      <c r="DX86" s="2">
        <v>1</v>
      </c>
      <c r="DY86" s="2"/>
      <c r="DZ86" s="2" t="s">
        <v>3</v>
      </c>
      <c r="EA86" s="2" t="s">
        <v>3</v>
      </c>
      <c r="EB86" s="2" t="s">
        <v>3</v>
      </c>
      <c r="EC86" s="2" t="s">
        <v>3</v>
      </c>
      <c r="ED86" s="2"/>
      <c r="EE86" s="2">
        <v>77313119</v>
      </c>
      <c r="EF86" s="2">
        <v>2</v>
      </c>
      <c r="EG86" s="2" t="s">
        <v>52</v>
      </c>
      <c r="EH86" s="2">
        <v>16</v>
      </c>
      <c r="EI86" s="2" t="s">
        <v>53</v>
      </c>
      <c r="EJ86" s="2">
        <v>1</v>
      </c>
      <c r="EK86" s="2">
        <v>16001</v>
      </c>
      <c r="EL86" s="2" t="s">
        <v>54</v>
      </c>
      <c r="EM86" s="2" t="s">
        <v>55</v>
      </c>
      <c r="EN86" s="2"/>
      <c r="EO86" s="2" t="s">
        <v>56</v>
      </c>
      <c r="EP86" s="2"/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1.47</v>
      </c>
      <c r="EX86" s="2">
        <v>0.02</v>
      </c>
      <c r="EY86" s="2">
        <v>0</v>
      </c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>
        <v>0</v>
      </c>
      <c r="FR86" s="2">
        <v>0</v>
      </c>
      <c r="FS86" s="2">
        <v>0</v>
      </c>
      <c r="FT86" s="2"/>
      <c r="FU86" s="2"/>
      <c r="FV86" s="2"/>
      <c r="FW86" s="2"/>
      <c r="FX86" s="2">
        <v>108.9</v>
      </c>
      <c r="FY86" s="2">
        <v>61.2</v>
      </c>
      <c r="FZ86" s="2"/>
      <c r="GA86" s="2" t="s">
        <v>3</v>
      </c>
      <c r="GB86" s="2"/>
      <c r="GC86" s="2"/>
      <c r="GD86" s="2">
        <v>1</v>
      </c>
      <c r="GE86" s="2"/>
      <c r="GF86" s="2">
        <v>1713949997</v>
      </c>
      <c r="GG86" s="2">
        <v>2</v>
      </c>
      <c r="GH86" s="2">
        <v>1</v>
      </c>
      <c r="GI86" s="2">
        <v>-2</v>
      </c>
      <c r="GJ86" s="2">
        <v>0</v>
      </c>
      <c r="GK86" s="2">
        <v>0</v>
      </c>
      <c r="GL86" s="2">
        <f t="shared" si="62"/>
        <v>0</v>
      </c>
      <c r="GM86" s="2">
        <f t="shared" si="63"/>
        <v>10199.07</v>
      </c>
      <c r="GN86" s="2">
        <f t="shared" si="64"/>
        <v>10199.07</v>
      </c>
      <c r="GO86" s="2">
        <f t="shared" si="65"/>
        <v>0</v>
      </c>
      <c r="GP86" s="2">
        <f t="shared" si="66"/>
        <v>0</v>
      </c>
      <c r="GQ86" s="2"/>
      <c r="GR86" s="2">
        <v>0</v>
      </c>
      <c r="GS86" s="2">
        <v>3</v>
      </c>
      <c r="GT86" s="2">
        <v>0</v>
      </c>
      <c r="GU86" s="2" t="s">
        <v>3</v>
      </c>
      <c r="GV86" s="2">
        <f t="shared" si="67"/>
        <v>0</v>
      </c>
      <c r="GW86" s="2">
        <v>1</v>
      </c>
      <c r="GX86" s="2">
        <f t="shared" si="68"/>
        <v>0</v>
      </c>
      <c r="GY86" s="2"/>
      <c r="GZ86" s="2"/>
      <c r="HA86" s="2">
        <v>0</v>
      </c>
      <c r="HB86" s="2">
        <v>0</v>
      </c>
      <c r="HC86" s="2">
        <f t="shared" si="69"/>
        <v>0</v>
      </c>
      <c r="HD86" s="2"/>
      <c r="HE86" s="2" t="s">
        <v>3</v>
      </c>
      <c r="HF86" s="2" t="s">
        <v>3</v>
      </c>
      <c r="HG86" s="2"/>
      <c r="HH86" s="2"/>
      <c r="HI86" s="2"/>
      <c r="HJ86" s="2"/>
      <c r="HK86" s="2"/>
      <c r="HL86" s="2"/>
      <c r="HM86" s="2" t="s">
        <v>3</v>
      </c>
      <c r="HN86" s="2" t="s">
        <v>57</v>
      </c>
      <c r="HO86" s="2" t="s">
        <v>58</v>
      </c>
      <c r="HP86" s="2" t="s">
        <v>53</v>
      </c>
      <c r="HQ86" s="2" t="s">
        <v>53</v>
      </c>
      <c r="HR86" s="2"/>
      <c r="HS86" s="2">
        <v>0</v>
      </c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>
        <v>0</v>
      </c>
      <c r="IL86" s="2"/>
      <c r="IM86" s="2"/>
      <c r="IN86" s="2"/>
      <c r="IO86" s="2"/>
      <c r="IP86" s="2"/>
      <c r="IQ86" s="2"/>
      <c r="IR86" s="2"/>
      <c r="IS86" s="2"/>
      <c r="IT86" s="2"/>
      <c r="IU86" s="2"/>
    </row>
    <row r="87" spans="1:255" x14ac:dyDescent="0.2">
      <c r="A87" s="2">
        <v>18</v>
      </c>
      <c r="B87" s="2">
        <v>1</v>
      </c>
      <c r="C87" s="2">
        <v>73</v>
      </c>
      <c r="D87" s="2"/>
      <c r="E87" s="2" t="s">
        <v>192</v>
      </c>
      <c r="F87" s="2" t="s">
        <v>193</v>
      </c>
      <c r="G87" s="2" t="s">
        <v>194</v>
      </c>
      <c r="H87" s="2" t="s">
        <v>30</v>
      </c>
      <c r="I87" s="2">
        <f>I86*J87</f>
        <v>3</v>
      </c>
      <c r="J87" s="2">
        <v>1</v>
      </c>
      <c r="K87" s="2">
        <v>1</v>
      </c>
      <c r="L87" s="2"/>
      <c r="M87" s="2"/>
      <c r="N87" s="2"/>
      <c r="O87" s="2">
        <f t="shared" si="51"/>
        <v>13153.26</v>
      </c>
      <c r="P87" s="2">
        <f>ROUND(CQ87*I87,2)</f>
        <v>13153.26</v>
      </c>
      <c r="Q87" s="2">
        <f>ROUND(CR87*I87,2)</f>
        <v>0</v>
      </c>
      <c r="R87" s="2">
        <f>ROUND(CS87*I87,2)</f>
        <v>0</v>
      </c>
      <c r="S87" s="2">
        <f>ROUND(CT87*I87,2)</f>
        <v>0</v>
      </c>
      <c r="T87" s="2">
        <f t="shared" si="52"/>
        <v>0</v>
      </c>
      <c r="U87" s="2">
        <f>ROUND(CV87*I87,7)</f>
        <v>0</v>
      </c>
      <c r="V87" s="2">
        <f>ROUND(CW87*I87,7)</f>
        <v>0</v>
      </c>
      <c r="W87" s="2">
        <f t="shared" si="53"/>
        <v>0</v>
      </c>
      <c r="X87" s="2">
        <f t="shared" si="54"/>
        <v>0</v>
      </c>
      <c r="Y87" s="2">
        <f t="shared" si="55"/>
        <v>0</v>
      </c>
      <c r="Z87" s="2"/>
      <c r="AA87" s="2">
        <v>80308166</v>
      </c>
      <c r="AB87" s="2">
        <f t="shared" si="56"/>
        <v>3985.84</v>
      </c>
      <c r="AC87" s="2">
        <f>ROUND((ES87),6)</f>
        <v>3985.84</v>
      </c>
      <c r="AD87" s="2">
        <f>ROUND((((ET87)-(EU87))+AE87),6)</f>
        <v>0</v>
      </c>
      <c r="AE87" s="2">
        <f>ROUND((EU87),6)</f>
        <v>0</v>
      </c>
      <c r="AF87" s="2">
        <f>ROUND((EV87),6)</f>
        <v>0</v>
      </c>
      <c r="AG87" s="2">
        <f t="shared" si="57"/>
        <v>0</v>
      </c>
      <c r="AH87" s="2">
        <f>(EW87)</f>
        <v>0</v>
      </c>
      <c r="AI87" s="2">
        <f>(EX87)</f>
        <v>0</v>
      </c>
      <c r="AJ87" s="2">
        <f t="shared" si="58"/>
        <v>0</v>
      </c>
      <c r="AK87" s="2">
        <v>3985.84</v>
      </c>
      <c r="AL87" s="2">
        <v>3985.84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121</v>
      </c>
      <c r="AU87" s="2">
        <v>72</v>
      </c>
      <c r="AV87" s="2">
        <v>1</v>
      </c>
      <c r="AW87" s="2">
        <v>1</v>
      </c>
      <c r="AX87" s="2"/>
      <c r="AY87" s="2"/>
      <c r="AZ87" s="2">
        <v>1</v>
      </c>
      <c r="BA87" s="2">
        <v>1</v>
      </c>
      <c r="BB87" s="2">
        <v>1</v>
      </c>
      <c r="BC87" s="2">
        <v>1.1000000000000001</v>
      </c>
      <c r="BD87" s="2" t="s">
        <v>3</v>
      </c>
      <c r="BE87" s="2" t="s">
        <v>3</v>
      </c>
      <c r="BF87" s="2" t="s">
        <v>3</v>
      </c>
      <c r="BG87" s="2" t="s">
        <v>3</v>
      </c>
      <c r="BH87" s="2">
        <v>3</v>
      </c>
      <c r="BI87" s="2">
        <v>1</v>
      </c>
      <c r="BJ87" s="2" t="s">
        <v>195</v>
      </c>
      <c r="BK87" s="2"/>
      <c r="BL87" s="2"/>
      <c r="BM87" s="2">
        <v>16001</v>
      </c>
      <c r="BN87" s="2">
        <v>0</v>
      </c>
      <c r="BO87" s="2" t="s">
        <v>193</v>
      </c>
      <c r="BP87" s="2">
        <v>1</v>
      </c>
      <c r="BQ87" s="2">
        <v>2</v>
      </c>
      <c r="BR87" s="2">
        <v>0</v>
      </c>
      <c r="BS87" s="2">
        <v>1</v>
      </c>
      <c r="BT87" s="2">
        <v>1</v>
      </c>
      <c r="BU87" s="2">
        <v>1</v>
      </c>
      <c r="BV87" s="2">
        <v>1</v>
      </c>
      <c r="BW87" s="2">
        <v>1</v>
      </c>
      <c r="BX87" s="2">
        <v>1</v>
      </c>
      <c r="BY87" s="2" t="s">
        <v>3</v>
      </c>
      <c r="BZ87" s="2">
        <v>121</v>
      </c>
      <c r="CA87" s="2">
        <v>72</v>
      </c>
      <c r="CB87" s="2" t="s">
        <v>3</v>
      </c>
      <c r="CC87" s="2"/>
      <c r="CD87" s="2"/>
      <c r="CE87" s="2">
        <v>0</v>
      </c>
      <c r="CF87" s="2">
        <v>0</v>
      </c>
      <c r="CG87" s="2">
        <v>0</v>
      </c>
      <c r="CH87" s="2"/>
      <c r="CI87" s="2"/>
      <c r="CJ87" s="2"/>
      <c r="CK87" s="2"/>
      <c r="CL87" s="2"/>
      <c r="CM87" s="2">
        <v>0</v>
      </c>
      <c r="CN87" s="2" t="s">
        <v>3</v>
      </c>
      <c r="CO87" s="2">
        <v>0</v>
      </c>
      <c r="CP87" s="2">
        <f t="shared" si="59"/>
        <v>13153.26</v>
      </c>
      <c r="CQ87" s="2">
        <f>ROUND(AL87*BC87,2)</f>
        <v>4384.42</v>
      </c>
      <c r="CR87" s="2">
        <f>ROUND(AM87*BB87,2)</f>
        <v>0</v>
      </c>
      <c r="CS87" s="2">
        <f>ROUND(AN87*BS87,2)</f>
        <v>0</v>
      </c>
      <c r="CT87" s="2">
        <f>ROUND(AO87*BA87,2)</f>
        <v>0</v>
      </c>
      <c r="CU87" s="2">
        <f t="shared" si="60"/>
        <v>0</v>
      </c>
      <c r="CV87" s="2">
        <f>AH87</f>
        <v>0</v>
      </c>
      <c r="CW87" s="2">
        <f>AI87</f>
        <v>0</v>
      </c>
      <c r="CX87" s="2">
        <f t="shared" si="61"/>
        <v>0</v>
      </c>
      <c r="CY87" s="2">
        <f t="shared" si="70"/>
        <v>0</v>
      </c>
      <c r="CZ87" s="2">
        <f t="shared" si="71"/>
        <v>0</v>
      </c>
      <c r="DA87" s="2"/>
      <c r="DB87" s="2"/>
      <c r="DC87" s="2" t="s">
        <v>3</v>
      </c>
      <c r="DD87" s="2" t="s">
        <v>3</v>
      </c>
      <c r="DE87" s="2" t="s">
        <v>3</v>
      </c>
      <c r="DF87" s="2" t="s">
        <v>3</v>
      </c>
      <c r="DG87" s="2" t="s">
        <v>3</v>
      </c>
      <c r="DH87" s="2" t="s">
        <v>3</v>
      </c>
      <c r="DI87" s="2" t="s">
        <v>3</v>
      </c>
      <c r="DJ87" s="2" t="s">
        <v>3</v>
      </c>
      <c r="DK87" s="2" t="s">
        <v>3</v>
      </c>
      <c r="DL87" s="2" t="s">
        <v>3</v>
      </c>
      <c r="DM87" s="2" t="s">
        <v>3</v>
      </c>
      <c r="DN87" s="2">
        <v>0</v>
      </c>
      <c r="DO87" s="2">
        <v>0</v>
      </c>
      <c r="DP87" s="2">
        <v>1</v>
      </c>
      <c r="DQ87" s="2">
        <v>1</v>
      </c>
      <c r="DR87" s="2"/>
      <c r="DS87" s="2"/>
      <c r="DT87" s="2"/>
      <c r="DU87" s="2">
        <v>1013</v>
      </c>
      <c r="DV87" s="2" t="s">
        <v>30</v>
      </c>
      <c r="DW87" s="2" t="s">
        <v>30</v>
      </c>
      <c r="DX87" s="2">
        <v>1</v>
      </c>
      <c r="DY87" s="2"/>
      <c r="DZ87" s="2" t="s">
        <v>3</v>
      </c>
      <c r="EA87" s="2" t="s">
        <v>3</v>
      </c>
      <c r="EB87" s="2" t="s">
        <v>3</v>
      </c>
      <c r="EC87" s="2" t="s">
        <v>3</v>
      </c>
      <c r="ED87" s="2"/>
      <c r="EE87" s="2">
        <v>77313119</v>
      </c>
      <c r="EF87" s="2">
        <v>2</v>
      </c>
      <c r="EG87" s="2" t="s">
        <v>52</v>
      </c>
      <c r="EH87" s="2">
        <v>16</v>
      </c>
      <c r="EI87" s="2" t="s">
        <v>53</v>
      </c>
      <c r="EJ87" s="2">
        <v>1</v>
      </c>
      <c r="EK87" s="2">
        <v>16001</v>
      </c>
      <c r="EL87" s="2" t="s">
        <v>54</v>
      </c>
      <c r="EM87" s="2" t="s">
        <v>55</v>
      </c>
      <c r="EN87" s="2"/>
      <c r="EO87" s="2" t="s">
        <v>3</v>
      </c>
      <c r="EP87" s="2"/>
      <c r="EQ87" s="2">
        <v>0</v>
      </c>
      <c r="ER87" s="2">
        <v>3985.84</v>
      </c>
      <c r="ES87" s="2">
        <v>3985.84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>
        <v>0</v>
      </c>
      <c r="FR87" s="2">
        <v>0</v>
      </c>
      <c r="FS87" s="2">
        <v>0</v>
      </c>
      <c r="FT87" s="2"/>
      <c r="FU87" s="2"/>
      <c r="FV87" s="2"/>
      <c r="FW87" s="2"/>
      <c r="FX87" s="2">
        <v>121</v>
      </c>
      <c r="FY87" s="2">
        <v>72</v>
      </c>
      <c r="FZ87" s="2"/>
      <c r="GA87" s="2" t="s">
        <v>3</v>
      </c>
      <c r="GB87" s="2"/>
      <c r="GC87" s="2"/>
      <c r="GD87" s="2">
        <v>1</v>
      </c>
      <c r="GE87" s="2"/>
      <c r="GF87" s="2">
        <v>1609212438</v>
      </c>
      <c r="GG87" s="2">
        <v>2</v>
      </c>
      <c r="GH87" s="2">
        <v>1</v>
      </c>
      <c r="GI87" s="2">
        <v>2</v>
      </c>
      <c r="GJ87" s="2">
        <v>0</v>
      </c>
      <c r="GK87" s="2">
        <v>0</v>
      </c>
      <c r="GL87" s="2">
        <f t="shared" si="62"/>
        <v>0</v>
      </c>
      <c r="GM87" s="2">
        <f t="shared" si="63"/>
        <v>13153.26</v>
      </c>
      <c r="GN87" s="2">
        <f t="shared" si="64"/>
        <v>13153.26</v>
      </c>
      <c r="GO87" s="2">
        <f t="shared" si="65"/>
        <v>0</v>
      </c>
      <c r="GP87" s="2">
        <f t="shared" si="66"/>
        <v>0</v>
      </c>
      <c r="GQ87" s="2"/>
      <c r="GR87" s="2">
        <v>0</v>
      </c>
      <c r="GS87" s="2">
        <v>3</v>
      </c>
      <c r="GT87" s="2">
        <v>0</v>
      </c>
      <c r="GU87" s="2" t="s">
        <v>3</v>
      </c>
      <c r="GV87" s="2">
        <f t="shared" si="67"/>
        <v>0</v>
      </c>
      <c r="GW87" s="2">
        <v>1</v>
      </c>
      <c r="GX87" s="2">
        <f t="shared" si="68"/>
        <v>0</v>
      </c>
      <c r="GY87" s="2"/>
      <c r="GZ87" s="2"/>
      <c r="HA87" s="2">
        <v>0</v>
      </c>
      <c r="HB87" s="2">
        <v>0</v>
      </c>
      <c r="HC87" s="2">
        <f t="shared" si="69"/>
        <v>0</v>
      </c>
      <c r="HD87" s="2"/>
      <c r="HE87" s="2" t="s">
        <v>3</v>
      </c>
      <c r="HF87" s="2" t="s">
        <v>3</v>
      </c>
      <c r="HG87" s="2"/>
      <c r="HH87" s="2"/>
      <c r="HI87" s="2"/>
      <c r="HJ87" s="2"/>
      <c r="HK87" s="2"/>
      <c r="HL87" s="2"/>
      <c r="HM87" s="2" t="s">
        <v>3</v>
      </c>
      <c r="HN87" s="2" t="s">
        <v>57</v>
      </c>
      <c r="HO87" s="2" t="s">
        <v>58</v>
      </c>
      <c r="HP87" s="2" t="s">
        <v>53</v>
      </c>
      <c r="HQ87" s="2" t="s">
        <v>53</v>
      </c>
      <c r="HR87" s="2"/>
      <c r="HS87" s="2">
        <v>0</v>
      </c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>
        <v>0</v>
      </c>
      <c r="IL87" s="2"/>
      <c r="IM87" s="2"/>
      <c r="IN87" s="2"/>
      <c r="IO87" s="2"/>
      <c r="IP87" s="2"/>
      <c r="IQ87" s="2"/>
      <c r="IR87" s="2"/>
      <c r="IS87" s="2"/>
      <c r="IT87" s="2"/>
      <c r="IU87" s="2"/>
    </row>
    <row r="88" spans="1:255" x14ac:dyDescent="0.2">
      <c r="A88" s="2">
        <v>18</v>
      </c>
      <c r="B88" s="2">
        <v>1</v>
      </c>
      <c r="C88" s="2">
        <v>74</v>
      </c>
      <c r="D88" s="2"/>
      <c r="E88" s="2" t="s">
        <v>196</v>
      </c>
      <c r="F88" s="2" t="s">
        <v>197</v>
      </c>
      <c r="G88" s="2" t="s">
        <v>198</v>
      </c>
      <c r="H88" s="2" t="s">
        <v>30</v>
      </c>
      <c r="I88" s="2">
        <f>I86*J88</f>
        <v>6</v>
      </c>
      <c r="J88" s="2">
        <v>2</v>
      </c>
      <c r="K88" s="2">
        <v>2</v>
      </c>
      <c r="L88" s="2"/>
      <c r="M88" s="2"/>
      <c r="N88" s="2"/>
      <c r="O88" s="2">
        <f t="shared" si="51"/>
        <v>2625.36</v>
      </c>
      <c r="P88" s="2">
        <f>ROUND(CQ88*I88,2)</f>
        <v>2625.36</v>
      </c>
      <c r="Q88" s="2">
        <f>ROUND(CR88*I88,2)</f>
        <v>0</v>
      </c>
      <c r="R88" s="2">
        <f>ROUND(CS88*I88,2)</f>
        <v>0</v>
      </c>
      <c r="S88" s="2">
        <f>ROUND(CT88*I88,2)</f>
        <v>0</v>
      </c>
      <c r="T88" s="2">
        <f t="shared" si="52"/>
        <v>0</v>
      </c>
      <c r="U88" s="2">
        <f>ROUND(CV88*I88,7)</f>
        <v>0</v>
      </c>
      <c r="V88" s="2">
        <f>ROUND(CW88*I88,7)</f>
        <v>0</v>
      </c>
      <c r="W88" s="2">
        <f t="shared" si="53"/>
        <v>0</v>
      </c>
      <c r="X88" s="2">
        <f t="shared" si="54"/>
        <v>0</v>
      </c>
      <c r="Y88" s="2">
        <f t="shared" si="55"/>
        <v>0</v>
      </c>
      <c r="Z88" s="2"/>
      <c r="AA88" s="2">
        <v>80308166</v>
      </c>
      <c r="AB88" s="2">
        <f t="shared" si="56"/>
        <v>394.2</v>
      </c>
      <c r="AC88" s="2">
        <f>ROUND((ES88),6)</f>
        <v>394.2</v>
      </c>
      <c r="AD88" s="2">
        <f>ROUND((((ET88)-(EU88))+AE88),6)</f>
        <v>0</v>
      </c>
      <c r="AE88" s="2">
        <f>ROUND((EU88),6)</f>
        <v>0</v>
      </c>
      <c r="AF88" s="2">
        <f>ROUND((EV88),6)</f>
        <v>0</v>
      </c>
      <c r="AG88" s="2">
        <f t="shared" si="57"/>
        <v>0</v>
      </c>
      <c r="AH88" s="2">
        <f>(EW88)</f>
        <v>0</v>
      </c>
      <c r="AI88" s="2">
        <f>(EX88)</f>
        <v>0</v>
      </c>
      <c r="AJ88" s="2">
        <f t="shared" si="58"/>
        <v>0</v>
      </c>
      <c r="AK88" s="2">
        <v>394.2</v>
      </c>
      <c r="AL88" s="2">
        <v>394.2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121</v>
      </c>
      <c r="AU88" s="2">
        <v>72</v>
      </c>
      <c r="AV88" s="2">
        <v>1</v>
      </c>
      <c r="AW88" s="2">
        <v>1</v>
      </c>
      <c r="AX88" s="2"/>
      <c r="AY88" s="2"/>
      <c r="AZ88" s="2">
        <v>1</v>
      </c>
      <c r="BA88" s="2">
        <v>1</v>
      </c>
      <c r="BB88" s="2">
        <v>1</v>
      </c>
      <c r="BC88" s="2">
        <v>1.1100000000000001</v>
      </c>
      <c r="BD88" s="2" t="s">
        <v>3</v>
      </c>
      <c r="BE88" s="2" t="s">
        <v>3</v>
      </c>
      <c r="BF88" s="2" t="s">
        <v>3</v>
      </c>
      <c r="BG88" s="2" t="s">
        <v>3</v>
      </c>
      <c r="BH88" s="2">
        <v>3</v>
      </c>
      <c r="BI88" s="2">
        <v>1</v>
      </c>
      <c r="BJ88" s="2" t="s">
        <v>199</v>
      </c>
      <c r="BK88" s="2"/>
      <c r="BL88" s="2"/>
      <c r="BM88" s="2">
        <v>16001</v>
      </c>
      <c r="BN88" s="2">
        <v>0</v>
      </c>
      <c r="BO88" s="2" t="s">
        <v>197</v>
      </c>
      <c r="BP88" s="2">
        <v>1</v>
      </c>
      <c r="BQ88" s="2">
        <v>2</v>
      </c>
      <c r="BR88" s="2">
        <v>0</v>
      </c>
      <c r="BS88" s="2">
        <v>1</v>
      </c>
      <c r="BT88" s="2">
        <v>1</v>
      </c>
      <c r="BU88" s="2">
        <v>1</v>
      </c>
      <c r="BV88" s="2">
        <v>1</v>
      </c>
      <c r="BW88" s="2">
        <v>1</v>
      </c>
      <c r="BX88" s="2">
        <v>1</v>
      </c>
      <c r="BY88" s="2" t="s">
        <v>3</v>
      </c>
      <c r="BZ88" s="2">
        <v>121</v>
      </c>
      <c r="CA88" s="2">
        <v>72</v>
      </c>
      <c r="CB88" s="2" t="s">
        <v>3</v>
      </c>
      <c r="CC88" s="2"/>
      <c r="CD88" s="2"/>
      <c r="CE88" s="2">
        <v>0</v>
      </c>
      <c r="CF88" s="2">
        <v>0</v>
      </c>
      <c r="CG88" s="2">
        <v>0</v>
      </c>
      <c r="CH88" s="2"/>
      <c r="CI88" s="2"/>
      <c r="CJ88" s="2"/>
      <c r="CK88" s="2"/>
      <c r="CL88" s="2"/>
      <c r="CM88" s="2">
        <v>0</v>
      </c>
      <c r="CN88" s="2" t="s">
        <v>3</v>
      </c>
      <c r="CO88" s="2">
        <v>0</v>
      </c>
      <c r="CP88" s="2">
        <f t="shared" si="59"/>
        <v>2625.36</v>
      </c>
      <c r="CQ88" s="2">
        <f>ROUND(AL88*BC88,2)</f>
        <v>437.56</v>
      </c>
      <c r="CR88" s="2">
        <f>ROUND(AM88*BB88,2)</f>
        <v>0</v>
      </c>
      <c r="CS88" s="2">
        <f>ROUND(AN88*BS88,2)</f>
        <v>0</v>
      </c>
      <c r="CT88" s="2">
        <f>ROUND(AO88*BA88,2)</f>
        <v>0</v>
      </c>
      <c r="CU88" s="2">
        <f t="shared" si="60"/>
        <v>0</v>
      </c>
      <c r="CV88" s="2">
        <f>AH88</f>
        <v>0</v>
      </c>
      <c r="CW88" s="2">
        <f>AI88</f>
        <v>0</v>
      </c>
      <c r="CX88" s="2">
        <f t="shared" si="61"/>
        <v>0</v>
      </c>
      <c r="CY88" s="2">
        <f t="shared" si="70"/>
        <v>0</v>
      </c>
      <c r="CZ88" s="2">
        <f t="shared" si="71"/>
        <v>0</v>
      </c>
      <c r="DA88" s="2"/>
      <c r="DB88" s="2"/>
      <c r="DC88" s="2" t="s">
        <v>3</v>
      </c>
      <c r="DD88" s="2" t="s">
        <v>3</v>
      </c>
      <c r="DE88" s="2" t="s">
        <v>3</v>
      </c>
      <c r="DF88" s="2" t="s">
        <v>3</v>
      </c>
      <c r="DG88" s="2" t="s">
        <v>3</v>
      </c>
      <c r="DH88" s="2" t="s">
        <v>3</v>
      </c>
      <c r="DI88" s="2" t="s">
        <v>3</v>
      </c>
      <c r="DJ88" s="2" t="s">
        <v>3</v>
      </c>
      <c r="DK88" s="2" t="s">
        <v>3</v>
      </c>
      <c r="DL88" s="2" t="s">
        <v>3</v>
      </c>
      <c r="DM88" s="2" t="s">
        <v>3</v>
      </c>
      <c r="DN88" s="2">
        <v>0</v>
      </c>
      <c r="DO88" s="2">
        <v>0</v>
      </c>
      <c r="DP88" s="2">
        <v>1</v>
      </c>
      <c r="DQ88" s="2">
        <v>1</v>
      </c>
      <c r="DR88" s="2"/>
      <c r="DS88" s="2"/>
      <c r="DT88" s="2"/>
      <c r="DU88" s="2">
        <v>1013</v>
      </c>
      <c r="DV88" s="2" t="s">
        <v>30</v>
      </c>
      <c r="DW88" s="2" t="s">
        <v>30</v>
      </c>
      <c r="DX88" s="2">
        <v>1</v>
      </c>
      <c r="DY88" s="2"/>
      <c r="DZ88" s="2" t="s">
        <v>3</v>
      </c>
      <c r="EA88" s="2" t="s">
        <v>3</v>
      </c>
      <c r="EB88" s="2" t="s">
        <v>3</v>
      </c>
      <c r="EC88" s="2" t="s">
        <v>3</v>
      </c>
      <c r="ED88" s="2"/>
      <c r="EE88" s="2">
        <v>77313119</v>
      </c>
      <c r="EF88" s="2">
        <v>2</v>
      </c>
      <c r="EG88" s="2" t="s">
        <v>52</v>
      </c>
      <c r="EH88" s="2">
        <v>16</v>
      </c>
      <c r="EI88" s="2" t="s">
        <v>53</v>
      </c>
      <c r="EJ88" s="2">
        <v>1</v>
      </c>
      <c r="EK88" s="2">
        <v>16001</v>
      </c>
      <c r="EL88" s="2" t="s">
        <v>54</v>
      </c>
      <c r="EM88" s="2" t="s">
        <v>55</v>
      </c>
      <c r="EN88" s="2"/>
      <c r="EO88" s="2" t="s">
        <v>3</v>
      </c>
      <c r="EP88" s="2"/>
      <c r="EQ88" s="2">
        <v>0</v>
      </c>
      <c r="ER88" s="2">
        <v>394.2</v>
      </c>
      <c r="ES88" s="2">
        <v>394.2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>
        <v>0</v>
      </c>
      <c r="FR88" s="2">
        <v>0</v>
      </c>
      <c r="FS88" s="2">
        <v>0</v>
      </c>
      <c r="FT88" s="2"/>
      <c r="FU88" s="2"/>
      <c r="FV88" s="2"/>
      <c r="FW88" s="2"/>
      <c r="FX88" s="2">
        <v>121</v>
      </c>
      <c r="FY88" s="2">
        <v>72</v>
      </c>
      <c r="FZ88" s="2"/>
      <c r="GA88" s="2" t="s">
        <v>3</v>
      </c>
      <c r="GB88" s="2"/>
      <c r="GC88" s="2"/>
      <c r="GD88" s="2">
        <v>1</v>
      </c>
      <c r="GE88" s="2"/>
      <c r="GF88" s="2">
        <v>1011476876</v>
      </c>
      <c r="GG88" s="2">
        <v>2</v>
      </c>
      <c r="GH88" s="2">
        <v>1</v>
      </c>
      <c r="GI88" s="2">
        <v>2</v>
      </c>
      <c r="GJ88" s="2">
        <v>0</v>
      </c>
      <c r="GK88" s="2">
        <v>0</v>
      </c>
      <c r="GL88" s="2">
        <f t="shared" si="62"/>
        <v>0</v>
      </c>
      <c r="GM88" s="2">
        <f t="shared" si="63"/>
        <v>2625.36</v>
      </c>
      <c r="GN88" s="2">
        <f t="shared" si="64"/>
        <v>2625.36</v>
      </c>
      <c r="GO88" s="2">
        <f t="shared" si="65"/>
        <v>0</v>
      </c>
      <c r="GP88" s="2">
        <f t="shared" si="66"/>
        <v>0</v>
      </c>
      <c r="GQ88" s="2"/>
      <c r="GR88" s="2">
        <v>0</v>
      </c>
      <c r="GS88" s="2">
        <v>3</v>
      </c>
      <c r="GT88" s="2">
        <v>0</v>
      </c>
      <c r="GU88" s="2" t="s">
        <v>3</v>
      </c>
      <c r="GV88" s="2">
        <f t="shared" si="67"/>
        <v>0</v>
      </c>
      <c r="GW88" s="2">
        <v>1</v>
      </c>
      <c r="GX88" s="2">
        <f t="shared" si="68"/>
        <v>0</v>
      </c>
      <c r="GY88" s="2"/>
      <c r="GZ88" s="2"/>
      <c r="HA88" s="2">
        <v>0</v>
      </c>
      <c r="HB88" s="2">
        <v>0</v>
      </c>
      <c r="HC88" s="2">
        <f t="shared" si="69"/>
        <v>0</v>
      </c>
      <c r="HD88" s="2"/>
      <c r="HE88" s="2" t="s">
        <v>3</v>
      </c>
      <c r="HF88" s="2" t="s">
        <v>3</v>
      </c>
      <c r="HG88" s="2"/>
      <c r="HH88" s="2"/>
      <c r="HI88" s="2"/>
      <c r="HJ88" s="2"/>
      <c r="HK88" s="2"/>
      <c r="HL88" s="2"/>
      <c r="HM88" s="2" t="s">
        <v>3</v>
      </c>
      <c r="HN88" s="2" t="s">
        <v>57</v>
      </c>
      <c r="HO88" s="2" t="s">
        <v>58</v>
      </c>
      <c r="HP88" s="2" t="s">
        <v>53</v>
      </c>
      <c r="HQ88" s="2" t="s">
        <v>53</v>
      </c>
      <c r="HR88" s="2"/>
      <c r="HS88" s="2">
        <v>0</v>
      </c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>
        <v>0</v>
      </c>
      <c r="IL88" s="2"/>
      <c r="IM88" s="2"/>
      <c r="IN88" s="2"/>
      <c r="IO88" s="2"/>
      <c r="IP88" s="2"/>
      <c r="IQ88" s="2"/>
      <c r="IR88" s="2"/>
      <c r="IS88" s="2"/>
      <c r="IT88" s="2"/>
      <c r="IU88" s="2"/>
    </row>
    <row r="89" spans="1:255" x14ac:dyDescent="0.2">
      <c r="A89" s="2">
        <v>17</v>
      </c>
      <c r="B89" s="2">
        <v>1</v>
      </c>
      <c r="C89" s="2">
        <f>ROW(SmtRes!A76)</f>
        <v>76</v>
      </c>
      <c r="D89" s="2">
        <f>ROW(EtalonRes!A72)</f>
        <v>72</v>
      </c>
      <c r="E89" s="2" t="s">
        <v>200</v>
      </c>
      <c r="F89" s="2" t="s">
        <v>201</v>
      </c>
      <c r="G89" s="2" t="s">
        <v>202</v>
      </c>
      <c r="H89" s="2" t="s">
        <v>19</v>
      </c>
      <c r="I89" s="2">
        <f>ROUND(2/100,7)</f>
        <v>0.02</v>
      </c>
      <c r="J89" s="2">
        <v>0</v>
      </c>
      <c r="K89" s="2">
        <f>ROUND(2/100,7)</f>
        <v>0.02</v>
      </c>
      <c r="L89" s="2"/>
      <c r="M89" s="2"/>
      <c r="N89" s="2"/>
      <c r="O89" s="2">
        <f t="shared" si="51"/>
        <v>2039.08</v>
      </c>
      <c r="P89" s="2">
        <f>SUMIF(SmtRes!AQ75:'SmtRes'!AQ76,"=1",SmtRes!DF75:'SmtRes'!DF76)</f>
        <v>0</v>
      </c>
      <c r="Q89" s="2">
        <f>SUMIF(SmtRes!AQ75:'SmtRes'!AQ76,"=1",SmtRes!DG75:'SmtRes'!DG76)</f>
        <v>0</v>
      </c>
      <c r="R89" s="2">
        <f>SUMIF(SmtRes!AQ75:'SmtRes'!AQ76,"=1",SmtRes!DH75:'SmtRes'!DH76)</f>
        <v>0</v>
      </c>
      <c r="S89" s="2">
        <f>SUMIF(SmtRes!AQ75:'SmtRes'!AQ76,"=1",SmtRes!DI75:'SmtRes'!DI76)</f>
        <v>2039.08</v>
      </c>
      <c r="T89" s="2">
        <f t="shared" si="52"/>
        <v>0</v>
      </c>
      <c r="U89" s="2">
        <f>SUMIF(SmtRes!AQ75:'SmtRes'!AQ76,"=1",SmtRes!CV75:'SmtRes'!CV76)</f>
        <v>3.18</v>
      </c>
      <c r="V89" s="2">
        <f>SUMIF(SmtRes!AQ75:'SmtRes'!AQ76,"=1",SmtRes!CW75:'SmtRes'!CW76)</f>
        <v>0</v>
      </c>
      <c r="W89" s="2">
        <f t="shared" si="53"/>
        <v>0</v>
      </c>
      <c r="X89" s="2">
        <f t="shared" si="54"/>
        <v>1774</v>
      </c>
      <c r="Y89" s="2">
        <f t="shared" si="55"/>
        <v>897.2</v>
      </c>
      <c r="Z89" s="2"/>
      <c r="AA89" s="2">
        <v>80308166</v>
      </c>
      <c r="AB89" s="2">
        <f t="shared" si="56"/>
        <v>101953.98</v>
      </c>
      <c r="AC89" s="2">
        <f>ROUND((0),6)</f>
        <v>0</v>
      </c>
      <c r="AD89" s="2">
        <f>ROUND((((0)-(0))+AE89),6)</f>
        <v>0</v>
      </c>
      <c r="AE89" s="2">
        <f>ROUND((0),6)</f>
        <v>0</v>
      </c>
      <c r="AF89" s="2">
        <f>ROUND((SUM(SmtRes!BT75:'SmtRes'!BT76)),6)</f>
        <v>101953.98</v>
      </c>
      <c r="AG89" s="2">
        <f t="shared" si="57"/>
        <v>0</v>
      </c>
      <c r="AH89" s="2">
        <f>(SUM(SmtRes!BU75:'SmtRes'!BU76))</f>
        <v>159</v>
      </c>
      <c r="AI89" s="2">
        <f>(0)</f>
        <v>0</v>
      </c>
      <c r="AJ89" s="2">
        <f t="shared" si="58"/>
        <v>0</v>
      </c>
      <c r="AK89" s="2">
        <v>101953.98000000001</v>
      </c>
      <c r="AL89" s="2">
        <v>0</v>
      </c>
      <c r="AM89" s="2">
        <v>0</v>
      </c>
      <c r="AN89" s="2">
        <v>0</v>
      </c>
      <c r="AO89" s="2">
        <v>101953.98000000001</v>
      </c>
      <c r="AP89" s="2">
        <v>0</v>
      </c>
      <c r="AQ89" s="2">
        <v>159</v>
      </c>
      <c r="AR89" s="2">
        <v>0</v>
      </c>
      <c r="AS89" s="2">
        <v>0</v>
      </c>
      <c r="AT89" s="2">
        <v>87</v>
      </c>
      <c r="AU89" s="2">
        <v>44</v>
      </c>
      <c r="AV89" s="2">
        <v>1</v>
      </c>
      <c r="AW89" s="2">
        <v>1</v>
      </c>
      <c r="AX89" s="2"/>
      <c r="AY89" s="2"/>
      <c r="AZ89" s="2">
        <v>1</v>
      </c>
      <c r="BA89" s="2">
        <v>1</v>
      </c>
      <c r="BB89" s="2">
        <v>1</v>
      </c>
      <c r="BC89" s="2">
        <v>1</v>
      </c>
      <c r="BD89" s="2" t="s">
        <v>3</v>
      </c>
      <c r="BE89" s="2" t="s">
        <v>3</v>
      </c>
      <c r="BF89" s="2" t="s">
        <v>3</v>
      </c>
      <c r="BG89" s="2" t="s">
        <v>3</v>
      </c>
      <c r="BH89" s="2">
        <v>0</v>
      </c>
      <c r="BI89" s="2">
        <v>1</v>
      </c>
      <c r="BJ89" s="2" t="s">
        <v>203</v>
      </c>
      <c r="BK89" s="2"/>
      <c r="BL89" s="2"/>
      <c r="BM89" s="2">
        <v>65001</v>
      </c>
      <c r="BN89" s="2">
        <v>0</v>
      </c>
      <c r="BO89" s="2" t="s">
        <v>3</v>
      </c>
      <c r="BP89" s="2">
        <v>0</v>
      </c>
      <c r="BQ89" s="2">
        <v>6</v>
      </c>
      <c r="BR89" s="2">
        <v>0</v>
      </c>
      <c r="BS89" s="2">
        <v>1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 t="s">
        <v>3</v>
      </c>
      <c r="BZ89" s="2">
        <v>87</v>
      </c>
      <c r="CA89" s="2">
        <v>44</v>
      </c>
      <c r="CB89" s="2" t="s">
        <v>3</v>
      </c>
      <c r="CC89" s="2"/>
      <c r="CD89" s="2"/>
      <c r="CE89" s="2">
        <v>0</v>
      </c>
      <c r="CF89" s="2">
        <v>0</v>
      </c>
      <c r="CG89" s="2">
        <v>0</v>
      </c>
      <c r="CH89" s="2"/>
      <c r="CI89" s="2"/>
      <c r="CJ89" s="2"/>
      <c r="CK89" s="2"/>
      <c r="CL89" s="2"/>
      <c r="CM89" s="2">
        <v>0</v>
      </c>
      <c r="CN89" s="2" t="s">
        <v>3</v>
      </c>
      <c r="CO89" s="2">
        <v>0</v>
      </c>
      <c r="CP89" s="2">
        <f t="shared" si="59"/>
        <v>2039.08</v>
      </c>
      <c r="CQ89" s="2">
        <f>SUMIF(SmtRes!AQ75:'SmtRes'!AQ76,"=1",SmtRes!AA75:'SmtRes'!AA76)</f>
        <v>0</v>
      </c>
      <c r="CR89" s="2">
        <f>SUMIF(SmtRes!AQ75:'SmtRes'!AQ76,"=1",SmtRes!AB75:'SmtRes'!AB76)</f>
        <v>0</v>
      </c>
      <c r="CS89" s="2">
        <f>SUMIF(SmtRes!AQ75:'SmtRes'!AQ76,"=1",SmtRes!AC75:'SmtRes'!AC76)</f>
        <v>0</v>
      </c>
      <c r="CT89" s="2">
        <f>SUMIF(SmtRes!AQ75:'SmtRes'!AQ76,"=1",SmtRes!AD75:'SmtRes'!AD76)</f>
        <v>641.22</v>
      </c>
      <c r="CU89" s="2">
        <f t="shared" si="60"/>
        <v>0</v>
      </c>
      <c r="CV89" s="2">
        <f>SUMIF(SmtRes!AQ75:'SmtRes'!AQ76,"=1",SmtRes!BU75:'SmtRes'!BU76)</f>
        <v>159</v>
      </c>
      <c r="CW89" s="2">
        <f>SUMIF(SmtRes!AQ75:'SmtRes'!AQ76,"=1",SmtRes!BV75:'SmtRes'!BV76)</f>
        <v>0</v>
      </c>
      <c r="CX89" s="2">
        <f t="shared" si="61"/>
        <v>0</v>
      </c>
      <c r="CY89" s="2">
        <f t="shared" si="70"/>
        <v>1773.9995999999999</v>
      </c>
      <c r="CZ89" s="2">
        <f t="shared" si="71"/>
        <v>897.19519999999989</v>
      </c>
      <c r="DA89" s="2"/>
      <c r="DB89" s="2"/>
      <c r="DC89" s="2" t="s">
        <v>3</v>
      </c>
      <c r="DD89" s="2" t="s">
        <v>3</v>
      </c>
      <c r="DE89" s="2" t="s">
        <v>3</v>
      </c>
      <c r="DF89" s="2" t="s">
        <v>3</v>
      </c>
      <c r="DG89" s="2" t="s">
        <v>3</v>
      </c>
      <c r="DH89" s="2" t="s">
        <v>3</v>
      </c>
      <c r="DI89" s="2" t="s">
        <v>3</v>
      </c>
      <c r="DJ89" s="2" t="s">
        <v>3</v>
      </c>
      <c r="DK89" s="2" t="s">
        <v>3</v>
      </c>
      <c r="DL89" s="2" t="s">
        <v>3</v>
      </c>
      <c r="DM89" s="2" t="s">
        <v>3</v>
      </c>
      <c r="DN89" s="2">
        <v>0</v>
      </c>
      <c r="DO89" s="2">
        <v>0</v>
      </c>
      <c r="DP89" s="2">
        <v>1</v>
      </c>
      <c r="DQ89" s="2">
        <v>1</v>
      </c>
      <c r="DR89" s="2"/>
      <c r="DS89" s="2"/>
      <c r="DT89" s="2"/>
      <c r="DU89" s="2">
        <v>1013</v>
      </c>
      <c r="DV89" s="2" t="s">
        <v>19</v>
      </c>
      <c r="DW89" s="2" t="s">
        <v>19</v>
      </c>
      <c r="DX89" s="2">
        <v>1</v>
      </c>
      <c r="DY89" s="2"/>
      <c r="DZ89" s="2" t="s">
        <v>3</v>
      </c>
      <c r="EA89" s="2" t="s">
        <v>3</v>
      </c>
      <c r="EB89" s="2" t="s">
        <v>3</v>
      </c>
      <c r="EC89" s="2" t="s">
        <v>3</v>
      </c>
      <c r="ED89" s="2"/>
      <c r="EE89" s="2">
        <v>77313178</v>
      </c>
      <c r="EF89" s="2">
        <v>6</v>
      </c>
      <c r="EG89" s="2" t="s">
        <v>21</v>
      </c>
      <c r="EH89" s="2">
        <v>99</v>
      </c>
      <c r="EI89" s="2" t="s">
        <v>22</v>
      </c>
      <c r="EJ89" s="2">
        <v>1</v>
      </c>
      <c r="EK89" s="2">
        <v>65001</v>
      </c>
      <c r="EL89" s="2" t="s">
        <v>40</v>
      </c>
      <c r="EM89" s="2" t="s">
        <v>24</v>
      </c>
      <c r="EN89" s="2"/>
      <c r="EO89" s="2" t="s">
        <v>3</v>
      </c>
      <c r="EP89" s="2"/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159</v>
      </c>
      <c r="EX89" s="2">
        <v>0</v>
      </c>
      <c r="EY89" s="2">
        <v>0</v>
      </c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>
        <v>0</v>
      </c>
      <c r="FR89" s="2">
        <v>0</v>
      </c>
      <c r="FS89" s="2">
        <v>0</v>
      </c>
      <c r="FT89" s="2"/>
      <c r="FU89" s="2"/>
      <c r="FV89" s="2"/>
      <c r="FW89" s="2"/>
      <c r="FX89" s="2">
        <v>87</v>
      </c>
      <c r="FY89" s="2">
        <v>44</v>
      </c>
      <c r="FZ89" s="2"/>
      <c r="GA89" s="2" t="s">
        <v>3</v>
      </c>
      <c r="GB89" s="2"/>
      <c r="GC89" s="2"/>
      <c r="GD89" s="2">
        <v>1</v>
      </c>
      <c r="GE89" s="2"/>
      <c r="GF89" s="2">
        <v>954996290</v>
      </c>
      <c r="GG89" s="2">
        <v>2</v>
      </c>
      <c r="GH89" s="2">
        <v>1</v>
      </c>
      <c r="GI89" s="2">
        <v>-2</v>
      </c>
      <c r="GJ89" s="2">
        <v>0</v>
      </c>
      <c r="GK89" s="2">
        <v>0</v>
      </c>
      <c r="GL89" s="2">
        <f t="shared" si="62"/>
        <v>0</v>
      </c>
      <c r="GM89" s="2">
        <f t="shared" si="63"/>
        <v>4710.28</v>
      </c>
      <c r="GN89" s="2">
        <f t="shared" si="64"/>
        <v>4710.28</v>
      </c>
      <c r="GO89" s="2">
        <f t="shared" si="65"/>
        <v>0</v>
      </c>
      <c r="GP89" s="2">
        <f t="shared" si="66"/>
        <v>0</v>
      </c>
      <c r="GQ89" s="2"/>
      <c r="GR89" s="2">
        <v>0</v>
      </c>
      <c r="GS89" s="2">
        <v>3</v>
      </c>
      <c r="GT89" s="2">
        <v>0</v>
      </c>
      <c r="GU89" s="2" t="s">
        <v>3</v>
      </c>
      <c r="GV89" s="2">
        <f t="shared" si="67"/>
        <v>0</v>
      </c>
      <c r="GW89" s="2">
        <v>1</v>
      </c>
      <c r="GX89" s="2">
        <f t="shared" si="68"/>
        <v>0</v>
      </c>
      <c r="GY89" s="2"/>
      <c r="GZ89" s="2"/>
      <c r="HA89" s="2">
        <v>0</v>
      </c>
      <c r="HB89" s="2">
        <v>0</v>
      </c>
      <c r="HC89" s="2">
        <f t="shared" si="69"/>
        <v>0</v>
      </c>
      <c r="HD89" s="2"/>
      <c r="HE89" s="2" t="s">
        <v>3</v>
      </c>
      <c r="HF89" s="2" t="s">
        <v>3</v>
      </c>
      <c r="HG89" s="2"/>
      <c r="HH89" s="2"/>
      <c r="HI89" s="2"/>
      <c r="HJ89" s="2"/>
      <c r="HK89" s="2"/>
      <c r="HL89" s="2"/>
      <c r="HM89" s="2" t="s">
        <v>3</v>
      </c>
      <c r="HN89" s="2" t="s">
        <v>41</v>
      </c>
      <c r="HO89" s="2" t="s">
        <v>42</v>
      </c>
      <c r="HP89" s="2" t="s">
        <v>40</v>
      </c>
      <c r="HQ89" s="2" t="s">
        <v>40</v>
      </c>
      <c r="HR89" s="2"/>
      <c r="HS89" s="2">
        <v>0</v>
      </c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>
        <v>0</v>
      </c>
      <c r="IL89" s="2"/>
      <c r="IM89" s="2"/>
      <c r="IN89" s="2"/>
      <c r="IO89" s="2"/>
      <c r="IP89" s="2"/>
      <c r="IQ89" s="2"/>
      <c r="IR89" s="2"/>
      <c r="IS89" s="2"/>
      <c r="IT89" s="2"/>
      <c r="IU89" s="2"/>
    </row>
    <row r="90" spans="1:255" x14ac:dyDescent="0.2">
      <c r="A90" s="2">
        <v>18</v>
      </c>
      <c r="B90" s="2">
        <v>1</v>
      </c>
      <c r="C90" s="2">
        <v>76</v>
      </c>
      <c r="D90" s="2"/>
      <c r="E90" s="2" t="s">
        <v>204</v>
      </c>
      <c r="F90" s="2" t="s">
        <v>33</v>
      </c>
      <c r="G90" s="2" t="s">
        <v>34</v>
      </c>
      <c r="H90" s="2" t="s">
        <v>35</v>
      </c>
      <c r="I90" s="2">
        <f>I89*J90</f>
        <v>0.106</v>
      </c>
      <c r="J90" s="2">
        <v>5.3</v>
      </c>
      <c r="K90" s="2">
        <v>5.3</v>
      </c>
      <c r="L90" s="2"/>
      <c r="M90" s="2"/>
      <c r="N90" s="2"/>
      <c r="O90" s="2">
        <f t="shared" si="51"/>
        <v>0</v>
      </c>
      <c r="P90" s="2">
        <f>ROUND(CQ90*I90,2)</f>
        <v>0</v>
      </c>
      <c r="Q90" s="2">
        <f>ROUND(CR90*I90,2)</f>
        <v>0</v>
      </c>
      <c r="R90" s="2">
        <f>ROUND(CS90*I90,2)</f>
        <v>0</v>
      </c>
      <c r="S90" s="2">
        <f>ROUND(CT90*I90,2)</f>
        <v>0</v>
      </c>
      <c r="T90" s="2">
        <f t="shared" si="52"/>
        <v>0</v>
      </c>
      <c r="U90" s="2">
        <f>ROUND(CV90*I90,7)</f>
        <v>0</v>
      </c>
      <c r="V90" s="2">
        <f>ROUND(CW90*I90,7)</f>
        <v>0</v>
      </c>
      <c r="W90" s="2">
        <f t="shared" si="53"/>
        <v>0</v>
      </c>
      <c r="X90" s="2">
        <f t="shared" si="54"/>
        <v>0</v>
      </c>
      <c r="Y90" s="2">
        <f t="shared" si="55"/>
        <v>0</v>
      </c>
      <c r="Z90" s="2"/>
      <c r="AA90" s="2">
        <v>80308166</v>
      </c>
      <c r="AB90" s="2">
        <f t="shared" si="56"/>
        <v>0</v>
      </c>
      <c r="AC90" s="2">
        <f>ROUND((ES90),6)</f>
        <v>0</v>
      </c>
      <c r="AD90" s="2">
        <f>ROUND((((ET90)-(EU90))+AE90),6)</f>
        <v>0</v>
      </c>
      <c r="AE90" s="2">
        <f>ROUND((EU90),6)</f>
        <v>0</v>
      </c>
      <c r="AF90" s="2">
        <f>ROUND((EV90),6)</f>
        <v>0</v>
      </c>
      <c r="AG90" s="2">
        <f t="shared" si="57"/>
        <v>0</v>
      </c>
      <c r="AH90" s="2">
        <f>(EW90)</f>
        <v>0</v>
      </c>
      <c r="AI90" s="2">
        <f>(EX90)</f>
        <v>0</v>
      </c>
      <c r="AJ90" s="2">
        <f t="shared" si="58"/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87</v>
      </c>
      <c r="AU90" s="2">
        <v>44</v>
      </c>
      <c r="AV90" s="2">
        <v>1</v>
      </c>
      <c r="AW90" s="2">
        <v>1</v>
      </c>
      <c r="AX90" s="2"/>
      <c r="AY90" s="2"/>
      <c r="AZ90" s="2">
        <v>1</v>
      </c>
      <c r="BA90" s="2">
        <v>1</v>
      </c>
      <c r="BB90" s="2">
        <v>1</v>
      </c>
      <c r="BC90" s="2">
        <v>1</v>
      </c>
      <c r="BD90" s="2" t="s">
        <v>3</v>
      </c>
      <c r="BE90" s="2" t="s">
        <v>3</v>
      </c>
      <c r="BF90" s="2" t="s">
        <v>3</v>
      </c>
      <c r="BG90" s="2" t="s">
        <v>3</v>
      </c>
      <c r="BH90" s="2">
        <v>3</v>
      </c>
      <c r="BI90" s="2">
        <v>1</v>
      </c>
      <c r="BJ90" s="2" t="s">
        <v>3</v>
      </c>
      <c r="BK90" s="2"/>
      <c r="BL90" s="2"/>
      <c r="BM90" s="2">
        <v>65001</v>
      </c>
      <c r="BN90" s="2">
        <v>0</v>
      </c>
      <c r="BO90" s="2" t="s">
        <v>3</v>
      </c>
      <c r="BP90" s="2">
        <v>0</v>
      </c>
      <c r="BQ90" s="2">
        <v>6</v>
      </c>
      <c r="BR90" s="2">
        <v>0</v>
      </c>
      <c r="BS90" s="2">
        <v>1</v>
      </c>
      <c r="BT90" s="2">
        <v>1</v>
      </c>
      <c r="BU90" s="2">
        <v>1</v>
      </c>
      <c r="BV90" s="2">
        <v>1</v>
      </c>
      <c r="BW90" s="2">
        <v>1</v>
      </c>
      <c r="BX90" s="2">
        <v>1</v>
      </c>
      <c r="BY90" s="2" t="s">
        <v>3</v>
      </c>
      <c r="BZ90" s="2">
        <v>87</v>
      </c>
      <c r="CA90" s="2">
        <v>44</v>
      </c>
      <c r="CB90" s="2" t="s">
        <v>3</v>
      </c>
      <c r="CC90" s="2"/>
      <c r="CD90" s="2"/>
      <c r="CE90" s="2">
        <v>0</v>
      </c>
      <c r="CF90" s="2">
        <v>0</v>
      </c>
      <c r="CG90" s="2">
        <v>0</v>
      </c>
      <c r="CH90" s="2"/>
      <c r="CI90" s="2"/>
      <c r="CJ90" s="2"/>
      <c r="CK90" s="2"/>
      <c r="CL90" s="2"/>
      <c r="CM90" s="2">
        <v>0</v>
      </c>
      <c r="CN90" s="2" t="s">
        <v>3</v>
      </c>
      <c r="CO90" s="2">
        <v>0</v>
      </c>
      <c r="CP90" s="2">
        <f t="shared" si="59"/>
        <v>0</v>
      </c>
      <c r="CQ90" s="2">
        <f>ROUND(AL90*BC90,2)</f>
        <v>0</v>
      </c>
      <c r="CR90" s="2">
        <f>ROUND(AM90*BB90,2)</f>
        <v>0</v>
      </c>
      <c r="CS90" s="2">
        <f>ROUND(AN90*BS90,2)</f>
        <v>0</v>
      </c>
      <c r="CT90" s="2">
        <f>ROUND(AO90*BA90,2)</f>
        <v>0</v>
      </c>
      <c r="CU90" s="2">
        <f t="shared" si="60"/>
        <v>0</v>
      </c>
      <c r="CV90" s="2">
        <f>AH90</f>
        <v>0</v>
      </c>
      <c r="CW90" s="2">
        <f>AI90</f>
        <v>0</v>
      </c>
      <c r="CX90" s="2">
        <f t="shared" si="61"/>
        <v>0</v>
      </c>
      <c r="CY90" s="2">
        <f t="shared" si="70"/>
        <v>0</v>
      </c>
      <c r="CZ90" s="2">
        <f t="shared" si="71"/>
        <v>0</v>
      </c>
      <c r="DA90" s="2"/>
      <c r="DB90" s="2"/>
      <c r="DC90" s="2" t="s">
        <v>3</v>
      </c>
      <c r="DD90" s="2" t="s">
        <v>3</v>
      </c>
      <c r="DE90" s="2" t="s">
        <v>3</v>
      </c>
      <c r="DF90" s="2" t="s">
        <v>3</v>
      </c>
      <c r="DG90" s="2" t="s">
        <v>3</v>
      </c>
      <c r="DH90" s="2" t="s">
        <v>3</v>
      </c>
      <c r="DI90" s="2" t="s">
        <v>3</v>
      </c>
      <c r="DJ90" s="2" t="s">
        <v>3</v>
      </c>
      <c r="DK90" s="2" t="s">
        <v>3</v>
      </c>
      <c r="DL90" s="2" t="s">
        <v>3</v>
      </c>
      <c r="DM90" s="2" t="s">
        <v>3</v>
      </c>
      <c r="DN90" s="2">
        <v>0</v>
      </c>
      <c r="DO90" s="2">
        <v>0</v>
      </c>
      <c r="DP90" s="2">
        <v>1</v>
      </c>
      <c r="DQ90" s="2">
        <v>1</v>
      </c>
      <c r="DR90" s="2"/>
      <c r="DS90" s="2"/>
      <c r="DT90" s="2"/>
      <c r="DU90" s="2">
        <v>1009</v>
      </c>
      <c r="DV90" s="2" t="s">
        <v>35</v>
      </c>
      <c r="DW90" s="2" t="s">
        <v>35</v>
      </c>
      <c r="DX90" s="2">
        <v>1000</v>
      </c>
      <c r="DY90" s="2"/>
      <c r="DZ90" s="2" t="s">
        <v>3</v>
      </c>
      <c r="EA90" s="2" t="s">
        <v>3</v>
      </c>
      <c r="EB90" s="2" t="s">
        <v>3</v>
      </c>
      <c r="EC90" s="2" t="s">
        <v>3</v>
      </c>
      <c r="ED90" s="2"/>
      <c r="EE90" s="2">
        <v>77313178</v>
      </c>
      <c r="EF90" s="2">
        <v>6</v>
      </c>
      <c r="EG90" s="2" t="s">
        <v>21</v>
      </c>
      <c r="EH90" s="2">
        <v>99</v>
      </c>
      <c r="EI90" s="2" t="s">
        <v>22</v>
      </c>
      <c r="EJ90" s="2">
        <v>1</v>
      </c>
      <c r="EK90" s="2">
        <v>65001</v>
      </c>
      <c r="EL90" s="2" t="s">
        <v>40</v>
      </c>
      <c r="EM90" s="2" t="s">
        <v>24</v>
      </c>
      <c r="EN90" s="2"/>
      <c r="EO90" s="2" t="s">
        <v>3</v>
      </c>
      <c r="EP90" s="2"/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>
        <v>0</v>
      </c>
      <c r="FR90" s="2">
        <v>0</v>
      </c>
      <c r="FS90" s="2">
        <v>0</v>
      </c>
      <c r="FT90" s="2"/>
      <c r="FU90" s="2"/>
      <c r="FV90" s="2"/>
      <c r="FW90" s="2"/>
      <c r="FX90" s="2">
        <v>87</v>
      </c>
      <c r="FY90" s="2">
        <v>44</v>
      </c>
      <c r="FZ90" s="2"/>
      <c r="GA90" s="2" t="s">
        <v>3</v>
      </c>
      <c r="GB90" s="2"/>
      <c r="GC90" s="2"/>
      <c r="GD90" s="2">
        <v>1</v>
      </c>
      <c r="GE90" s="2"/>
      <c r="GF90" s="2">
        <v>-1296435862</v>
      </c>
      <c r="GG90" s="2">
        <v>2</v>
      </c>
      <c r="GH90" s="2">
        <v>1</v>
      </c>
      <c r="GI90" s="2">
        <v>-2</v>
      </c>
      <c r="GJ90" s="2">
        <v>0</v>
      </c>
      <c r="GK90" s="2">
        <v>0</v>
      </c>
      <c r="GL90" s="2">
        <f t="shared" si="62"/>
        <v>0</v>
      </c>
      <c r="GM90" s="2">
        <f t="shared" si="63"/>
        <v>0</v>
      </c>
      <c r="GN90" s="2">
        <f t="shared" si="64"/>
        <v>0</v>
      </c>
      <c r="GO90" s="2">
        <f t="shared" si="65"/>
        <v>0</v>
      </c>
      <c r="GP90" s="2">
        <f t="shared" si="66"/>
        <v>0</v>
      </c>
      <c r="GQ90" s="2"/>
      <c r="GR90" s="2">
        <v>0</v>
      </c>
      <c r="GS90" s="2">
        <v>0</v>
      </c>
      <c r="GT90" s="2">
        <v>0</v>
      </c>
      <c r="GU90" s="2" t="s">
        <v>3</v>
      </c>
      <c r="GV90" s="2">
        <f t="shared" si="67"/>
        <v>0</v>
      </c>
      <c r="GW90" s="2">
        <v>1</v>
      </c>
      <c r="GX90" s="2">
        <f t="shared" si="68"/>
        <v>0</v>
      </c>
      <c r="GY90" s="2"/>
      <c r="GZ90" s="2"/>
      <c r="HA90" s="2">
        <v>0</v>
      </c>
      <c r="HB90" s="2">
        <v>0</v>
      </c>
      <c r="HC90" s="2">
        <f t="shared" si="69"/>
        <v>0</v>
      </c>
      <c r="HD90" s="2"/>
      <c r="HE90" s="2" t="s">
        <v>3</v>
      </c>
      <c r="HF90" s="2" t="s">
        <v>3</v>
      </c>
      <c r="HG90" s="2"/>
      <c r="HH90" s="2"/>
      <c r="HI90" s="2"/>
      <c r="HJ90" s="2"/>
      <c r="HK90" s="2"/>
      <c r="HL90" s="2"/>
      <c r="HM90" s="2" t="s">
        <v>3</v>
      </c>
      <c r="HN90" s="2" t="s">
        <v>41</v>
      </c>
      <c r="HO90" s="2" t="s">
        <v>42</v>
      </c>
      <c r="HP90" s="2" t="s">
        <v>40</v>
      </c>
      <c r="HQ90" s="2" t="s">
        <v>40</v>
      </c>
      <c r="HR90" s="2"/>
      <c r="HS90" s="2">
        <v>0</v>
      </c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>
        <v>0</v>
      </c>
      <c r="IL90" s="2"/>
      <c r="IM90" s="2"/>
      <c r="IN90" s="2"/>
      <c r="IO90" s="2"/>
      <c r="IP90" s="2"/>
      <c r="IQ90" s="2"/>
      <c r="IR90" s="2"/>
      <c r="IS90" s="2"/>
      <c r="IT90" s="2"/>
      <c r="IU90" s="2"/>
    </row>
    <row r="91" spans="1:255" ht="409.5" x14ac:dyDescent="0.2">
      <c r="A91" s="2">
        <v>17</v>
      </c>
      <c r="B91" s="2">
        <v>1</v>
      </c>
      <c r="C91" s="2">
        <f>ROW(SmtRes!A87)</f>
        <v>87</v>
      </c>
      <c r="D91" s="2">
        <f>ROW(EtalonRes!A83)</f>
        <v>83</v>
      </c>
      <c r="E91" s="2" t="s">
        <v>205</v>
      </c>
      <c r="F91" s="2" t="s">
        <v>206</v>
      </c>
      <c r="G91" s="2" t="s">
        <v>207</v>
      </c>
      <c r="H91" s="2" t="s">
        <v>30</v>
      </c>
      <c r="I91" s="2">
        <v>1</v>
      </c>
      <c r="J91" s="2">
        <v>0</v>
      </c>
      <c r="K91" s="2">
        <v>1</v>
      </c>
      <c r="L91" s="2"/>
      <c r="M91" s="2"/>
      <c r="N91" s="2"/>
      <c r="O91" s="2">
        <f t="shared" si="51"/>
        <v>9104.41</v>
      </c>
      <c r="P91" s="2">
        <f>SUMIF(SmtRes!AQ77:'SmtRes'!AQ87,"=1",SmtRes!DF77:'SmtRes'!DF87)</f>
        <v>6084.06</v>
      </c>
      <c r="Q91" s="2">
        <f>SUMIF(SmtRes!AQ77:'SmtRes'!AQ87,"=1",SmtRes!DG77:'SmtRes'!DG87)</f>
        <v>105.21000000000001</v>
      </c>
      <c r="R91" s="2">
        <f>SUMIF(SmtRes!AQ77:'SmtRes'!AQ87,"=1",SmtRes!DH77:'SmtRes'!DH87)</f>
        <v>42.3</v>
      </c>
      <c r="S91" s="2">
        <f>SUMIF(SmtRes!AQ77:'SmtRes'!AQ87,"=1",SmtRes!DI77:'SmtRes'!DI87)</f>
        <v>2872.84</v>
      </c>
      <c r="T91" s="2">
        <f t="shared" si="52"/>
        <v>0</v>
      </c>
      <c r="U91" s="2">
        <f>SUMIF(SmtRes!AQ77:'SmtRes'!AQ87,"=1",SmtRes!CV77:'SmtRes'!CV87)</f>
        <v>4.117</v>
      </c>
      <c r="V91" s="2">
        <f>SUMIF(SmtRes!AQ77:'SmtRes'!AQ87,"=1",SmtRes!CW77:'SmtRes'!CW87)</f>
        <v>0.05</v>
      </c>
      <c r="W91" s="2">
        <f t="shared" si="53"/>
        <v>0</v>
      </c>
      <c r="X91" s="2">
        <f t="shared" si="54"/>
        <v>3174.59</v>
      </c>
      <c r="Y91" s="2">
        <f t="shared" si="55"/>
        <v>1784.07</v>
      </c>
      <c r="Z91" s="2"/>
      <c r="AA91" s="2">
        <v>80308166</v>
      </c>
      <c r="AB91" s="2">
        <f t="shared" si="56"/>
        <v>9024.2964840000004</v>
      </c>
      <c r="AC91" s="2">
        <f>ROUND((SUM(SmtRes!BQ77:'SmtRes'!BQ87)),6)</f>
        <v>6046.2428840000002</v>
      </c>
      <c r="AD91" s="2">
        <f>ROUND((((SUM(SmtRes!BR77:'SmtRes'!BR87))-(SUM(SmtRes!BS77:'SmtRes'!BS87)))+AE91),6)</f>
        <v>105.211</v>
      </c>
      <c r="AE91" s="2">
        <f>ROUND((SUM(SmtRes!BS77:'SmtRes'!BS87)),6)</f>
        <v>42.298999999999999</v>
      </c>
      <c r="AF91" s="2">
        <f>ROUND((SUM(SmtRes!BT77:'SmtRes'!BT87)),6)</f>
        <v>2872.8425999999999</v>
      </c>
      <c r="AG91" s="2">
        <f t="shared" si="57"/>
        <v>0</v>
      </c>
      <c r="AH91" s="2">
        <f>(SUM(SmtRes!BU77:'SmtRes'!BU87))</f>
        <v>4.117</v>
      </c>
      <c r="AI91" s="2">
        <f>(SUM(SmtRes!BV77:'SmtRes'!BV87))</f>
        <v>0.05</v>
      </c>
      <c r="AJ91" s="2">
        <f t="shared" si="58"/>
        <v>0</v>
      </c>
      <c r="AK91" s="2">
        <v>8662.3748835999995</v>
      </c>
      <c r="AL91" s="2">
        <v>6046.2428835999999</v>
      </c>
      <c r="AM91" s="2">
        <v>84.168800000000005</v>
      </c>
      <c r="AN91" s="2">
        <v>33.839199999999998</v>
      </c>
      <c r="AO91" s="2">
        <v>2498.1239999999998</v>
      </c>
      <c r="AP91" s="2">
        <v>0</v>
      </c>
      <c r="AQ91" s="2">
        <v>3.58</v>
      </c>
      <c r="AR91" s="2">
        <v>0.04</v>
      </c>
      <c r="AS91" s="2">
        <v>0</v>
      </c>
      <c r="AT91" s="2">
        <v>108.9</v>
      </c>
      <c r="AU91" s="2">
        <v>61.2</v>
      </c>
      <c r="AV91" s="2">
        <v>1</v>
      </c>
      <c r="AW91" s="2">
        <v>1</v>
      </c>
      <c r="AX91" s="2"/>
      <c r="AY91" s="2"/>
      <c r="AZ91" s="2">
        <v>1</v>
      </c>
      <c r="BA91" s="2">
        <v>1</v>
      </c>
      <c r="BB91" s="2">
        <v>1</v>
      </c>
      <c r="BC91" s="2">
        <v>1</v>
      </c>
      <c r="BD91" s="2" t="s">
        <v>3</v>
      </c>
      <c r="BE91" s="2" t="s">
        <v>3</v>
      </c>
      <c r="BF91" s="2" t="s">
        <v>3</v>
      </c>
      <c r="BG91" s="2" t="s">
        <v>3</v>
      </c>
      <c r="BH91" s="2">
        <v>0</v>
      </c>
      <c r="BI91" s="2">
        <v>1</v>
      </c>
      <c r="BJ91" s="2" t="s">
        <v>208</v>
      </c>
      <c r="BK91" s="2"/>
      <c r="BL91" s="2"/>
      <c r="BM91" s="2">
        <v>18001</v>
      </c>
      <c r="BN91" s="2">
        <v>0</v>
      </c>
      <c r="BO91" s="2" t="s">
        <v>3</v>
      </c>
      <c r="BP91" s="2">
        <v>0</v>
      </c>
      <c r="BQ91" s="2">
        <v>2</v>
      </c>
      <c r="BR91" s="2">
        <v>0</v>
      </c>
      <c r="BS91" s="2">
        <v>1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 t="s">
        <v>3</v>
      </c>
      <c r="BZ91" s="2">
        <v>121</v>
      </c>
      <c r="CA91" s="2">
        <v>72</v>
      </c>
      <c r="CB91" s="2" t="s">
        <v>3</v>
      </c>
      <c r="CC91" s="2"/>
      <c r="CD91" s="2"/>
      <c r="CE91" s="2">
        <v>0</v>
      </c>
      <c r="CF91" s="2">
        <v>0</v>
      </c>
      <c r="CG91" s="2">
        <v>0</v>
      </c>
      <c r="CH91" s="2"/>
      <c r="CI91" s="2"/>
      <c r="CJ91" s="2"/>
      <c r="CK91" s="2"/>
      <c r="CL91" s="2"/>
      <c r="CM91" s="2">
        <v>0</v>
      </c>
      <c r="CN91" s="7" t="s">
        <v>651</v>
      </c>
      <c r="CO91" s="2">
        <v>0</v>
      </c>
      <c r="CP91" s="2">
        <f t="shared" si="59"/>
        <v>9104.41</v>
      </c>
      <c r="CQ91" s="2">
        <f>SUMIF(SmtRes!AQ77:'SmtRes'!AQ87,"=1",SmtRes!AA77:'SmtRes'!AA87)</f>
        <v>231966.13</v>
      </c>
      <c r="CR91" s="2">
        <f>SUMIF(SmtRes!AQ77:'SmtRes'!AQ87,"=1",SmtRes!AB77:'SmtRes'!AB87)</f>
        <v>2305.1000000000004</v>
      </c>
      <c r="CS91" s="2">
        <f>SUMIF(SmtRes!AQ77:'SmtRes'!AQ87,"=1",SmtRes!AC77:'SmtRes'!AC87)</f>
        <v>1691.96</v>
      </c>
      <c r="CT91" s="2">
        <f>SUMIF(SmtRes!AQ77:'SmtRes'!AQ87,"=1",SmtRes!AD77:'SmtRes'!AD87)</f>
        <v>697.8</v>
      </c>
      <c r="CU91" s="2">
        <f t="shared" si="60"/>
        <v>0</v>
      </c>
      <c r="CV91" s="2">
        <f>SUMIF(SmtRes!AQ77:'SmtRes'!AQ87,"=1",SmtRes!BU77:'SmtRes'!BU87)</f>
        <v>4.117</v>
      </c>
      <c r="CW91" s="2">
        <f>SUMIF(SmtRes!AQ77:'SmtRes'!AQ87,"=1",SmtRes!BV77:'SmtRes'!BV87)</f>
        <v>0.05</v>
      </c>
      <c r="CX91" s="2">
        <f t="shared" si="61"/>
        <v>0</v>
      </c>
      <c r="CY91" s="2">
        <f t="shared" si="70"/>
        <v>3174.5874600000006</v>
      </c>
      <c r="CZ91" s="2">
        <f t="shared" si="71"/>
        <v>1784.0656800000004</v>
      </c>
      <c r="DA91" s="2"/>
      <c r="DB91" s="2">
        <v>7</v>
      </c>
      <c r="DC91" s="2" t="s">
        <v>3</v>
      </c>
      <c r="DD91" s="2" t="s">
        <v>3</v>
      </c>
      <c r="DE91" s="2" t="s">
        <v>48</v>
      </c>
      <c r="DF91" s="2" t="s">
        <v>48</v>
      </c>
      <c r="DG91" s="2" t="s">
        <v>49</v>
      </c>
      <c r="DH91" s="2" t="s">
        <v>3</v>
      </c>
      <c r="DI91" s="2" t="s">
        <v>49</v>
      </c>
      <c r="DJ91" s="2" t="s">
        <v>48</v>
      </c>
      <c r="DK91" s="2" t="s">
        <v>3</v>
      </c>
      <c r="DL91" s="2" t="s">
        <v>50</v>
      </c>
      <c r="DM91" s="2" t="s">
        <v>51</v>
      </c>
      <c r="DN91" s="2">
        <v>0</v>
      </c>
      <c r="DO91" s="2">
        <v>0</v>
      </c>
      <c r="DP91" s="2">
        <v>1</v>
      </c>
      <c r="DQ91" s="2">
        <v>1</v>
      </c>
      <c r="DR91" s="2"/>
      <c r="DS91" s="2"/>
      <c r="DT91" s="2"/>
      <c r="DU91" s="2">
        <v>1013</v>
      </c>
      <c r="DV91" s="2" t="s">
        <v>30</v>
      </c>
      <c r="DW91" s="2" t="s">
        <v>30</v>
      </c>
      <c r="DX91" s="2">
        <v>1</v>
      </c>
      <c r="DY91" s="2"/>
      <c r="DZ91" s="2" t="s">
        <v>3</v>
      </c>
      <c r="EA91" s="2" t="s">
        <v>3</v>
      </c>
      <c r="EB91" s="2" t="s">
        <v>3</v>
      </c>
      <c r="EC91" s="2" t="s">
        <v>3</v>
      </c>
      <c r="ED91" s="2"/>
      <c r="EE91" s="2">
        <v>77313121</v>
      </c>
      <c r="EF91" s="2">
        <v>2</v>
      </c>
      <c r="EG91" s="2" t="s">
        <v>52</v>
      </c>
      <c r="EH91" s="2">
        <v>16</v>
      </c>
      <c r="EI91" s="2" t="s">
        <v>53</v>
      </c>
      <c r="EJ91" s="2">
        <v>1</v>
      </c>
      <c r="EK91" s="2">
        <v>18001</v>
      </c>
      <c r="EL91" s="2" t="s">
        <v>160</v>
      </c>
      <c r="EM91" s="2" t="s">
        <v>161</v>
      </c>
      <c r="EN91" s="2"/>
      <c r="EO91" s="2" t="s">
        <v>56</v>
      </c>
      <c r="EP91" s="2"/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3.58</v>
      </c>
      <c r="EX91" s="2">
        <v>0.04</v>
      </c>
      <c r="EY91" s="2">
        <v>0</v>
      </c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>
        <v>0</v>
      </c>
      <c r="FR91" s="2">
        <v>0</v>
      </c>
      <c r="FS91" s="2">
        <v>0</v>
      </c>
      <c r="FT91" s="2"/>
      <c r="FU91" s="2"/>
      <c r="FV91" s="2"/>
      <c r="FW91" s="2"/>
      <c r="FX91" s="2">
        <v>108.9</v>
      </c>
      <c r="FY91" s="2">
        <v>61.2</v>
      </c>
      <c r="FZ91" s="2"/>
      <c r="GA91" s="2" t="s">
        <v>3</v>
      </c>
      <c r="GB91" s="2"/>
      <c r="GC91" s="2"/>
      <c r="GD91" s="2">
        <v>1</v>
      </c>
      <c r="GE91" s="2"/>
      <c r="GF91" s="2">
        <v>-2095222024</v>
      </c>
      <c r="GG91" s="2">
        <v>2</v>
      </c>
      <c r="GH91" s="2">
        <v>1</v>
      </c>
      <c r="GI91" s="2">
        <v>-2</v>
      </c>
      <c r="GJ91" s="2">
        <v>0</v>
      </c>
      <c r="GK91" s="2">
        <v>0</v>
      </c>
      <c r="GL91" s="2">
        <f t="shared" si="62"/>
        <v>0</v>
      </c>
      <c r="GM91" s="2">
        <f t="shared" si="63"/>
        <v>14063.07</v>
      </c>
      <c r="GN91" s="2">
        <f t="shared" si="64"/>
        <v>14063.07</v>
      </c>
      <c r="GO91" s="2">
        <f t="shared" si="65"/>
        <v>0</v>
      </c>
      <c r="GP91" s="2">
        <f t="shared" si="66"/>
        <v>0</v>
      </c>
      <c r="GQ91" s="2"/>
      <c r="GR91" s="2">
        <v>0</v>
      </c>
      <c r="GS91" s="2">
        <v>3</v>
      </c>
      <c r="GT91" s="2">
        <v>0</v>
      </c>
      <c r="GU91" s="2" t="s">
        <v>3</v>
      </c>
      <c r="GV91" s="2">
        <f t="shared" si="67"/>
        <v>0</v>
      </c>
      <c r="GW91" s="2">
        <v>1</v>
      </c>
      <c r="GX91" s="2">
        <f t="shared" si="68"/>
        <v>0</v>
      </c>
      <c r="GY91" s="2"/>
      <c r="GZ91" s="2"/>
      <c r="HA91" s="2">
        <v>0</v>
      </c>
      <c r="HB91" s="2">
        <v>0</v>
      </c>
      <c r="HC91" s="2">
        <f t="shared" si="69"/>
        <v>0</v>
      </c>
      <c r="HD91" s="2"/>
      <c r="HE91" s="2" t="s">
        <v>3</v>
      </c>
      <c r="HF91" s="2" t="s">
        <v>3</v>
      </c>
      <c r="HG91" s="2"/>
      <c r="HH91" s="2"/>
      <c r="HI91" s="2"/>
      <c r="HJ91" s="2"/>
      <c r="HK91" s="2"/>
      <c r="HL91" s="2"/>
      <c r="HM91" s="2" t="s">
        <v>3</v>
      </c>
      <c r="HN91" s="2" t="s">
        <v>57</v>
      </c>
      <c r="HO91" s="2" t="s">
        <v>58</v>
      </c>
      <c r="HP91" s="2" t="s">
        <v>53</v>
      </c>
      <c r="HQ91" s="2" t="s">
        <v>53</v>
      </c>
      <c r="HR91" s="2"/>
      <c r="HS91" s="2">
        <v>0</v>
      </c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>
        <v>0</v>
      </c>
      <c r="IL91" s="2"/>
      <c r="IM91" s="2"/>
      <c r="IN91" s="2"/>
      <c r="IO91" s="2"/>
      <c r="IP91" s="2"/>
      <c r="IQ91" s="2"/>
      <c r="IR91" s="2"/>
      <c r="IS91" s="2"/>
      <c r="IT91" s="2"/>
      <c r="IU91" s="2"/>
    </row>
    <row r="92" spans="1:255" x14ac:dyDescent="0.2">
      <c r="A92" s="2">
        <v>18</v>
      </c>
      <c r="B92" s="2">
        <v>1</v>
      </c>
      <c r="C92" s="2">
        <v>87</v>
      </c>
      <c r="D92" s="2"/>
      <c r="E92" s="2" t="s">
        <v>209</v>
      </c>
      <c r="F92" s="2" t="s">
        <v>210</v>
      </c>
      <c r="G92" s="2" t="s">
        <v>211</v>
      </c>
      <c r="H92" s="2" t="s">
        <v>30</v>
      </c>
      <c r="I92" s="2">
        <f>I91*J92</f>
        <v>4</v>
      </c>
      <c r="J92" s="2">
        <v>4</v>
      </c>
      <c r="K92" s="2">
        <v>4</v>
      </c>
      <c r="L92" s="2"/>
      <c r="M92" s="2"/>
      <c r="N92" s="2"/>
      <c r="O92" s="2">
        <f t="shared" si="51"/>
        <v>3035.28</v>
      </c>
      <c r="P92" s="2">
        <f>ROUND(CQ92*I92,2)</f>
        <v>3035.28</v>
      </c>
      <c r="Q92" s="2">
        <f>ROUND(CR92*I92,2)</f>
        <v>0</v>
      </c>
      <c r="R92" s="2">
        <f>ROUND(CS92*I92,2)</f>
        <v>0</v>
      </c>
      <c r="S92" s="2">
        <f>ROUND(CT92*I92,2)</f>
        <v>0</v>
      </c>
      <c r="T92" s="2">
        <f t="shared" si="52"/>
        <v>0</v>
      </c>
      <c r="U92" s="2">
        <f>ROUND(CV92*I92,7)</f>
        <v>0</v>
      </c>
      <c r="V92" s="2">
        <f>ROUND(CW92*I92,7)</f>
        <v>0</v>
      </c>
      <c r="W92" s="2">
        <f t="shared" si="53"/>
        <v>0</v>
      </c>
      <c r="X92" s="2">
        <f t="shared" si="54"/>
        <v>0</v>
      </c>
      <c r="Y92" s="2">
        <f t="shared" si="55"/>
        <v>0</v>
      </c>
      <c r="Z92" s="2"/>
      <c r="AA92" s="2">
        <v>80308166</v>
      </c>
      <c r="AB92" s="2">
        <f t="shared" si="56"/>
        <v>683.62</v>
      </c>
      <c r="AC92" s="2">
        <f>ROUND((ES92),6)</f>
        <v>683.62</v>
      </c>
      <c r="AD92" s="2">
        <f>ROUND((((ET92)-(EU92))+AE92),6)</f>
        <v>0</v>
      </c>
      <c r="AE92" s="2">
        <f>ROUND((EU92),6)</f>
        <v>0</v>
      </c>
      <c r="AF92" s="2">
        <f>ROUND((EV92),6)</f>
        <v>0</v>
      </c>
      <c r="AG92" s="2">
        <f t="shared" si="57"/>
        <v>0</v>
      </c>
      <c r="AH92" s="2">
        <f>(EW92)</f>
        <v>0</v>
      </c>
      <c r="AI92" s="2">
        <f>(EX92)</f>
        <v>0</v>
      </c>
      <c r="AJ92" s="2">
        <f t="shared" si="58"/>
        <v>0</v>
      </c>
      <c r="AK92" s="2">
        <v>683.62</v>
      </c>
      <c r="AL92" s="2">
        <v>683.62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121</v>
      </c>
      <c r="AU92" s="2">
        <v>72</v>
      </c>
      <c r="AV92" s="2">
        <v>1</v>
      </c>
      <c r="AW92" s="2">
        <v>1</v>
      </c>
      <c r="AX92" s="2"/>
      <c r="AY92" s="2"/>
      <c r="AZ92" s="2">
        <v>1</v>
      </c>
      <c r="BA92" s="2">
        <v>1</v>
      </c>
      <c r="BB92" s="2">
        <v>1</v>
      </c>
      <c r="BC92" s="2">
        <v>1.1100000000000001</v>
      </c>
      <c r="BD92" s="2" t="s">
        <v>3</v>
      </c>
      <c r="BE92" s="2" t="s">
        <v>3</v>
      </c>
      <c r="BF92" s="2" t="s">
        <v>3</v>
      </c>
      <c r="BG92" s="2" t="s">
        <v>3</v>
      </c>
      <c r="BH92" s="2">
        <v>3</v>
      </c>
      <c r="BI92" s="2">
        <v>1</v>
      </c>
      <c r="BJ92" s="2" t="s">
        <v>212</v>
      </c>
      <c r="BK92" s="2"/>
      <c r="BL92" s="2"/>
      <c r="BM92" s="2">
        <v>18001</v>
      </c>
      <c r="BN92" s="2">
        <v>0</v>
      </c>
      <c r="BO92" s="2" t="s">
        <v>210</v>
      </c>
      <c r="BP92" s="2">
        <v>1</v>
      </c>
      <c r="BQ92" s="2">
        <v>2</v>
      </c>
      <c r="BR92" s="2">
        <v>0</v>
      </c>
      <c r="BS92" s="2">
        <v>1</v>
      </c>
      <c r="BT92" s="2">
        <v>1</v>
      </c>
      <c r="BU92" s="2">
        <v>1</v>
      </c>
      <c r="BV92" s="2">
        <v>1</v>
      </c>
      <c r="BW92" s="2">
        <v>1</v>
      </c>
      <c r="BX92" s="2">
        <v>1</v>
      </c>
      <c r="BY92" s="2" t="s">
        <v>3</v>
      </c>
      <c r="BZ92" s="2">
        <v>121</v>
      </c>
      <c r="CA92" s="2">
        <v>72</v>
      </c>
      <c r="CB92" s="2" t="s">
        <v>3</v>
      </c>
      <c r="CC92" s="2"/>
      <c r="CD92" s="2"/>
      <c r="CE92" s="2">
        <v>0</v>
      </c>
      <c r="CF92" s="2">
        <v>0</v>
      </c>
      <c r="CG92" s="2">
        <v>0</v>
      </c>
      <c r="CH92" s="2"/>
      <c r="CI92" s="2"/>
      <c r="CJ92" s="2"/>
      <c r="CK92" s="2"/>
      <c r="CL92" s="2"/>
      <c r="CM92" s="2">
        <v>0</v>
      </c>
      <c r="CN92" s="2" t="s">
        <v>3</v>
      </c>
      <c r="CO92" s="2">
        <v>0</v>
      </c>
      <c r="CP92" s="2">
        <f t="shared" si="59"/>
        <v>3035.28</v>
      </c>
      <c r="CQ92" s="2">
        <f>ROUND(AL92*BC92,2)</f>
        <v>758.82</v>
      </c>
      <c r="CR92" s="2">
        <f>ROUND(AM92*BB92,2)</f>
        <v>0</v>
      </c>
      <c r="CS92" s="2">
        <f>ROUND(AN92*BS92,2)</f>
        <v>0</v>
      </c>
      <c r="CT92" s="2">
        <f>ROUND(AO92*BA92,2)</f>
        <v>0</v>
      </c>
      <c r="CU92" s="2">
        <f t="shared" si="60"/>
        <v>0</v>
      </c>
      <c r="CV92" s="2">
        <f>AH92</f>
        <v>0</v>
      </c>
      <c r="CW92" s="2">
        <f>AI92</f>
        <v>0</v>
      </c>
      <c r="CX92" s="2">
        <f t="shared" si="61"/>
        <v>0</v>
      </c>
      <c r="CY92" s="2">
        <f t="shared" si="70"/>
        <v>0</v>
      </c>
      <c r="CZ92" s="2">
        <f t="shared" si="71"/>
        <v>0</v>
      </c>
      <c r="DA92" s="2"/>
      <c r="DB92" s="2"/>
      <c r="DC92" s="2" t="s">
        <v>3</v>
      </c>
      <c r="DD92" s="2" t="s">
        <v>3</v>
      </c>
      <c r="DE92" s="2" t="s">
        <v>3</v>
      </c>
      <c r="DF92" s="2" t="s">
        <v>3</v>
      </c>
      <c r="DG92" s="2" t="s">
        <v>3</v>
      </c>
      <c r="DH92" s="2" t="s">
        <v>3</v>
      </c>
      <c r="DI92" s="2" t="s">
        <v>3</v>
      </c>
      <c r="DJ92" s="2" t="s">
        <v>3</v>
      </c>
      <c r="DK92" s="2" t="s">
        <v>3</v>
      </c>
      <c r="DL92" s="2" t="s">
        <v>3</v>
      </c>
      <c r="DM92" s="2" t="s">
        <v>3</v>
      </c>
      <c r="DN92" s="2">
        <v>0</v>
      </c>
      <c r="DO92" s="2">
        <v>0</v>
      </c>
      <c r="DP92" s="2">
        <v>1</v>
      </c>
      <c r="DQ92" s="2">
        <v>1</v>
      </c>
      <c r="DR92" s="2"/>
      <c r="DS92" s="2"/>
      <c r="DT92" s="2"/>
      <c r="DU92" s="2">
        <v>1013</v>
      </c>
      <c r="DV92" s="2" t="s">
        <v>30</v>
      </c>
      <c r="DW92" s="2" t="s">
        <v>30</v>
      </c>
      <c r="DX92" s="2">
        <v>1</v>
      </c>
      <c r="DY92" s="2"/>
      <c r="DZ92" s="2" t="s">
        <v>3</v>
      </c>
      <c r="EA92" s="2" t="s">
        <v>3</v>
      </c>
      <c r="EB92" s="2" t="s">
        <v>3</v>
      </c>
      <c r="EC92" s="2" t="s">
        <v>3</v>
      </c>
      <c r="ED92" s="2"/>
      <c r="EE92" s="2">
        <v>77313121</v>
      </c>
      <c r="EF92" s="2">
        <v>2</v>
      </c>
      <c r="EG92" s="2" t="s">
        <v>52</v>
      </c>
      <c r="EH92" s="2">
        <v>16</v>
      </c>
      <c r="EI92" s="2" t="s">
        <v>53</v>
      </c>
      <c r="EJ92" s="2">
        <v>1</v>
      </c>
      <c r="EK92" s="2">
        <v>18001</v>
      </c>
      <c r="EL92" s="2" t="s">
        <v>160</v>
      </c>
      <c r="EM92" s="2" t="s">
        <v>161</v>
      </c>
      <c r="EN92" s="2"/>
      <c r="EO92" s="2" t="s">
        <v>3</v>
      </c>
      <c r="EP92" s="2"/>
      <c r="EQ92" s="2">
        <v>0</v>
      </c>
      <c r="ER92" s="2">
        <v>683.62</v>
      </c>
      <c r="ES92" s="2">
        <v>683.62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>
        <v>0</v>
      </c>
      <c r="FR92" s="2">
        <v>0</v>
      </c>
      <c r="FS92" s="2">
        <v>0</v>
      </c>
      <c r="FT92" s="2"/>
      <c r="FU92" s="2"/>
      <c r="FV92" s="2"/>
      <c r="FW92" s="2"/>
      <c r="FX92" s="2">
        <v>121</v>
      </c>
      <c r="FY92" s="2">
        <v>72</v>
      </c>
      <c r="FZ92" s="2"/>
      <c r="GA92" s="2" t="s">
        <v>3</v>
      </c>
      <c r="GB92" s="2"/>
      <c r="GC92" s="2"/>
      <c r="GD92" s="2">
        <v>1</v>
      </c>
      <c r="GE92" s="2"/>
      <c r="GF92" s="2">
        <v>392518138</v>
      </c>
      <c r="GG92" s="2">
        <v>2</v>
      </c>
      <c r="GH92" s="2">
        <v>1</v>
      </c>
      <c r="GI92" s="2">
        <v>2</v>
      </c>
      <c r="GJ92" s="2">
        <v>0</v>
      </c>
      <c r="GK92" s="2">
        <v>0</v>
      </c>
      <c r="GL92" s="2">
        <f t="shared" si="62"/>
        <v>0</v>
      </c>
      <c r="GM92" s="2">
        <f t="shared" si="63"/>
        <v>3035.28</v>
      </c>
      <c r="GN92" s="2">
        <f t="shared" si="64"/>
        <v>3035.28</v>
      </c>
      <c r="GO92" s="2">
        <f t="shared" si="65"/>
        <v>0</v>
      </c>
      <c r="GP92" s="2">
        <f t="shared" si="66"/>
        <v>0</v>
      </c>
      <c r="GQ92" s="2"/>
      <c r="GR92" s="2">
        <v>0</v>
      </c>
      <c r="GS92" s="2">
        <v>3</v>
      </c>
      <c r="GT92" s="2">
        <v>0</v>
      </c>
      <c r="GU92" s="2" t="s">
        <v>3</v>
      </c>
      <c r="GV92" s="2">
        <f t="shared" si="67"/>
        <v>0</v>
      </c>
      <c r="GW92" s="2">
        <v>1</v>
      </c>
      <c r="GX92" s="2">
        <f t="shared" si="68"/>
        <v>0</v>
      </c>
      <c r="GY92" s="2"/>
      <c r="GZ92" s="2"/>
      <c r="HA92" s="2">
        <v>0</v>
      </c>
      <c r="HB92" s="2">
        <v>0</v>
      </c>
      <c r="HC92" s="2">
        <f t="shared" si="69"/>
        <v>0</v>
      </c>
      <c r="HD92" s="2"/>
      <c r="HE92" s="2" t="s">
        <v>3</v>
      </c>
      <c r="HF92" s="2" t="s">
        <v>3</v>
      </c>
      <c r="HG92" s="2"/>
      <c r="HH92" s="2"/>
      <c r="HI92" s="2"/>
      <c r="HJ92" s="2"/>
      <c r="HK92" s="2"/>
      <c r="HL92" s="2"/>
      <c r="HM92" s="2" t="s">
        <v>3</v>
      </c>
      <c r="HN92" s="2" t="s">
        <v>57</v>
      </c>
      <c r="HO92" s="2" t="s">
        <v>58</v>
      </c>
      <c r="HP92" s="2" t="s">
        <v>53</v>
      </c>
      <c r="HQ92" s="2" t="s">
        <v>53</v>
      </c>
      <c r="HR92" s="2"/>
      <c r="HS92" s="2">
        <v>0</v>
      </c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>
        <v>0</v>
      </c>
      <c r="IL92" s="2"/>
      <c r="IM92" s="2"/>
      <c r="IN92" s="2"/>
      <c r="IO92" s="2"/>
      <c r="IP92" s="2"/>
      <c r="IQ92" s="2"/>
      <c r="IR92" s="2"/>
      <c r="IS92" s="2"/>
      <c r="IT92" s="2"/>
      <c r="IU92" s="2"/>
    </row>
    <row r="93" spans="1:255" ht="409.5" x14ac:dyDescent="0.2">
      <c r="A93" s="2">
        <v>17</v>
      </c>
      <c r="B93" s="2">
        <v>1</v>
      </c>
      <c r="C93" s="2">
        <f>ROW(SmtRes!A98)</f>
        <v>98</v>
      </c>
      <c r="D93" s="2">
        <f>ROW(EtalonRes!A94)</f>
        <v>94</v>
      </c>
      <c r="E93" s="2" t="s">
        <v>213</v>
      </c>
      <c r="F93" s="2" t="s">
        <v>214</v>
      </c>
      <c r="G93" s="2" t="s">
        <v>215</v>
      </c>
      <c r="H93" s="2" t="s">
        <v>30</v>
      </c>
      <c r="I93" s="2">
        <v>1</v>
      </c>
      <c r="J93" s="2">
        <v>0</v>
      </c>
      <c r="K93" s="2">
        <v>1</v>
      </c>
      <c r="L93" s="2"/>
      <c r="M93" s="2"/>
      <c r="N93" s="2"/>
      <c r="O93" s="2">
        <f t="shared" si="51"/>
        <v>11177.09</v>
      </c>
      <c r="P93" s="2">
        <f>SUMIF(SmtRes!AQ88:'SmtRes'!AQ98,"=1",SmtRes!DF88:'SmtRes'!DF98)</f>
        <v>8156.34</v>
      </c>
      <c r="Q93" s="2">
        <f>SUMIF(SmtRes!AQ88:'SmtRes'!AQ98,"=1",SmtRes!DG88:'SmtRes'!DG98)</f>
        <v>105.61</v>
      </c>
      <c r="R93" s="2">
        <f>SUMIF(SmtRes!AQ88:'SmtRes'!AQ98,"=1",SmtRes!DH88:'SmtRes'!DH98)</f>
        <v>42.3</v>
      </c>
      <c r="S93" s="2">
        <f>SUMIF(SmtRes!AQ88:'SmtRes'!AQ98,"=1",SmtRes!DI88:'SmtRes'!DI98)</f>
        <v>2872.84</v>
      </c>
      <c r="T93" s="2">
        <f t="shared" si="52"/>
        <v>0</v>
      </c>
      <c r="U93" s="2">
        <f>SUMIF(SmtRes!AQ88:'SmtRes'!AQ98,"=1",SmtRes!CV88:'SmtRes'!CV98)</f>
        <v>4.117</v>
      </c>
      <c r="V93" s="2">
        <f>SUMIF(SmtRes!AQ88:'SmtRes'!AQ98,"=1",SmtRes!CW88:'SmtRes'!CW98)</f>
        <v>0.05</v>
      </c>
      <c r="W93" s="2">
        <f t="shared" si="53"/>
        <v>0</v>
      </c>
      <c r="X93" s="2">
        <f t="shared" si="54"/>
        <v>3174.59</v>
      </c>
      <c r="Y93" s="2">
        <f t="shared" si="55"/>
        <v>1784.07</v>
      </c>
      <c r="Z93" s="2"/>
      <c r="AA93" s="2">
        <v>80308166</v>
      </c>
      <c r="AB93" s="2">
        <f t="shared" si="56"/>
        <v>11096.979734</v>
      </c>
      <c r="AC93" s="2">
        <f>ROUND((SUM(SmtRes!BQ88:'SmtRes'!BQ98)),6)</f>
        <v>8118.522884</v>
      </c>
      <c r="AD93" s="2">
        <f>ROUND((((SUM(SmtRes!BR88:'SmtRes'!BR98))-(SUM(SmtRes!BS88:'SmtRes'!BS98)))+AE93),6)</f>
        <v>105.61425</v>
      </c>
      <c r="AE93" s="2">
        <f>ROUND((SUM(SmtRes!BS88:'SmtRes'!BS98)),6)</f>
        <v>42.298999999999999</v>
      </c>
      <c r="AF93" s="2">
        <f>ROUND((SUM(SmtRes!BT88:'SmtRes'!BT98)),6)</f>
        <v>2872.8425999999999</v>
      </c>
      <c r="AG93" s="2">
        <f t="shared" si="57"/>
        <v>0</v>
      </c>
      <c r="AH93" s="2">
        <f>(SUM(SmtRes!BU88:'SmtRes'!BU98))</f>
        <v>4.117</v>
      </c>
      <c r="AI93" s="2">
        <f>(SUM(SmtRes!BV88:'SmtRes'!BV98))</f>
        <v>0.05</v>
      </c>
      <c r="AJ93" s="2">
        <f t="shared" si="58"/>
        <v>0</v>
      </c>
      <c r="AK93" s="2">
        <v>10734.9774836</v>
      </c>
      <c r="AL93" s="2">
        <v>8118.5228835999997</v>
      </c>
      <c r="AM93" s="2">
        <v>84.491399999999999</v>
      </c>
      <c r="AN93" s="2">
        <v>33.839199999999998</v>
      </c>
      <c r="AO93" s="2">
        <v>2498.1239999999998</v>
      </c>
      <c r="AP93" s="2">
        <v>0</v>
      </c>
      <c r="AQ93" s="2">
        <v>3.58</v>
      </c>
      <c r="AR93" s="2">
        <v>0.04</v>
      </c>
      <c r="AS93" s="2">
        <v>0</v>
      </c>
      <c r="AT93" s="2">
        <v>108.9</v>
      </c>
      <c r="AU93" s="2">
        <v>61.2</v>
      </c>
      <c r="AV93" s="2">
        <v>1</v>
      </c>
      <c r="AW93" s="2">
        <v>1</v>
      </c>
      <c r="AX93" s="2"/>
      <c r="AY93" s="2"/>
      <c r="AZ93" s="2">
        <v>1</v>
      </c>
      <c r="BA93" s="2">
        <v>1</v>
      </c>
      <c r="BB93" s="2">
        <v>1</v>
      </c>
      <c r="BC93" s="2">
        <v>1</v>
      </c>
      <c r="BD93" s="2" t="s">
        <v>3</v>
      </c>
      <c r="BE93" s="2" t="s">
        <v>3</v>
      </c>
      <c r="BF93" s="2" t="s">
        <v>3</v>
      </c>
      <c r="BG93" s="2" t="s">
        <v>3</v>
      </c>
      <c r="BH93" s="2">
        <v>0</v>
      </c>
      <c r="BI93" s="2">
        <v>1</v>
      </c>
      <c r="BJ93" s="2" t="s">
        <v>216</v>
      </c>
      <c r="BK93" s="2"/>
      <c r="BL93" s="2"/>
      <c r="BM93" s="2">
        <v>18001</v>
      </c>
      <c r="BN93" s="2">
        <v>0</v>
      </c>
      <c r="BO93" s="2" t="s">
        <v>3</v>
      </c>
      <c r="BP93" s="2">
        <v>0</v>
      </c>
      <c r="BQ93" s="2">
        <v>2</v>
      </c>
      <c r="BR93" s="2">
        <v>0</v>
      </c>
      <c r="BS93" s="2">
        <v>1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 t="s">
        <v>3</v>
      </c>
      <c r="BZ93" s="2">
        <v>121</v>
      </c>
      <c r="CA93" s="2">
        <v>72</v>
      </c>
      <c r="CB93" s="2" t="s">
        <v>3</v>
      </c>
      <c r="CC93" s="2"/>
      <c r="CD93" s="2"/>
      <c r="CE93" s="2">
        <v>0</v>
      </c>
      <c r="CF93" s="2">
        <v>0</v>
      </c>
      <c r="CG93" s="2">
        <v>0</v>
      </c>
      <c r="CH93" s="2"/>
      <c r="CI93" s="2"/>
      <c r="CJ93" s="2"/>
      <c r="CK93" s="2"/>
      <c r="CL93" s="2"/>
      <c r="CM93" s="2">
        <v>0</v>
      </c>
      <c r="CN93" s="7" t="s">
        <v>651</v>
      </c>
      <c r="CO93" s="2">
        <v>0</v>
      </c>
      <c r="CP93" s="2">
        <f t="shared" si="59"/>
        <v>11177.09</v>
      </c>
      <c r="CQ93" s="2">
        <f>SUMIF(SmtRes!AQ88:'SmtRes'!AQ98,"=1",SmtRes!AA88:'SmtRes'!AA98)</f>
        <v>234038.41</v>
      </c>
      <c r="CR93" s="2">
        <f>SUMIF(SmtRes!AQ88:'SmtRes'!AQ98,"=1",SmtRes!AB88:'SmtRes'!AB98)</f>
        <v>2305.1000000000004</v>
      </c>
      <c r="CS93" s="2">
        <f>SUMIF(SmtRes!AQ88:'SmtRes'!AQ98,"=1",SmtRes!AC88:'SmtRes'!AC98)</f>
        <v>1691.96</v>
      </c>
      <c r="CT93" s="2">
        <f>SUMIF(SmtRes!AQ88:'SmtRes'!AQ98,"=1",SmtRes!AD88:'SmtRes'!AD98)</f>
        <v>697.8</v>
      </c>
      <c r="CU93" s="2">
        <f t="shared" si="60"/>
        <v>0</v>
      </c>
      <c r="CV93" s="2">
        <f>SUMIF(SmtRes!AQ88:'SmtRes'!AQ98,"=1",SmtRes!BU88:'SmtRes'!BU98)</f>
        <v>4.117</v>
      </c>
      <c r="CW93" s="2">
        <f>SUMIF(SmtRes!AQ88:'SmtRes'!AQ98,"=1",SmtRes!BV88:'SmtRes'!BV98)</f>
        <v>0.05</v>
      </c>
      <c r="CX93" s="2">
        <f t="shared" si="61"/>
        <v>0</v>
      </c>
      <c r="CY93" s="2">
        <f t="shared" si="70"/>
        <v>3174.5874600000006</v>
      </c>
      <c r="CZ93" s="2">
        <f t="shared" si="71"/>
        <v>1784.0656800000004</v>
      </c>
      <c r="DA93" s="2"/>
      <c r="DB93" s="2">
        <v>8</v>
      </c>
      <c r="DC93" s="2" t="s">
        <v>3</v>
      </c>
      <c r="DD93" s="2" t="s">
        <v>3</v>
      </c>
      <c r="DE93" s="2" t="s">
        <v>48</v>
      </c>
      <c r="DF93" s="2" t="s">
        <v>48</v>
      </c>
      <c r="DG93" s="2" t="s">
        <v>49</v>
      </c>
      <c r="DH93" s="2" t="s">
        <v>3</v>
      </c>
      <c r="DI93" s="2" t="s">
        <v>49</v>
      </c>
      <c r="DJ93" s="2" t="s">
        <v>48</v>
      </c>
      <c r="DK93" s="2" t="s">
        <v>3</v>
      </c>
      <c r="DL93" s="2" t="s">
        <v>50</v>
      </c>
      <c r="DM93" s="2" t="s">
        <v>51</v>
      </c>
      <c r="DN93" s="2">
        <v>0</v>
      </c>
      <c r="DO93" s="2">
        <v>0</v>
      </c>
      <c r="DP93" s="2">
        <v>1</v>
      </c>
      <c r="DQ93" s="2">
        <v>1</v>
      </c>
      <c r="DR93" s="2"/>
      <c r="DS93" s="2"/>
      <c r="DT93" s="2"/>
      <c r="DU93" s="2">
        <v>1013</v>
      </c>
      <c r="DV93" s="2" t="s">
        <v>30</v>
      </c>
      <c r="DW93" s="2" t="s">
        <v>30</v>
      </c>
      <c r="DX93" s="2">
        <v>1</v>
      </c>
      <c r="DY93" s="2"/>
      <c r="DZ93" s="2" t="s">
        <v>3</v>
      </c>
      <c r="EA93" s="2" t="s">
        <v>3</v>
      </c>
      <c r="EB93" s="2" t="s">
        <v>3</v>
      </c>
      <c r="EC93" s="2" t="s">
        <v>3</v>
      </c>
      <c r="ED93" s="2"/>
      <c r="EE93" s="2">
        <v>77313121</v>
      </c>
      <c r="EF93" s="2">
        <v>2</v>
      </c>
      <c r="EG93" s="2" t="s">
        <v>52</v>
      </c>
      <c r="EH93" s="2">
        <v>16</v>
      </c>
      <c r="EI93" s="2" t="s">
        <v>53</v>
      </c>
      <c r="EJ93" s="2">
        <v>1</v>
      </c>
      <c r="EK93" s="2">
        <v>18001</v>
      </c>
      <c r="EL93" s="2" t="s">
        <v>160</v>
      </c>
      <c r="EM93" s="2" t="s">
        <v>161</v>
      </c>
      <c r="EN93" s="2"/>
      <c r="EO93" s="2" t="s">
        <v>56</v>
      </c>
      <c r="EP93" s="2"/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3.58</v>
      </c>
      <c r="EX93" s="2">
        <v>0.04</v>
      </c>
      <c r="EY93" s="2">
        <v>0</v>
      </c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>
        <v>0</v>
      </c>
      <c r="FR93" s="2">
        <v>0</v>
      </c>
      <c r="FS93" s="2">
        <v>0</v>
      </c>
      <c r="FT93" s="2"/>
      <c r="FU93" s="2"/>
      <c r="FV93" s="2"/>
      <c r="FW93" s="2"/>
      <c r="FX93" s="2">
        <v>108.9</v>
      </c>
      <c r="FY93" s="2">
        <v>61.2</v>
      </c>
      <c r="FZ93" s="2"/>
      <c r="GA93" s="2" t="s">
        <v>3</v>
      </c>
      <c r="GB93" s="2"/>
      <c r="GC93" s="2"/>
      <c r="GD93" s="2">
        <v>1</v>
      </c>
      <c r="GE93" s="2"/>
      <c r="GF93" s="2">
        <v>-1702924359</v>
      </c>
      <c r="GG93" s="2">
        <v>2</v>
      </c>
      <c r="GH93" s="2">
        <v>1</v>
      </c>
      <c r="GI93" s="2">
        <v>-2</v>
      </c>
      <c r="GJ93" s="2">
        <v>0</v>
      </c>
      <c r="GK93" s="2">
        <v>0</v>
      </c>
      <c r="GL93" s="2">
        <f t="shared" si="62"/>
        <v>0</v>
      </c>
      <c r="GM93" s="2">
        <f t="shared" si="63"/>
        <v>16135.75</v>
      </c>
      <c r="GN93" s="2">
        <f t="shared" si="64"/>
        <v>16135.75</v>
      </c>
      <c r="GO93" s="2">
        <f t="shared" si="65"/>
        <v>0</v>
      </c>
      <c r="GP93" s="2">
        <f t="shared" si="66"/>
        <v>0</v>
      </c>
      <c r="GQ93" s="2"/>
      <c r="GR93" s="2">
        <v>0</v>
      </c>
      <c r="GS93" s="2">
        <v>3</v>
      </c>
      <c r="GT93" s="2">
        <v>0</v>
      </c>
      <c r="GU93" s="2" t="s">
        <v>3</v>
      </c>
      <c r="GV93" s="2">
        <f t="shared" si="67"/>
        <v>0</v>
      </c>
      <c r="GW93" s="2">
        <v>1</v>
      </c>
      <c r="GX93" s="2">
        <f t="shared" si="68"/>
        <v>0</v>
      </c>
      <c r="GY93" s="2"/>
      <c r="GZ93" s="2"/>
      <c r="HA93" s="2">
        <v>0</v>
      </c>
      <c r="HB93" s="2">
        <v>0</v>
      </c>
      <c r="HC93" s="2">
        <f t="shared" si="69"/>
        <v>0</v>
      </c>
      <c r="HD93" s="2"/>
      <c r="HE93" s="2" t="s">
        <v>3</v>
      </c>
      <c r="HF93" s="2" t="s">
        <v>3</v>
      </c>
      <c r="HG93" s="2"/>
      <c r="HH93" s="2"/>
      <c r="HI93" s="2"/>
      <c r="HJ93" s="2"/>
      <c r="HK93" s="2"/>
      <c r="HL93" s="2"/>
      <c r="HM93" s="2" t="s">
        <v>3</v>
      </c>
      <c r="HN93" s="2" t="s">
        <v>57</v>
      </c>
      <c r="HO93" s="2" t="s">
        <v>58</v>
      </c>
      <c r="HP93" s="2" t="s">
        <v>53</v>
      </c>
      <c r="HQ93" s="2" t="s">
        <v>53</v>
      </c>
      <c r="HR93" s="2"/>
      <c r="HS93" s="2">
        <v>0</v>
      </c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>
        <v>0</v>
      </c>
      <c r="IL93" s="2"/>
      <c r="IM93" s="2"/>
      <c r="IN93" s="2"/>
      <c r="IO93" s="2"/>
      <c r="IP93" s="2"/>
      <c r="IQ93" s="2"/>
      <c r="IR93" s="2"/>
      <c r="IS93" s="2"/>
      <c r="IT93" s="2"/>
      <c r="IU93" s="2"/>
    </row>
    <row r="94" spans="1:255" x14ac:dyDescent="0.2">
      <c r="A94" s="2">
        <v>18</v>
      </c>
      <c r="B94" s="2">
        <v>1</v>
      </c>
      <c r="C94" s="2">
        <v>98</v>
      </c>
      <c r="D94" s="2"/>
      <c r="E94" s="2" t="s">
        <v>217</v>
      </c>
      <c r="F94" s="2" t="s">
        <v>218</v>
      </c>
      <c r="G94" s="2" t="s">
        <v>219</v>
      </c>
      <c r="H94" s="2" t="s">
        <v>30</v>
      </c>
      <c r="I94" s="2">
        <f>I93*J94</f>
        <v>4</v>
      </c>
      <c r="J94" s="2">
        <v>4</v>
      </c>
      <c r="K94" s="2">
        <v>4</v>
      </c>
      <c r="L94" s="2"/>
      <c r="M94" s="2"/>
      <c r="N94" s="2"/>
      <c r="O94" s="2">
        <f t="shared" si="51"/>
        <v>3621</v>
      </c>
      <c r="P94" s="2">
        <f>ROUND(CQ94*I94,2)</f>
        <v>3621</v>
      </c>
      <c r="Q94" s="2">
        <f>ROUND(CR94*I94,2)</f>
        <v>0</v>
      </c>
      <c r="R94" s="2">
        <f>ROUND(CS94*I94,2)</f>
        <v>0</v>
      </c>
      <c r="S94" s="2">
        <f>ROUND(CT94*I94,2)</f>
        <v>0</v>
      </c>
      <c r="T94" s="2">
        <f t="shared" si="52"/>
        <v>0</v>
      </c>
      <c r="U94" s="2">
        <f>ROUND(CV94*I94,7)</f>
        <v>0</v>
      </c>
      <c r="V94" s="2">
        <f>ROUND(CW94*I94,7)</f>
        <v>0</v>
      </c>
      <c r="W94" s="2">
        <f t="shared" si="53"/>
        <v>0</v>
      </c>
      <c r="X94" s="2">
        <f t="shared" si="54"/>
        <v>0</v>
      </c>
      <c r="Y94" s="2">
        <f t="shared" si="55"/>
        <v>0</v>
      </c>
      <c r="Z94" s="2"/>
      <c r="AA94" s="2">
        <v>80308166</v>
      </c>
      <c r="AB94" s="2">
        <f t="shared" si="56"/>
        <v>815.54</v>
      </c>
      <c r="AC94" s="2">
        <f>ROUND((ES94),6)</f>
        <v>815.54</v>
      </c>
      <c r="AD94" s="2">
        <f>ROUND((((ET94)-(EU94))+AE94),6)</f>
        <v>0</v>
      </c>
      <c r="AE94" s="2">
        <f>ROUND((EU94),6)</f>
        <v>0</v>
      </c>
      <c r="AF94" s="2">
        <f>ROUND((EV94),6)</f>
        <v>0</v>
      </c>
      <c r="AG94" s="2">
        <f t="shared" si="57"/>
        <v>0</v>
      </c>
      <c r="AH94" s="2">
        <f>(EW94)</f>
        <v>0</v>
      </c>
      <c r="AI94" s="2">
        <f>(EX94)</f>
        <v>0</v>
      </c>
      <c r="AJ94" s="2">
        <f t="shared" si="58"/>
        <v>0</v>
      </c>
      <c r="AK94" s="2">
        <v>815.54</v>
      </c>
      <c r="AL94" s="2">
        <v>815.54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121</v>
      </c>
      <c r="AU94" s="2">
        <v>72</v>
      </c>
      <c r="AV94" s="2">
        <v>1</v>
      </c>
      <c r="AW94" s="2">
        <v>1</v>
      </c>
      <c r="AX94" s="2"/>
      <c r="AY94" s="2"/>
      <c r="AZ94" s="2">
        <v>1</v>
      </c>
      <c r="BA94" s="2">
        <v>1</v>
      </c>
      <c r="BB94" s="2">
        <v>1</v>
      </c>
      <c r="BC94" s="2">
        <v>1.1100000000000001</v>
      </c>
      <c r="BD94" s="2" t="s">
        <v>3</v>
      </c>
      <c r="BE94" s="2" t="s">
        <v>3</v>
      </c>
      <c r="BF94" s="2" t="s">
        <v>3</v>
      </c>
      <c r="BG94" s="2" t="s">
        <v>3</v>
      </c>
      <c r="BH94" s="2">
        <v>3</v>
      </c>
      <c r="BI94" s="2">
        <v>1</v>
      </c>
      <c r="BJ94" s="2" t="s">
        <v>220</v>
      </c>
      <c r="BK94" s="2"/>
      <c r="BL94" s="2"/>
      <c r="BM94" s="2">
        <v>18001</v>
      </c>
      <c r="BN94" s="2">
        <v>0</v>
      </c>
      <c r="BO94" s="2" t="s">
        <v>218</v>
      </c>
      <c r="BP94" s="2">
        <v>1</v>
      </c>
      <c r="BQ94" s="2">
        <v>2</v>
      </c>
      <c r="BR94" s="2">
        <v>0</v>
      </c>
      <c r="BS94" s="2">
        <v>1</v>
      </c>
      <c r="BT94" s="2">
        <v>1</v>
      </c>
      <c r="BU94" s="2">
        <v>1</v>
      </c>
      <c r="BV94" s="2">
        <v>1</v>
      </c>
      <c r="BW94" s="2">
        <v>1</v>
      </c>
      <c r="BX94" s="2">
        <v>1</v>
      </c>
      <c r="BY94" s="2" t="s">
        <v>3</v>
      </c>
      <c r="BZ94" s="2">
        <v>121</v>
      </c>
      <c r="CA94" s="2">
        <v>72</v>
      </c>
      <c r="CB94" s="2" t="s">
        <v>3</v>
      </c>
      <c r="CC94" s="2"/>
      <c r="CD94" s="2"/>
      <c r="CE94" s="2">
        <v>0</v>
      </c>
      <c r="CF94" s="2">
        <v>0</v>
      </c>
      <c r="CG94" s="2">
        <v>0</v>
      </c>
      <c r="CH94" s="2"/>
      <c r="CI94" s="2"/>
      <c r="CJ94" s="2"/>
      <c r="CK94" s="2"/>
      <c r="CL94" s="2"/>
      <c r="CM94" s="2">
        <v>0</v>
      </c>
      <c r="CN94" s="2" t="s">
        <v>3</v>
      </c>
      <c r="CO94" s="2">
        <v>0</v>
      </c>
      <c r="CP94" s="2">
        <f t="shared" si="59"/>
        <v>3621</v>
      </c>
      <c r="CQ94" s="2">
        <f>ROUND(AL94*BC94,2)</f>
        <v>905.25</v>
      </c>
      <c r="CR94" s="2">
        <f>ROUND(AM94*BB94,2)</f>
        <v>0</v>
      </c>
      <c r="CS94" s="2">
        <f>ROUND(AN94*BS94,2)</f>
        <v>0</v>
      </c>
      <c r="CT94" s="2">
        <f>ROUND(AO94*BA94,2)</f>
        <v>0</v>
      </c>
      <c r="CU94" s="2">
        <f t="shared" si="60"/>
        <v>0</v>
      </c>
      <c r="CV94" s="2">
        <f>AH94</f>
        <v>0</v>
      </c>
      <c r="CW94" s="2">
        <f>AI94</f>
        <v>0</v>
      </c>
      <c r="CX94" s="2">
        <f t="shared" si="61"/>
        <v>0</v>
      </c>
      <c r="CY94" s="2">
        <f t="shared" si="70"/>
        <v>0</v>
      </c>
      <c r="CZ94" s="2">
        <f t="shared" si="71"/>
        <v>0</v>
      </c>
      <c r="DA94" s="2"/>
      <c r="DB94" s="2"/>
      <c r="DC94" s="2" t="s">
        <v>3</v>
      </c>
      <c r="DD94" s="2" t="s">
        <v>3</v>
      </c>
      <c r="DE94" s="2" t="s">
        <v>3</v>
      </c>
      <c r="DF94" s="2" t="s">
        <v>3</v>
      </c>
      <c r="DG94" s="2" t="s">
        <v>3</v>
      </c>
      <c r="DH94" s="2" t="s">
        <v>3</v>
      </c>
      <c r="DI94" s="2" t="s">
        <v>3</v>
      </c>
      <c r="DJ94" s="2" t="s">
        <v>3</v>
      </c>
      <c r="DK94" s="2" t="s">
        <v>3</v>
      </c>
      <c r="DL94" s="2" t="s">
        <v>3</v>
      </c>
      <c r="DM94" s="2" t="s">
        <v>3</v>
      </c>
      <c r="DN94" s="2">
        <v>0</v>
      </c>
      <c r="DO94" s="2">
        <v>0</v>
      </c>
      <c r="DP94" s="2">
        <v>1</v>
      </c>
      <c r="DQ94" s="2">
        <v>1</v>
      </c>
      <c r="DR94" s="2"/>
      <c r="DS94" s="2"/>
      <c r="DT94" s="2"/>
      <c r="DU94" s="2">
        <v>1013</v>
      </c>
      <c r="DV94" s="2" t="s">
        <v>30</v>
      </c>
      <c r="DW94" s="2" t="s">
        <v>30</v>
      </c>
      <c r="DX94" s="2">
        <v>1</v>
      </c>
      <c r="DY94" s="2"/>
      <c r="DZ94" s="2" t="s">
        <v>3</v>
      </c>
      <c r="EA94" s="2" t="s">
        <v>3</v>
      </c>
      <c r="EB94" s="2" t="s">
        <v>3</v>
      </c>
      <c r="EC94" s="2" t="s">
        <v>3</v>
      </c>
      <c r="ED94" s="2"/>
      <c r="EE94" s="2">
        <v>77313121</v>
      </c>
      <c r="EF94" s="2">
        <v>2</v>
      </c>
      <c r="EG94" s="2" t="s">
        <v>52</v>
      </c>
      <c r="EH94" s="2">
        <v>16</v>
      </c>
      <c r="EI94" s="2" t="s">
        <v>53</v>
      </c>
      <c r="EJ94" s="2">
        <v>1</v>
      </c>
      <c r="EK94" s="2">
        <v>18001</v>
      </c>
      <c r="EL94" s="2" t="s">
        <v>160</v>
      </c>
      <c r="EM94" s="2" t="s">
        <v>161</v>
      </c>
      <c r="EN94" s="2"/>
      <c r="EO94" s="2" t="s">
        <v>3</v>
      </c>
      <c r="EP94" s="2"/>
      <c r="EQ94" s="2">
        <v>0</v>
      </c>
      <c r="ER94" s="2">
        <v>815.54</v>
      </c>
      <c r="ES94" s="2">
        <v>815.54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>
        <v>0</v>
      </c>
      <c r="FR94" s="2">
        <v>0</v>
      </c>
      <c r="FS94" s="2">
        <v>0</v>
      </c>
      <c r="FT94" s="2"/>
      <c r="FU94" s="2"/>
      <c r="FV94" s="2"/>
      <c r="FW94" s="2"/>
      <c r="FX94" s="2">
        <v>121</v>
      </c>
      <c r="FY94" s="2">
        <v>72</v>
      </c>
      <c r="FZ94" s="2"/>
      <c r="GA94" s="2" t="s">
        <v>3</v>
      </c>
      <c r="GB94" s="2"/>
      <c r="GC94" s="2"/>
      <c r="GD94" s="2">
        <v>1</v>
      </c>
      <c r="GE94" s="2"/>
      <c r="GF94" s="2">
        <v>-1081132658</v>
      </c>
      <c r="GG94" s="2">
        <v>2</v>
      </c>
      <c r="GH94" s="2">
        <v>1</v>
      </c>
      <c r="GI94" s="2">
        <v>2</v>
      </c>
      <c r="GJ94" s="2">
        <v>0</v>
      </c>
      <c r="GK94" s="2">
        <v>0</v>
      </c>
      <c r="GL94" s="2">
        <f t="shared" si="62"/>
        <v>0</v>
      </c>
      <c r="GM94" s="2">
        <f t="shared" si="63"/>
        <v>3621</v>
      </c>
      <c r="GN94" s="2">
        <f t="shared" si="64"/>
        <v>3621</v>
      </c>
      <c r="GO94" s="2">
        <f t="shared" si="65"/>
        <v>0</v>
      </c>
      <c r="GP94" s="2">
        <f t="shared" si="66"/>
        <v>0</v>
      </c>
      <c r="GQ94" s="2"/>
      <c r="GR94" s="2">
        <v>0</v>
      </c>
      <c r="GS94" s="2">
        <v>3</v>
      </c>
      <c r="GT94" s="2">
        <v>0</v>
      </c>
      <c r="GU94" s="2" t="s">
        <v>3</v>
      </c>
      <c r="GV94" s="2">
        <f t="shared" si="67"/>
        <v>0</v>
      </c>
      <c r="GW94" s="2">
        <v>1</v>
      </c>
      <c r="GX94" s="2">
        <f t="shared" si="68"/>
        <v>0</v>
      </c>
      <c r="GY94" s="2"/>
      <c r="GZ94" s="2"/>
      <c r="HA94" s="2">
        <v>0</v>
      </c>
      <c r="HB94" s="2">
        <v>0</v>
      </c>
      <c r="HC94" s="2">
        <f t="shared" si="69"/>
        <v>0</v>
      </c>
      <c r="HD94" s="2"/>
      <c r="HE94" s="2" t="s">
        <v>3</v>
      </c>
      <c r="HF94" s="2" t="s">
        <v>3</v>
      </c>
      <c r="HG94" s="2"/>
      <c r="HH94" s="2"/>
      <c r="HI94" s="2"/>
      <c r="HJ94" s="2"/>
      <c r="HK94" s="2"/>
      <c r="HL94" s="2"/>
      <c r="HM94" s="2" t="s">
        <v>3</v>
      </c>
      <c r="HN94" s="2" t="s">
        <v>57</v>
      </c>
      <c r="HO94" s="2" t="s">
        <v>58</v>
      </c>
      <c r="HP94" s="2" t="s">
        <v>53</v>
      </c>
      <c r="HQ94" s="2" t="s">
        <v>53</v>
      </c>
      <c r="HR94" s="2"/>
      <c r="HS94" s="2">
        <v>0</v>
      </c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>
        <v>0</v>
      </c>
      <c r="IL94" s="2"/>
      <c r="IM94" s="2"/>
      <c r="IN94" s="2"/>
      <c r="IO94" s="2"/>
      <c r="IP94" s="2"/>
      <c r="IQ94" s="2"/>
      <c r="IR94" s="2"/>
      <c r="IS94" s="2"/>
      <c r="IT94" s="2"/>
      <c r="IU94" s="2"/>
    </row>
    <row r="95" spans="1:255" x14ac:dyDescent="0.2">
      <c r="A95" s="2">
        <v>17</v>
      </c>
      <c r="B95" s="2">
        <v>1</v>
      </c>
      <c r="C95" s="2">
        <f>ROW(SmtRes!A99)</f>
        <v>99</v>
      </c>
      <c r="D95" s="2">
        <f>ROW(EtalonRes!A95)</f>
        <v>95</v>
      </c>
      <c r="E95" s="2" t="s">
        <v>221</v>
      </c>
      <c r="F95" s="2" t="s">
        <v>174</v>
      </c>
      <c r="G95" s="2" t="s">
        <v>175</v>
      </c>
      <c r="H95" s="2" t="s">
        <v>19</v>
      </c>
      <c r="I95" s="2">
        <f>ROUND(32/100,7)</f>
        <v>0.32</v>
      </c>
      <c r="J95" s="2">
        <v>0</v>
      </c>
      <c r="K95" s="2">
        <f>ROUND(32/100,7)</f>
        <v>0.32</v>
      </c>
      <c r="L95" s="2"/>
      <c r="M95" s="2"/>
      <c r="N95" s="2"/>
      <c r="O95" s="2">
        <f t="shared" si="51"/>
        <v>473.99</v>
      </c>
      <c r="P95" s="2">
        <f>SUMIF(SmtRes!AQ99:'SmtRes'!AQ99,"=1",SmtRes!DF99:'SmtRes'!DF99)</f>
        <v>0</v>
      </c>
      <c r="Q95" s="2">
        <f>SUMIF(SmtRes!AQ99:'SmtRes'!AQ99,"=1",SmtRes!DG99:'SmtRes'!DG99)</f>
        <v>0</v>
      </c>
      <c r="R95" s="2">
        <f>SUMIF(SmtRes!AQ99:'SmtRes'!AQ99,"=1",SmtRes!DH99:'SmtRes'!DH99)</f>
        <v>0</v>
      </c>
      <c r="S95" s="2">
        <f>SUMIF(SmtRes!AQ99:'SmtRes'!AQ99,"=1",SmtRes!DI99:'SmtRes'!DI99)</f>
        <v>473.99</v>
      </c>
      <c r="T95" s="2">
        <f t="shared" si="52"/>
        <v>0</v>
      </c>
      <c r="U95" s="2">
        <f>SUMIF(SmtRes!AQ99:'SmtRes'!AQ99,"=1",SmtRes!CV99:'SmtRes'!CV99)</f>
        <v>0.73919999999999997</v>
      </c>
      <c r="V95" s="2">
        <f>SUMIF(SmtRes!AQ99:'SmtRes'!AQ99,"=1",SmtRes!CW99:'SmtRes'!CW99)</f>
        <v>0</v>
      </c>
      <c r="W95" s="2">
        <f t="shared" si="53"/>
        <v>0</v>
      </c>
      <c r="X95" s="2">
        <f t="shared" si="54"/>
        <v>412.37</v>
      </c>
      <c r="Y95" s="2">
        <f t="shared" si="55"/>
        <v>208.56</v>
      </c>
      <c r="Z95" s="2"/>
      <c r="AA95" s="2">
        <v>80308166</v>
      </c>
      <c r="AB95" s="2">
        <f t="shared" si="56"/>
        <v>1481.2182</v>
      </c>
      <c r="AC95" s="2">
        <f>ROUND((0),6)</f>
        <v>0</v>
      </c>
      <c r="AD95" s="2">
        <f>ROUND((((0)-(0))+AE95),6)</f>
        <v>0</v>
      </c>
      <c r="AE95" s="2">
        <f>ROUND((0),6)</f>
        <v>0</v>
      </c>
      <c r="AF95" s="2">
        <f>ROUND((SUM(SmtRes!BT99:'SmtRes'!BT99)),6)</f>
        <v>1481.2182</v>
      </c>
      <c r="AG95" s="2">
        <f t="shared" si="57"/>
        <v>0</v>
      </c>
      <c r="AH95" s="2">
        <f>(SUM(SmtRes!BU99:'SmtRes'!BU99))</f>
        <v>2.31</v>
      </c>
      <c r="AI95" s="2">
        <f>(0)</f>
        <v>0</v>
      </c>
      <c r="AJ95" s="2">
        <f t="shared" si="58"/>
        <v>0</v>
      </c>
      <c r="AK95" s="2">
        <v>1481.2182</v>
      </c>
      <c r="AL95" s="2">
        <v>0</v>
      </c>
      <c r="AM95" s="2">
        <v>0</v>
      </c>
      <c r="AN95" s="2">
        <v>0</v>
      </c>
      <c r="AO95" s="2">
        <v>1481.2182</v>
      </c>
      <c r="AP95" s="2">
        <v>0</v>
      </c>
      <c r="AQ95" s="2">
        <v>2.31</v>
      </c>
      <c r="AR95" s="2">
        <v>0</v>
      </c>
      <c r="AS95" s="2">
        <v>0</v>
      </c>
      <c r="AT95" s="2">
        <v>87</v>
      </c>
      <c r="AU95" s="2">
        <v>44</v>
      </c>
      <c r="AV95" s="2">
        <v>1</v>
      </c>
      <c r="AW95" s="2">
        <v>1</v>
      </c>
      <c r="AX95" s="2"/>
      <c r="AY95" s="2"/>
      <c r="AZ95" s="2">
        <v>1</v>
      </c>
      <c r="BA95" s="2">
        <v>1</v>
      </c>
      <c r="BB95" s="2">
        <v>1</v>
      </c>
      <c r="BC95" s="2">
        <v>1</v>
      </c>
      <c r="BD95" s="2" t="s">
        <v>3</v>
      </c>
      <c r="BE95" s="2" t="s">
        <v>3</v>
      </c>
      <c r="BF95" s="2" t="s">
        <v>3</v>
      </c>
      <c r="BG95" s="2" t="s">
        <v>3</v>
      </c>
      <c r="BH95" s="2">
        <v>0</v>
      </c>
      <c r="BI95" s="2">
        <v>1</v>
      </c>
      <c r="BJ95" s="2" t="s">
        <v>176</v>
      </c>
      <c r="BK95" s="2"/>
      <c r="BL95" s="2"/>
      <c r="BM95" s="2">
        <v>65001</v>
      </c>
      <c r="BN95" s="2">
        <v>0</v>
      </c>
      <c r="BO95" s="2" t="s">
        <v>3</v>
      </c>
      <c r="BP95" s="2">
        <v>0</v>
      </c>
      <c r="BQ95" s="2">
        <v>6</v>
      </c>
      <c r="BR95" s="2">
        <v>0</v>
      </c>
      <c r="BS95" s="2">
        <v>1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 t="s">
        <v>3</v>
      </c>
      <c r="BZ95" s="2">
        <v>87</v>
      </c>
      <c r="CA95" s="2">
        <v>44</v>
      </c>
      <c r="CB95" s="2" t="s">
        <v>3</v>
      </c>
      <c r="CC95" s="2"/>
      <c r="CD95" s="2"/>
      <c r="CE95" s="2">
        <v>0</v>
      </c>
      <c r="CF95" s="2">
        <v>0</v>
      </c>
      <c r="CG95" s="2">
        <v>0</v>
      </c>
      <c r="CH95" s="2"/>
      <c r="CI95" s="2"/>
      <c r="CJ95" s="2"/>
      <c r="CK95" s="2"/>
      <c r="CL95" s="2"/>
      <c r="CM95" s="2">
        <v>0</v>
      </c>
      <c r="CN95" s="2" t="s">
        <v>3</v>
      </c>
      <c r="CO95" s="2">
        <v>0</v>
      </c>
      <c r="CP95" s="2">
        <f t="shared" si="59"/>
        <v>473.99</v>
      </c>
      <c r="CQ95" s="2">
        <f>SUMIF(SmtRes!AQ99:'SmtRes'!AQ99,"=1",SmtRes!AA99:'SmtRes'!AA99)</f>
        <v>0</v>
      </c>
      <c r="CR95" s="2">
        <f>SUMIF(SmtRes!AQ99:'SmtRes'!AQ99,"=1",SmtRes!AB99:'SmtRes'!AB99)</f>
        <v>0</v>
      </c>
      <c r="CS95" s="2">
        <f>SUMIF(SmtRes!AQ99:'SmtRes'!AQ99,"=1",SmtRes!AC99:'SmtRes'!AC99)</f>
        <v>0</v>
      </c>
      <c r="CT95" s="2">
        <f>SUMIF(SmtRes!AQ99:'SmtRes'!AQ99,"=1",SmtRes!AD99:'SmtRes'!AD99)</f>
        <v>641.22</v>
      </c>
      <c r="CU95" s="2">
        <f t="shared" si="60"/>
        <v>0</v>
      </c>
      <c r="CV95" s="2">
        <f>SUMIF(SmtRes!AQ99:'SmtRes'!AQ99,"=1",SmtRes!BU99:'SmtRes'!BU99)</f>
        <v>2.31</v>
      </c>
      <c r="CW95" s="2">
        <f>SUMIF(SmtRes!AQ99:'SmtRes'!AQ99,"=1",SmtRes!BV99:'SmtRes'!BV99)</f>
        <v>0</v>
      </c>
      <c r="CX95" s="2">
        <f t="shared" si="61"/>
        <v>0</v>
      </c>
      <c r="CY95" s="2">
        <f t="shared" si="70"/>
        <v>412.37129999999996</v>
      </c>
      <c r="CZ95" s="2">
        <f t="shared" si="71"/>
        <v>208.55560000000003</v>
      </c>
      <c r="DA95" s="2"/>
      <c r="DB95" s="2"/>
      <c r="DC95" s="2" t="s">
        <v>3</v>
      </c>
      <c r="DD95" s="2" t="s">
        <v>3</v>
      </c>
      <c r="DE95" s="2" t="s">
        <v>3</v>
      </c>
      <c r="DF95" s="2" t="s">
        <v>3</v>
      </c>
      <c r="DG95" s="2" t="s">
        <v>3</v>
      </c>
      <c r="DH95" s="2" t="s">
        <v>3</v>
      </c>
      <c r="DI95" s="2" t="s">
        <v>3</v>
      </c>
      <c r="DJ95" s="2" t="s">
        <v>3</v>
      </c>
      <c r="DK95" s="2" t="s">
        <v>3</v>
      </c>
      <c r="DL95" s="2" t="s">
        <v>3</v>
      </c>
      <c r="DM95" s="2" t="s">
        <v>3</v>
      </c>
      <c r="DN95" s="2">
        <v>0</v>
      </c>
      <c r="DO95" s="2">
        <v>0</v>
      </c>
      <c r="DP95" s="2">
        <v>1</v>
      </c>
      <c r="DQ95" s="2">
        <v>1</v>
      </c>
      <c r="DR95" s="2"/>
      <c r="DS95" s="2"/>
      <c r="DT95" s="2"/>
      <c r="DU95" s="2">
        <v>1013</v>
      </c>
      <c r="DV95" s="2" t="s">
        <v>19</v>
      </c>
      <c r="DW95" s="2" t="s">
        <v>19</v>
      </c>
      <c r="DX95" s="2">
        <v>1</v>
      </c>
      <c r="DY95" s="2"/>
      <c r="DZ95" s="2" t="s">
        <v>3</v>
      </c>
      <c r="EA95" s="2" t="s">
        <v>3</v>
      </c>
      <c r="EB95" s="2" t="s">
        <v>3</v>
      </c>
      <c r="EC95" s="2" t="s">
        <v>3</v>
      </c>
      <c r="ED95" s="2"/>
      <c r="EE95" s="2">
        <v>77313178</v>
      </c>
      <c r="EF95" s="2">
        <v>6</v>
      </c>
      <c r="EG95" s="2" t="s">
        <v>21</v>
      </c>
      <c r="EH95" s="2">
        <v>99</v>
      </c>
      <c r="EI95" s="2" t="s">
        <v>22</v>
      </c>
      <c r="EJ95" s="2">
        <v>1</v>
      </c>
      <c r="EK95" s="2">
        <v>65001</v>
      </c>
      <c r="EL95" s="2" t="s">
        <v>40</v>
      </c>
      <c r="EM95" s="2" t="s">
        <v>24</v>
      </c>
      <c r="EN95" s="2"/>
      <c r="EO95" s="2" t="s">
        <v>3</v>
      </c>
      <c r="EP95" s="2"/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2.31</v>
      </c>
      <c r="EX95" s="2">
        <v>0</v>
      </c>
      <c r="EY95" s="2">
        <v>0</v>
      </c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>
        <v>0</v>
      </c>
      <c r="FR95" s="2">
        <v>0</v>
      </c>
      <c r="FS95" s="2">
        <v>0</v>
      </c>
      <c r="FT95" s="2"/>
      <c r="FU95" s="2"/>
      <c r="FV95" s="2"/>
      <c r="FW95" s="2"/>
      <c r="FX95" s="2">
        <v>87</v>
      </c>
      <c r="FY95" s="2">
        <v>44</v>
      </c>
      <c r="FZ95" s="2"/>
      <c r="GA95" s="2" t="s">
        <v>3</v>
      </c>
      <c r="GB95" s="2"/>
      <c r="GC95" s="2"/>
      <c r="GD95" s="2">
        <v>1</v>
      </c>
      <c r="GE95" s="2"/>
      <c r="GF95" s="2">
        <v>-1408831870</v>
      </c>
      <c r="GG95" s="2">
        <v>2</v>
      </c>
      <c r="GH95" s="2">
        <v>1</v>
      </c>
      <c r="GI95" s="2">
        <v>-2</v>
      </c>
      <c r="GJ95" s="2">
        <v>0</v>
      </c>
      <c r="GK95" s="2">
        <v>0</v>
      </c>
      <c r="GL95" s="2">
        <f t="shared" si="62"/>
        <v>0</v>
      </c>
      <c r="GM95" s="2">
        <f t="shared" si="63"/>
        <v>1094.92</v>
      </c>
      <c r="GN95" s="2">
        <f t="shared" si="64"/>
        <v>1094.92</v>
      </c>
      <c r="GO95" s="2">
        <f t="shared" si="65"/>
        <v>0</v>
      </c>
      <c r="GP95" s="2">
        <f t="shared" si="66"/>
        <v>0</v>
      </c>
      <c r="GQ95" s="2"/>
      <c r="GR95" s="2">
        <v>0</v>
      </c>
      <c r="GS95" s="2">
        <v>3</v>
      </c>
      <c r="GT95" s="2">
        <v>0</v>
      </c>
      <c r="GU95" s="2" t="s">
        <v>3</v>
      </c>
      <c r="GV95" s="2">
        <f t="shared" si="67"/>
        <v>0</v>
      </c>
      <c r="GW95" s="2">
        <v>1</v>
      </c>
      <c r="GX95" s="2">
        <f t="shared" si="68"/>
        <v>0</v>
      </c>
      <c r="GY95" s="2"/>
      <c r="GZ95" s="2"/>
      <c r="HA95" s="2">
        <v>0</v>
      </c>
      <c r="HB95" s="2">
        <v>0</v>
      </c>
      <c r="HC95" s="2">
        <f t="shared" si="69"/>
        <v>0</v>
      </c>
      <c r="HD95" s="2"/>
      <c r="HE95" s="2" t="s">
        <v>3</v>
      </c>
      <c r="HF95" s="2" t="s">
        <v>3</v>
      </c>
      <c r="HG95" s="2"/>
      <c r="HH95" s="2"/>
      <c r="HI95" s="2"/>
      <c r="HJ95" s="2"/>
      <c r="HK95" s="2"/>
      <c r="HL95" s="2"/>
      <c r="HM95" s="2" t="s">
        <v>3</v>
      </c>
      <c r="HN95" s="2" t="s">
        <v>41</v>
      </c>
      <c r="HO95" s="2" t="s">
        <v>42</v>
      </c>
      <c r="HP95" s="2" t="s">
        <v>40</v>
      </c>
      <c r="HQ95" s="2" t="s">
        <v>40</v>
      </c>
      <c r="HR95" s="2"/>
      <c r="HS95" s="2">
        <v>0</v>
      </c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>
        <v>0</v>
      </c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ht="409.5" x14ac:dyDescent="0.2">
      <c r="A96" s="2">
        <v>17</v>
      </c>
      <c r="B96" s="2">
        <v>1</v>
      </c>
      <c r="C96" s="2">
        <f>ROW(SmtRes!A104)</f>
        <v>104</v>
      </c>
      <c r="D96" s="2">
        <f>ROW(EtalonRes!A99)</f>
        <v>99</v>
      </c>
      <c r="E96" s="2" t="s">
        <v>222</v>
      </c>
      <c r="F96" s="2" t="s">
        <v>178</v>
      </c>
      <c r="G96" s="2" t="s">
        <v>179</v>
      </c>
      <c r="H96" s="2" t="s">
        <v>90</v>
      </c>
      <c r="I96" s="2">
        <v>32</v>
      </c>
      <c r="J96" s="2">
        <v>0</v>
      </c>
      <c r="K96" s="2">
        <v>32</v>
      </c>
      <c r="L96" s="2"/>
      <c r="M96" s="2"/>
      <c r="N96" s="2"/>
      <c r="O96" s="2">
        <f t="shared" si="51"/>
        <v>6169.72</v>
      </c>
      <c r="P96" s="2">
        <f>SUMIF(SmtRes!AQ100:'SmtRes'!AQ104,"=1",SmtRes!DF100:'SmtRes'!DF104)</f>
        <v>149.53</v>
      </c>
      <c r="Q96" s="2">
        <f>SUMIF(SmtRes!AQ100:'SmtRes'!AQ104,"=1",SmtRes!DG100:'SmtRes'!DG104)</f>
        <v>0</v>
      </c>
      <c r="R96" s="2">
        <f>SUMIF(SmtRes!AQ100:'SmtRes'!AQ104,"=1",SmtRes!DH100:'SmtRes'!DH104)</f>
        <v>0</v>
      </c>
      <c r="S96" s="2">
        <f>SUMIF(SmtRes!AQ100:'SmtRes'!AQ104,"=1",SmtRes!DI100:'SmtRes'!DI104)</f>
        <v>6020.19</v>
      </c>
      <c r="T96" s="2">
        <f t="shared" si="52"/>
        <v>0</v>
      </c>
      <c r="U96" s="2">
        <f>SUMIF(SmtRes!AQ100:'SmtRes'!AQ104,"=1",SmtRes!CV100:'SmtRes'!CV104)</f>
        <v>8.0960000000000001</v>
      </c>
      <c r="V96" s="2">
        <f>SUMIF(SmtRes!AQ100:'SmtRes'!AQ104,"=1",SmtRes!CW100:'SmtRes'!CW104)</f>
        <v>0</v>
      </c>
      <c r="W96" s="2">
        <f t="shared" si="53"/>
        <v>0</v>
      </c>
      <c r="X96" s="2">
        <f t="shared" si="54"/>
        <v>6555.99</v>
      </c>
      <c r="Y96" s="2">
        <f t="shared" si="55"/>
        <v>3684.36</v>
      </c>
      <c r="Z96" s="2"/>
      <c r="AA96" s="2">
        <v>80308166</v>
      </c>
      <c r="AB96" s="2">
        <f t="shared" si="56"/>
        <v>191.619372</v>
      </c>
      <c r="AC96" s="2">
        <f>ROUND((SUM(SmtRes!BQ100:'SmtRes'!BQ104)),6)</f>
        <v>3.488572</v>
      </c>
      <c r="AD96" s="2">
        <f>ROUND((((0)-(0))+AE96),6)</f>
        <v>0</v>
      </c>
      <c r="AE96" s="2">
        <f>ROUND((0),6)</f>
        <v>0</v>
      </c>
      <c r="AF96" s="2">
        <f>ROUND((SUM(SmtRes!BT100:'SmtRes'!BT104)),6)</f>
        <v>188.13079999999999</v>
      </c>
      <c r="AG96" s="2">
        <f t="shared" si="57"/>
        <v>0</v>
      </c>
      <c r="AH96" s="2">
        <f>(SUM(SmtRes!BU100:'SmtRes'!BU104))</f>
        <v>0.253</v>
      </c>
      <c r="AI96" s="2">
        <f>(0)</f>
        <v>0</v>
      </c>
      <c r="AJ96" s="2">
        <f t="shared" si="58"/>
        <v>0</v>
      </c>
      <c r="AK96" s="2">
        <v>167.08057210000001</v>
      </c>
      <c r="AL96" s="2">
        <v>3.4885720999999998</v>
      </c>
      <c r="AM96" s="2">
        <v>0</v>
      </c>
      <c r="AN96" s="2">
        <v>0</v>
      </c>
      <c r="AO96" s="2">
        <v>163.59200000000001</v>
      </c>
      <c r="AP96" s="2">
        <v>0</v>
      </c>
      <c r="AQ96" s="2">
        <v>0.22</v>
      </c>
      <c r="AR96" s="2">
        <v>0</v>
      </c>
      <c r="AS96" s="2">
        <v>0</v>
      </c>
      <c r="AT96" s="2">
        <v>108.9</v>
      </c>
      <c r="AU96" s="2">
        <v>61.2</v>
      </c>
      <c r="AV96" s="2">
        <v>1</v>
      </c>
      <c r="AW96" s="2">
        <v>1</v>
      </c>
      <c r="AX96" s="2"/>
      <c r="AY96" s="2"/>
      <c r="AZ96" s="2">
        <v>1</v>
      </c>
      <c r="BA96" s="2">
        <v>1</v>
      </c>
      <c r="BB96" s="2">
        <v>1</v>
      </c>
      <c r="BC96" s="2">
        <v>1</v>
      </c>
      <c r="BD96" s="2" t="s">
        <v>3</v>
      </c>
      <c r="BE96" s="2" t="s">
        <v>3</v>
      </c>
      <c r="BF96" s="2" t="s">
        <v>3</v>
      </c>
      <c r="BG96" s="2" t="s">
        <v>3</v>
      </c>
      <c r="BH96" s="2">
        <v>0</v>
      </c>
      <c r="BI96" s="2">
        <v>1</v>
      </c>
      <c r="BJ96" s="2" t="s">
        <v>180</v>
      </c>
      <c r="BK96" s="2"/>
      <c r="BL96" s="2"/>
      <c r="BM96" s="2">
        <v>18001</v>
      </c>
      <c r="BN96" s="2">
        <v>0</v>
      </c>
      <c r="BO96" s="2" t="s">
        <v>3</v>
      </c>
      <c r="BP96" s="2">
        <v>0</v>
      </c>
      <c r="BQ96" s="2">
        <v>2</v>
      </c>
      <c r="BR96" s="2">
        <v>0</v>
      </c>
      <c r="BS96" s="2">
        <v>1</v>
      </c>
      <c r="BT96" s="2">
        <v>1</v>
      </c>
      <c r="BU96" s="2">
        <v>1</v>
      </c>
      <c r="BV96" s="2">
        <v>1</v>
      </c>
      <c r="BW96" s="2">
        <v>1</v>
      </c>
      <c r="BX96" s="2">
        <v>1</v>
      </c>
      <c r="BY96" s="2" t="s">
        <v>3</v>
      </c>
      <c r="BZ96" s="2">
        <v>121</v>
      </c>
      <c r="CA96" s="2">
        <v>72</v>
      </c>
      <c r="CB96" s="2" t="s">
        <v>3</v>
      </c>
      <c r="CC96" s="2"/>
      <c r="CD96" s="2"/>
      <c r="CE96" s="2">
        <v>0</v>
      </c>
      <c r="CF96" s="2">
        <v>0</v>
      </c>
      <c r="CG96" s="2">
        <v>0</v>
      </c>
      <c r="CH96" s="2"/>
      <c r="CI96" s="2"/>
      <c r="CJ96" s="2"/>
      <c r="CK96" s="2"/>
      <c r="CL96" s="2"/>
      <c r="CM96" s="2">
        <v>0</v>
      </c>
      <c r="CN96" s="7" t="s">
        <v>651</v>
      </c>
      <c r="CO96" s="2">
        <v>0</v>
      </c>
      <c r="CP96" s="2">
        <f t="shared" si="59"/>
        <v>6169.7199999999993</v>
      </c>
      <c r="CQ96" s="2">
        <f>SUMIF(SmtRes!AQ100:'SmtRes'!AQ104,"=1",SmtRes!AA100:'SmtRes'!AA104)</f>
        <v>73119.25</v>
      </c>
      <c r="CR96" s="2">
        <f>SUMIF(SmtRes!AQ100:'SmtRes'!AQ104,"=1",SmtRes!AB100:'SmtRes'!AB104)</f>
        <v>0</v>
      </c>
      <c r="CS96" s="2">
        <f>SUMIF(SmtRes!AQ100:'SmtRes'!AQ104,"=1",SmtRes!AC100:'SmtRes'!AC104)</f>
        <v>0</v>
      </c>
      <c r="CT96" s="2">
        <f>SUMIF(SmtRes!AQ100:'SmtRes'!AQ104,"=1",SmtRes!AD100:'SmtRes'!AD104)</f>
        <v>743.6</v>
      </c>
      <c r="CU96" s="2">
        <f t="shared" si="60"/>
        <v>0</v>
      </c>
      <c r="CV96" s="2">
        <f>SUMIF(SmtRes!AQ100:'SmtRes'!AQ104,"=1",SmtRes!BU100:'SmtRes'!BU104)</f>
        <v>0.253</v>
      </c>
      <c r="CW96" s="2">
        <f>SUMIF(SmtRes!AQ100:'SmtRes'!AQ104,"=1",SmtRes!BV100:'SmtRes'!BV104)</f>
        <v>0</v>
      </c>
      <c r="CX96" s="2">
        <f t="shared" si="61"/>
        <v>0</v>
      </c>
      <c r="CY96" s="2">
        <f t="shared" si="70"/>
        <v>6555.9869099999996</v>
      </c>
      <c r="CZ96" s="2">
        <f t="shared" si="71"/>
        <v>3684.3562799999995</v>
      </c>
      <c r="DA96" s="2"/>
      <c r="DB96" s="2">
        <v>9</v>
      </c>
      <c r="DC96" s="2" t="s">
        <v>3</v>
      </c>
      <c r="DD96" s="2" t="s">
        <v>3</v>
      </c>
      <c r="DE96" s="2" t="s">
        <v>48</v>
      </c>
      <c r="DF96" s="2" t="s">
        <v>48</v>
      </c>
      <c r="DG96" s="2" t="s">
        <v>49</v>
      </c>
      <c r="DH96" s="2" t="s">
        <v>3</v>
      </c>
      <c r="DI96" s="2" t="s">
        <v>49</v>
      </c>
      <c r="DJ96" s="2" t="s">
        <v>48</v>
      </c>
      <c r="DK96" s="2" t="s">
        <v>3</v>
      </c>
      <c r="DL96" s="2" t="s">
        <v>50</v>
      </c>
      <c r="DM96" s="2" t="s">
        <v>51</v>
      </c>
      <c r="DN96" s="2">
        <v>0</v>
      </c>
      <c r="DO96" s="2">
        <v>0</v>
      </c>
      <c r="DP96" s="2">
        <v>1</v>
      </c>
      <c r="DQ96" s="2">
        <v>1</v>
      </c>
      <c r="DR96" s="2"/>
      <c r="DS96" s="2"/>
      <c r="DT96" s="2"/>
      <c r="DU96" s="2">
        <v>1013</v>
      </c>
      <c r="DV96" s="2" t="s">
        <v>90</v>
      </c>
      <c r="DW96" s="2" t="s">
        <v>90</v>
      </c>
      <c r="DX96" s="2">
        <v>1</v>
      </c>
      <c r="DY96" s="2"/>
      <c r="DZ96" s="2" t="s">
        <v>3</v>
      </c>
      <c r="EA96" s="2" t="s">
        <v>3</v>
      </c>
      <c r="EB96" s="2" t="s">
        <v>3</v>
      </c>
      <c r="EC96" s="2" t="s">
        <v>3</v>
      </c>
      <c r="ED96" s="2"/>
      <c r="EE96" s="2">
        <v>77313121</v>
      </c>
      <c r="EF96" s="2">
        <v>2</v>
      </c>
      <c r="EG96" s="2" t="s">
        <v>52</v>
      </c>
      <c r="EH96" s="2">
        <v>16</v>
      </c>
      <c r="EI96" s="2" t="s">
        <v>53</v>
      </c>
      <c r="EJ96" s="2">
        <v>1</v>
      </c>
      <c r="EK96" s="2">
        <v>18001</v>
      </c>
      <c r="EL96" s="2" t="s">
        <v>160</v>
      </c>
      <c r="EM96" s="2" t="s">
        <v>161</v>
      </c>
      <c r="EN96" s="2"/>
      <c r="EO96" s="2" t="s">
        <v>56</v>
      </c>
      <c r="EP96" s="2"/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0.22</v>
      </c>
      <c r="EX96" s="2">
        <v>0</v>
      </c>
      <c r="EY96" s="2">
        <v>0</v>
      </c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>
        <v>0</v>
      </c>
      <c r="FR96" s="2">
        <v>0</v>
      </c>
      <c r="FS96" s="2">
        <v>0</v>
      </c>
      <c r="FT96" s="2"/>
      <c r="FU96" s="2"/>
      <c r="FV96" s="2"/>
      <c r="FW96" s="2"/>
      <c r="FX96" s="2">
        <v>108.9</v>
      </c>
      <c r="FY96" s="2">
        <v>61.2</v>
      </c>
      <c r="FZ96" s="2"/>
      <c r="GA96" s="2" t="s">
        <v>3</v>
      </c>
      <c r="GB96" s="2"/>
      <c r="GC96" s="2"/>
      <c r="GD96" s="2">
        <v>1</v>
      </c>
      <c r="GE96" s="2"/>
      <c r="GF96" s="2">
        <v>-422150115</v>
      </c>
      <c r="GG96" s="2">
        <v>2</v>
      </c>
      <c r="GH96" s="2">
        <v>1</v>
      </c>
      <c r="GI96" s="2">
        <v>-2</v>
      </c>
      <c r="GJ96" s="2">
        <v>0</v>
      </c>
      <c r="GK96" s="2">
        <v>0</v>
      </c>
      <c r="GL96" s="2">
        <f t="shared" si="62"/>
        <v>0</v>
      </c>
      <c r="GM96" s="2">
        <f t="shared" si="63"/>
        <v>16410.07</v>
      </c>
      <c r="GN96" s="2">
        <f t="shared" si="64"/>
        <v>16410.07</v>
      </c>
      <c r="GO96" s="2">
        <f t="shared" si="65"/>
        <v>0</v>
      </c>
      <c r="GP96" s="2">
        <f t="shared" si="66"/>
        <v>0</v>
      </c>
      <c r="GQ96" s="2"/>
      <c r="GR96" s="2">
        <v>0</v>
      </c>
      <c r="GS96" s="2">
        <v>3</v>
      </c>
      <c r="GT96" s="2">
        <v>0</v>
      </c>
      <c r="GU96" s="2" t="s">
        <v>3</v>
      </c>
      <c r="GV96" s="2">
        <f t="shared" si="67"/>
        <v>0</v>
      </c>
      <c r="GW96" s="2">
        <v>1</v>
      </c>
      <c r="GX96" s="2">
        <f t="shared" si="68"/>
        <v>0</v>
      </c>
      <c r="GY96" s="2"/>
      <c r="GZ96" s="2"/>
      <c r="HA96" s="2">
        <v>0</v>
      </c>
      <c r="HB96" s="2">
        <v>0</v>
      </c>
      <c r="HC96" s="2">
        <f t="shared" si="69"/>
        <v>0</v>
      </c>
      <c r="HD96" s="2"/>
      <c r="HE96" s="2" t="s">
        <v>3</v>
      </c>
      <c r="HF96" s="2" t="s">
        <v>3</v>
      </c>
      <c r="HG96" s="2"/>
      <c r="HH96" s="2"/>
      <c r="HI96" s="2"/>
      <c r="HJ96" s="2"/>
      <c r="HK96" s="2"/>
      <c r="HL96" s="2"/>
      <c r="HM96" s="2" t="s">
        <v>3</v>
      </c>
      <c r="HN96" s="2" t="s">
        <v>57</v>
      </c>
      <c r="HO96" s="2" t="s">
        <v>58</v>
      </c>
      <c r="HP96" s="2" t="s">
        <v>53</v>
      </c>
      <c r="HQ96" s="2" t="s">
        <v>53</v>
      </c>
      <c r="HR96" s="2"/>
      <c r="HS96" s="2">
        <v>0</v>
      </c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>
        <v>0</v>
      </c>
      <c r="IL96" s="2"/>
      <c r="IM96" s="2"/>
      <c r="IN96" s="2"/>
      <c r="IO96" s="2"/>
      <c r="IP96" s="2"/>
      <c r="IQ96" s="2"/>
      <c r="IR96" s="2"/>
      <c r="IS96" s="2"/>
      <c r="IT96" s="2"/>
      <c r="IU96" s="2"/>
    </row>
    <row r="97" spans="1:255" x14ac:dyDescent="0.2">
      <c r="A97" s="2">
        <v>18</v>
      </c>
      <c r="B97" s="2">
        <v>1</v>
      </c>
      <c r="C97" s="2">
        <v>104</v>
      </c>
      <c r="D97" s="2"/>
      <c r="E97" s="2" t="s">
        <v>223</v>
      </c>
      <c r="F97" s="2" t="s">
        <v>182</v>
      </c>
      <c r="G97" s="2" t="s">
        <v>183</v>
      </c>
      <c r="H97" s="2" t="s">
        <v>30</v>
      </c>
      <c r="I97" s="2">
        <f>I96*J97</f>
        <v>32</v>
      </c>
      <c r="J97" s="2">
        <v>1</v>
      </c>
      <c r="K97" s="2">
        <v>1</v>
      </c>
      <c r="L97" s="2"/>
      <c r="M97" s="2"/>
      <c r="N97" s="2"/>
      <c r="O97" s="2">
        <f t="shared" si="51"/>
        <v>19975.36</v>
      </c>
      <c r="P97" s="2">
        <f>ROUND(CQ97*I97,2)</f>
        <v>19975.36</v>
      </c>
      <c r="Q97" s="2">
        <f>ROUND(CR97*I97,2)</f>
        <v>0</v>
      </c>
      <c r="R97" s="2">
        <f>ROUND(CS97*I97,2)</f>
        <v>0</v>
      </c>
      <c r="S97" s="2">
        <f>ROUND(CT97*I97,2)</f>
        <v>0</v>
      </c>
      <c r="T97" s="2">
        <f t="shared" si="52"/>
        <v>0</v>
      </c>
      <c r="U97" s="2">
        <f>ROUND(CV97*I97,7)</f>
        <v>0</v>
      </c>
      <c r="V97" s="2">
        <f>ROUND(CW97*I97,7)</f>
        <v>0</v>
      </c>
      <c r="W97" s="2">
        <f t="shared" si="53"/>
        <v>0</v>
      </c>
      <c r="X97" s="2">
        <f t="shared" si="54"/>
        <v>0</v>
      </c>
      <c r="Y97" s="2">
        <f t="shared" si="55"/>
        <v>0</v>
      </c>
      <c r="Z97" s="2"/>
      <c r="AA97" s="2">
        <v>80308166</v>
      </c>
      <c r="AB97" s="2">
        <f t="shared" si="56"/>
        <v>624.23</v>
      </c>
      <c r="AC97" s="2">
        <f>ROUND((ES97),6)</f>
        <v>624.23</v>
      </c>
      <c r="AD97" s="2">
        <f>ROUND((((ET97)-(EU97))+AE97),6)</f>
        <v>0</v>
      </c>
      <c r="AE97" s="2">
        <f>ROUND((EU97),6)</f>
        <v>0</v>
      </c>
      <c r="AF97" s="2">
        <f>ROUND((EV97),6)</f>
        <v>0</v>
      </c>
      <c r="AG97" s="2">
        <f t="shared" si="57"/>
        <v>0</v>
      </c>
      <c r="AH97" s="2">
        <f>(EW97)</f>
        <v>0</v>
      </c>
      <c r="AI97" s="2">
        <f>(EX97)</f>
        <v>0</v>
      </c>
      <c r="AJ97" s="2">
        <f t="shared" si="58"/>
        <v>0</v>
      </c>
      <c r="AK97" s="2">
        <v>624.23</v>
      </c>
      <c r="AL97" s="2">
        <v>624.23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1</v>
      </c>
      <c r="AW97" s="2">
        <v>1</v>
      </c>
      <c r="AX97" s="2"/>
      <c r="AY97" s="2"/>
      <c r="AZ97" s="2">
        <v>1</v>
      </c>
      <c r="BA97" s="2">
        <v>1</v>
      </c>
      <c r="BB97" s="2">
        <v>1</v>
      </c>
      <c r="BC97" s="2">
        <v>1</v>
      </c>
      <c r="BD97" s="2" t="s">
        <v>3</v>
      </c>
      <c r="BE97" s="2" t="s">
        <v>3</v>
      </c>
      <c r="BF97" s="2" t="s">
        <v>3</v>
      </c>
      <c r="BG97" s="2" t="s">
        <v>3</v>
      </c>
      <c r="BH97" s="2">
        <v>3</v>
      </c>
      <c r="BI97" s="2">
        <v>3</v>
      </c>
      <c r="BJ97" s="2" t="s">
        <v>184</v>
      </c>
      <c r="BK97" s="2"/>
      <c r="BL97" s="2"/>
      <c r="BM97" s="2">
        <v>600001</v>
      </c>
      <c r="BN97" s="2">
        <v>0</v>
      </c>
      <c r="BO97" s="2" t="s">
        <v>3</v>
      </c>
      <c r="BP97" s="2">
        <v>0</v>
      </c>
      <c r="BQ97" s="2">
        <v>5</v>
      </c>
      <c r="BR97" s="2">
        <v>0</v>
      </c>
      <c r="BS97" s="2">
        <v>1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 t="s">
        <v>3</v>
      </c>
      <c r="BZ97" s="2">
        <v>127</v>
      </c>
      <c r="CA97" s="2">
        <v>72</v>
      </c>
      <c r="CB97" s="2" t="s">
        <v>3</v>
      </c>
      <c r="CC97" s="2"/>
      <c r="CD97" s="2"/>
      <c r="CE97" s="2">
        <v>0</v>
      </c>
      <c r="CF97" s="2">
        <v>0</v>
      </c>
      <c r="CG97" s="2">
        <v>0</v>
      </c>
      <c r="CH97" s="2"/>
      <c r="CI97" s="2"/>
      <c r="CJ97" s="2"/>
      <c r="CK97" s="2"/>
      <c r="CL97" s="2"/>
      <c r="CM97" s="2">
        <v>0</v>
      </c>
      <c r="CN97" s="2" t="s">
        <v>3</v>
      </c>
      <c r="CO97" s="2">
        <v>0</v>
      </c>
      <c r="CP97" s="2">
        <f t="shared" si="59"/>
        <v>19975.36</v>
      </c>
      <c r="CQ97" s="2">
        <f>ROUND(AL97*BC97,2)</f>
        <v>624.23</v>
      </c>
      <c r="CR97" s="2">
        <f>ROUND(AM97*BB97,2)</f>
        <v>0</v>
      </c>
      <c r="CS97" s="2">
        <f>ROUND(AN97*BS97,2)</f>
        <v>0</v>
      </c>
      <c r="CT97" s="2">
        <f>ROUND(AO97*BA97,2)</f>
        <v>0</v>
      </c>
      <c r="CU97" s="2">
        <f t="shared" si="60"/>
        <v>0</v>
      </c>
      <c r="CV97" s="2">
        <f>AH97</f>
        <v>0</v>
      </c>
      <c r="CW97" s="2">
        <f>AI97</f>
        <v>0</v>
      </c>
      <c r="CX97" s="2">
        <f t="shared" si="61"/>
        <v>0</v>
      </c>
      <c r="CY97" s="2">
        <f>0</f>
        <v>0</v>
      </c>
      <c r="CZ97" s="2">
        <f>0</f>
        <v>0</v>
      </c>
      <c r="DA97" s="2"/>
      <c r="DB97" s="2"/>
      <c r="DC97" s="2" t="s">
        <v>3</v>
      </c>
      <c r="DD97" s="2" t="s">
        <v>3</v>
      </c>
      <c r="DE97" s="2" t="s">
        <v>3</v>
      </c>
      <c r="DF97" s="2" t="s">
        <v>3</v>
      </c>
      <c r="DG97" s="2" t="s">
        <v>3</v>
      </c>
      <c r="DH97" s="2" t="s">
        <v>3</v>
      </c>
      <c r="DI97" s="2" t="s">
        <v>3</v>
      </c>
      <c r="DJ97" s="2" t="s">
        <v>3</v>
      </c>
      <c r="DK97" s="2" t="s">
        <v>3</v>
      </c>
      <c r="DL97" s="2" t="s">
        <v>3</v>
      </c>
      <c r="DM97" s="2" t="s">
        <v>3</v>
      </c>
      <c r="DN97" s="2">
        <v>0</v>
      </c>
      <c r="DO97" s="2">
        <v>0</v>
      </c>
      <c r="DP97" s="2">
        <v>1</v>
      </c>
      <c r="DQ97" s="2">
        <v>1</v>
      </c>
      <c r="DR97" s="2"/>
      <c r="DS97" s="2"/>
      <c r="DT97" s="2"/>
      <c r="DU97" s="2">
        <v>1013</v>
      </c>
      <c r="DV97" s="2" t="s">
        <v>30</v>
      </c>
      <c r="DW97" s="2" t="s">
        <v>30</v>
      </c>
      <c r="DX97" s="2">
        <v>1</v>
      </c>
      <c r="DY97" s="2"/>
      <c r="DZ97" s="2" t="s">
        <v>3</v>
      </c>
      <c r="EA97" s="2" t="s">
        <v>3</v>
      </c>
      <c r="EB97" s="2" t="s">
        <v>3</v>
      </c>
      <c r="EC97" s="2" t="s">
        <v>3</v>
      </c>
      <c r="ED97" s="2"/>
      <c r="EE97" s="2">
        <v>77313027</v>
      </c>
      <c r="EF97" s="2">
        <v>5</v>
      </c>
      <c r="EG97" s="2" t="s">
        <v>166</v>
      </c>
      <c r="EH97" s="2">
        <v>0</v>
      </c>
      <c r="EI97" s="2" t="s">
        <v>3</v>
      </c>
      <c r="EJ97" s="2">
        <v>3</v>
      </c>
      <c r="EK97" s="2">
        <v>600001</v>
      </c>
      <c r="EL97" s="2" t="s">
        <v>167</v>
      </c>
      <c r="EM97" s="2" t="s">
        <v>168</v>
      </c>
      <c r="EN97" s="2"/>
      <c r="EO97" s="2" t="s">
        <v>3</v>
      </c>
      <c r="EP97" s="2"/>
      <c r="EQ97" s="2">
        <v>0</v>
      </c>
      <c r="ER97" s="2">
        <v>624.23</v>
      </c>
      <c r="ES97" s="2">
        <v>624.23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>
        <v>0</v>
      </c>
      <c r="FR97" s="2">
        <f>P97</f>
        <v>19975.36</v>
      </c>
      <c r="FS97" s="2">
        <v>0</v>
      </c>
      <c r="FT97" s="2"/>
      <c r="FU97" s="2"/>
      <c r="FV97" s="2"/>
      <c r="FW97" s="2"/>
      <c r="FX97" s="2">
        <v>127</v>
      </c>
      <c r="FY97" s="2">
        <v>72</v>
      </c>
      <c r="FZ97" s="2"/>
      <c r="GA97" s="2" t="s">
        <v>3</v>
      </c>
      <c r="GB97" s="2"/>
      <c r="GC97" s="2"/>
      <c r="GD97" s="2">
        <v>1</v>
      </c>
      <c r="GE97" s="2"/>
      <c r="GF97" s="2">
        <v>-1960629749</v>
      </c>
      <c r="GG97" s="2">
        <v>2</v>
      </c>
      <c r="GH97" s="2">
        <v>1</v>
      </c>
      <c r="GI97" s="2">
        <v>2</v>
      </c>
      <c r="GJ97" s="2">
        <v>0</v>
      </c>
      <c r="GK97" s="2">
        <v>0</v>
      </c>
      <c r="GL97" s="2">
        <f t="shared" si="62"/>
        <v>0</v>
      </c>
      <c r="GM97" s="2">
        <f t="shared" si="63"/>
        <v>19975.36</v>
      </c>
      <c r="GN97" s="2">
        <f t="shared" si="64"/>
        <v>0</v>
      </c>
      <c r="GO97" s="2">
        <f t="shared" si="65"/>
        <v>0</v>
      </c>
      <c r="GP97" s="2">
        <f t="shared" si="66"/>
        <v>0</v>
      </c>
      <c r="GQ97" s="2"/>
      <c r="GR97" s="2">
        <v>0</v>
      </c>
      <c r="GS97" s="2">
        <v>3</v>
      </c>
      <c r="GT97" s="2">
        <v>0</v>
      </c>
      <c r="GU97" s="2" t="s">
        <v>3</v>
      </c>
      <c r="GV97" s="2">
        <f t="shared" si="67"/>
        <v>0</v>
      </c>
      <c r="GW97" s="2">
        <v>1</v>
      </c>
      <c r="GX97" s="2">
        <f t="shared" si="68"/>
        <v>0</v>
      </c>
      <c r="GY97" s="2"/>
      <c r="GZ97" s="2"/>
      <c r="HA97" s="2">
        <v>0</v>
      </c>
      <c r="HB97" s="2">
        <v>0</v>
      </c>
      <c r="HC97" s="2">
        <f t="shared" si="69"/>
        <v>0</v>
      </c>
      <c r="HD97" s="2"/>
      <c r="HE97" s="2" t="s">
        <v>3</v>
      </c>
      <c r="HF97" s="2" t="s">
        <v>3</v>
      </c>
      <c r="HG97" s="2"/>
      <c r="HH97" s="2"/>
      <c r="HI97" s="2"/>
      <c r="HJ97" s="2"/>
      <c r="HK97" s="2"/>
      <c r="HL97" s="2"/>
      <c r="HM97" s="2" t="s">
        <v>3</v>
      </c>
      <c r="HN97" s="2" t="s">
        <v>3</v>
      </c>
      <c r="HO97" s="2" t="s">
        <v>3</v>
      </c>
      <c r="HP97" s="2" t="s">
        <v>3</v>
      </c>
      <c r="HQ97" s="2" t="s">
        <v>3</v>
      </c>
      <c r="HR97" s="2"/>
      <c r="HS97" s="2">
        <v>0</v>
      </c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>
        <v>0</v>
      </c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x14ac:dyDescent="0.2">
      <c r="A98" s="2">
        <v>17</v>
      </c>
      <c r="B98" s="2">
        <v>1</v>
      </c>
      <c r="C98" s="2">
        <f>ROW(SmtRes!A112)</f>
        <v>112</v>
      </c>
      <c r="D98" s="2">
        <f>ROW(EtalonRes!A107)</f>
        <v>107</v>
      </c>
      <c r="E98" s="2" t="s">
        <v>224</v>
      </c>
      <c r="F98" s="2" t="s">
        <v>225</v>
      </c>
      <c r="G98" s="2" t="s">
        <v>226</v>
      </c>
      <c r="H98" s="2" t="s">
        <v>19</v>
      </c>
      <c r="I98" s="2">
        <f>ROUND(3/100,7)</f>
        <v>0.03</v>
      </c>
      <c r="J98" s="2">
        <v>0</v>
      </c>
      <c r="K98" s="2">
        <f>ROUND(3/100,7)</f>
        <v>0.03</v>
      </c>
      <c r="L98" s="2"/>
      <c r="M98" s="2"/>
      <c r="N98" s="2"/>
      <c r="O98" s="2">
        <f t="shared" si="51"/>
        <v>2756.12</v>
      </c>
      <c r="P98" s="2">
        <f>SUMIF(SmtRes!AQ105:'SmtRes'!AQ112,"=1",SmtRes!DF105:'SmtRes'!DF112)</f>
        <v>25.77</v>
      </c>
      <c r="Q98" s="2">
        <f>SUMIF(SmtRes!AQ105:'SmtRes'!AQ112,"=1",SmtRes!DG105:'SmtRes'!DG112)</f>
        <v>5.0199999999999996</v>
      </c>
      <c r="R98" s="2">
        <f>SUMIF(SmtRes!AQ105:'SmtRes'!AQ112,"=1",SmtRes!DH105:'SmtRes'!DH112)</f>
        <v>5.63</v>
      </c>
      <c r="S98" s="2">
        <f>SUMIF(SmtRes!AQ105:'SmtRes'!AQ112,"=1",SmtRes!DI105:'SmtRes'!DI112)</f>
        <v>2719.7</v>
      </c>
      <c r="T98" s="2">
        <f t="shared" si="52"/>
        <v>0</v>
      </c>
      <c r="U98" s="2">
        <f>SUMIF(SmtRes!AQ105:'SmtRes'!AQ112,"=1",SmtRes!CV105:'SmtRes'!CV112)</f>
        <v>3.99</v>
      </c>
      <c r="V98" s="2">
        <f>SUMIF(SmtRes!AQ105:'SmtRes'!AQ112,"=1",SmtRes!CW105:'SmtRes'!CW112)</f>
        <v>7.7999999999999996E-3</v>
      </c>
      <c r="W98" s="2">
        <f t="shared" si="53"/>
        <v>0</v>
      </c>
      <c r="X98" s="2">
        <f t="shared" si="54"/>
        <v>2807.09</v>
      </c>
      <c r="Y98" s="2">
        <f t="shared" si="55"/>
        <v>1417.17</v>
      </c>
      <c r="Z98" s="2"/>
      <c r="AA98" s="2">
        <v>80308166</v>
      </c>
      <c r="AB98" s="2">
        <f t="shared" si="56"/>
        <v>91465.112378000005</v>
      </c>
      <c r="AC98" s="2">
        <f>ROUND((SUM(SmtRes!BQ105:'SmtRes'!BQ112)),6)</f>
        <v>641.06697799999995</v>
      </c>
      <c r="AD98" s="2">
        <f>ROUND((((SUM(SmtRes!BR105:'SmtRes'!BR112))-(SUM(SmtRes!BS105:'SmtRes'!BS112)))+AE98),6)</f>
        <v>167.25540000000001</v>
      </c>
      <c r="AE98" s="2">
        <f>ROUND((SUM(SmtRes!BS105:'SmtRes'!BS112)),6)</f>
        <v>187.733</v>
      </c>
      <c r="AF98" s="2">
        <f>ROUND((SUM(SmtRes!BT105:'SmtRes'!BT112)),6)</f>
        <v>90656.79</v>
      </c>
      <c r="AG98" s="2">
        <f t="shared" si="57"/>
        <v>0</v>
      </c>
      <c r="AH98" s="2">
        <f>(SUM(SmtRes!BU105:'SmtRes'!BU112))</f>
        <v>133</v>
      </c>
      <c r="AI98" s="2">
        <f>(SUM(SmtRes!BV105:'SmtRes'!BV112))</f>
        <v>0.26</v>
      </c>
      <c r="AJ98" s="2">
        <f t="shared" si="58"/>
        <v>0</v>
      </c>
      <c r="AK98" s="2">
        <v>91652.845377999984</v>
      </c>
      <c r="AL98" s="2">
        <v>641.06697800000006</v>
      </c>
      <c r="AM98" s="2">
        <v>167.25540000000001</v>
      </c>
      <c r="AN98" s="2">
        <v>187.733</v>
      </c>
      <c r="AO98" s="2">
        <v>90656.79</v>
      </c>
      <c r="AP98" s="2">
        <v>0</v>
      </c>
      <c r="AQ98" s="2">
        <v>133</v>
      </c>
      <c r="AR98" s="2">
        <v>0.26</v>
      </c>
      <c r="AS98" s="2">
        <v>0</v>
      </c>
      <c r="AT98" s="2">
        <v>103</v>
      </c>
      <c r="AU98" s="2">
        <v>52</v>
      </c>
      <c r="AV98" s="2">
        <v>1</v>
      </c>
      <c r="AW98" s="2">
        <v>1</v>
      </c>
      <c r="AX98" s="2"/>
      <c r="AY98" s="2"/>
      <c r="AZ98" s="2">
        <v>1</v>
      </c>
      <c r="BA98" s="2">
        <v>1</v>
      </c>
      <c r="BB98" s="2">
        <v>1</v>
      </c>
      <c r="BC98" s="2">
        <v>1</v>
      </c>
      <c r="BD98" s="2" t="s">
        <v>3</v>
      </c>
      <c r="BE98" s="2" t="s">
        <v>3</v>
      </c>
      <c r="BF98" s="2" t="s">
        <v>3</v>
      </c>
      <c r="BG98" s="2" t="s">
        <v>3</v>
      </c>
      <c r="BH98" s="2">
        <v>0</v>
      </c>
      <c r="BI98" s="2">
        <v>1</v>
      </c>
      <c r="BJ98" s="2" t="s">
        <v>227</v>
      </c>
      <c r="BK98" s="2"/>
      <c r="BL98" s="2"/>
      <c r="BM98" s="2">
        <v>65007</v>
      </c>
      <c r="BN98" s="2">
        <v>0</v>
      </c>
      <c r="BO98" s="2" t="s">
        <v>3</v>
      </c>
      <c r="BP98" s="2">
        <v>0</v>
      </c>
      <c r="BQ98" s="2">
        <v>6</v>
      </c>
      <c r="BR98" s="2">
        <v>0</v>
      </c>
      <c r="BS98" s="2">
        <v>1</v>
      </c>
      <c r="BT98" s="2">
        <v>1</v>
      </c>
      <c r="BU98" s="2">
        <v>1</v>
      </c>
      <c r="BV98" s="2">
        <v>1</v>
      </c>
      <c r="BW98" s="2">
        <v>1</v>
      </c>
      <c r="BX98" s="2">
        <v>1</v>
      </c>
      <c r="BY98" s="2" t="s">
        <v>3</v>
      </c>
      <c r="BZ98" s="2">
        <v>103</v>
      </c>
      <c r="CA98" s="2">
        <v>52</v>
      </c>
      <c r="CB98" s="2" t="s">
        <v>3</v>
      </c>
      <c r="CC98" s="2"/>
      <c r="CD98" s="2"/>
      <c r="CE98" s="2">
        <v>0</v>
      </c>
      <c r="CF98" s="2">
        <v>0</v>
      </c>
      <c r="CG98" s="2">
        <v>0</v>
      </c>
      <c r="CH98" s="2"/>
      <c r="CI98" s="2"/>
      <c r="CJ98" s="2"/>
      <c r="CK98" s="2"/>
      <c r="CL98" s="2"/>
      <c r="CM98" s="2">
        <v>0</v>
      </c>
      <c r="CN98" s="2" t="s">
        <v>3</v>
      </c>
      <c r="CO98" s="2">
        <v>0</v>
      </c>
      <c r="CP98" s="2">
        <f t="shared" si="59"/>
        <v>2756.12</v>
      </c>
      <c r="CQ98" s="2">
        <f>SUMIF(SmtRes!AQ105:'SmtRes'!AQ112,"=1",SmtRes!AA105:'SmtRes'!AA112)</f>
        <v>73119.25</v>
      </c>
      <c r="CR98" s="2">
        <f>SUMIF(SmtRes!AQ105:'SmtRes'!AQ112,"=1",SmtRes!AB105:'SmtRes'!AB112)</f>
        <v>643.29</v>
      </c>
      <c r="CS98" s="2">
        <f>SUMIF(SmtRes!AQ105:'SmtRes'!AQ112,"=1",SmtRes!AC105:'SmtRes'!AC112)</f>
        <v>722.05</v>
      </c>
      <c r="CT98" s="2">
        <f>SUMIF(SmtRes!AQ105:'SmtRes'!AQ112,"=1",SmtRes!AD105:'SmtRes'!AD112)</f>
        <v>681.63</v>
      </c>
      <c r="CU98" s="2">
        <f t="shared" si="60"/>
        <v>0</v>
      </c>
      <c r="CV98" s="2">
        <f>SUMIF(SmtRes!AQ105:'SmtRes'!AQ112,"=1",SmtRes!BU105:'SmtRes'!BU112)</f>
        <v>133</v>
      </c>
      <c r="CW98" s="2">
        <f>SUMIF(SmtRes!AQ105:'SmtRes'!AQ112,"=1",SmtRes!BV105:'SmtRes'!BV112)</f>
        <v>0.26</v>
      </c>
      <c r="CX98" s="2">
        <f t="shared" si="61"/>
        <v>0</v>
      </c>
      <c r="CY98" s="2">
        <f>(((S98+R98)*AT98)/100)</f>
        <v>2807.0898999999999</v>
      </c>
      <c r="CZ98" s="2">
        <f>(((S98+R98)*AU98)/100)</f>
        <v>1417.1716000000001</v>
      </c>
      <c r="DA98" s="2"/>
      <c r="DB98" s="2"/>
      <c r="DC98" s="2" t="s">
        <v>3</v>
      </c>
      <c r="DD98" s="2" t="s">
        <v>3</v>
      </c>
      <c r="DE98" s="2" t="s">
        <v>3</v>
      </c>
      <c r="DF98" s="2" t="s">
        <v>3</v>
      </c>
      <c r="DG98" s="2" t="s">
        <v>3</v>
      </c>
      <c r="DH98" s="2" t="s">
        <v>3</v>
      </c>
      <c r="DI98" s="2" t="s">
        <v>3</v>
      </c>
      <c r="DJ98" s="2" t="s">
        <v>3</v>
      </c>
      <c r="DK98" s="2" t="s">
        <v>3</v>
      </c>
      <c r="DL98" s="2" t="s">
        <v>3</v>
      </c>
      <c r="DM98" s="2" t="s">
        <v>3</v>
      </c>
      <c r="DN98" s="2">
        <v>0</v>
      </c>
      <c r="DO98" s="2">
        <v>0</v>
      </c>
      <c r="DP98" s="2">
        <v>1</v>
      </c>
      <c r="DQ98" s="2">
        <v>1</v>
      </c>
      <c r="DR98" s="2"/>
      <c r="DS98" s="2"/>
      <c r="DT98" s="2"/>
      <c r="DU98" s="2">
        <v>1013</v>
      </c>
      <c r="DV98" s="2" t="s">
        <v>19</v>
      </c>
      <c r="DW98" s="2" t="s">
        <v>19</v>
      </c>
      <c r="DX98" s="2">
        <v>1</v>
      </c>
      <c r="DY98" s="2"/>
      <c r="DZ98" s="2" t="s">
        <v>3</v>
      </c>
      <c r="EA98" s="2" t="s">
        <v>3</v>
      </c>
      <c r="EB98" s="2" t="s">
        <v>3</v>
      </c>
      <c r="EC98" s="2" t="s">
        <v>3</v>
      </c>
      <c r="ED98" s="2"/>
      <c r="EE98" s="2">
        <v>77313190</v>
      </c>
      <c r="EF98" s="2">
        <v>6</v>
      </c>
      <c r="EG98" s="2" t="s">
        <v>21</v>
      </c>
      <c r="EH98" s="2">
        <v>99</v>
      </c>
      <c r="EI98" s="2" t="s">
        <v>22</v>
      </c>
      <c r="EJ98" s="2">
        <v>1</v>
      </c>
      <c r="EK98" s="2">
        <v>65007</v>
      </c>
      <c r="EL98" s="2" t="s">
        <v>23</v>
      </c>
      <c r="EM98" s="2" t="s">
        <v>24</v>
      </c>
      <c r="EN98" s="2"/>
      <c r="EO98" s="2" t="s">
        <v>3</v>
      </c>
      <c r="EP98" s="2"/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133</v>
      </c>
      <c r="EX98" s="2">
        <v>0.26</v>
      </c>
      <c r="EY98" s="2">
        <v>0</v>
      </c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>
        <v>0</v>
      </c>
      <c r="FR98" s="2">
        <v>0</v>
      </c>
      <c r="FS98" s="2">
        <v>0</v>
      </c>
      <c r="FT98" s="2"/>
      <c r="FU98" s="2"/>
      <c r="FV98" s="2"/>
      <c r="FW98" s="2"/>
      <c r="FX98" s="2">
        <v>103</v>
      </c>
      <c r="FY98" s="2">
        <v>52</v>
      </c>
      <c r="FZ98" s="2"/>
      <c r="GA98" s="2" t="s">
        <v>3</v>
      </c>
      <c r="GB98" s="2"/>
      <c r="GC98" s="2"/>
      <c r="GD98" s="2">
        <v>1</v>
      </c>
      <c r="GE98" s="2"/>
      <c r="GF98" s="2">
        <v>-522952117</v>
      </c>
      <c r="GG98" s="2">
        <v>2</v>
      </c>
      <c r="GH98" s="2">
        <v>1</v>
      </c>
      <c r="GI98" s="2">
        <v>-2</v>
      </c>
      <c r="GJ98" s="2">
        <v>0</v>
      </c>
      <c r="GK98" s="2">
        <v>0</v>
      </c>
      <c r="GL98" s="2">
        <f t="shared" si="62"/>
        <v>0</v>
      </c>
      <c r="GM98" s="2">
        <f t="shared" si="63"/>
        <v>6980.38</v>
      </c>
      <c r="GN98" s="2">
        <f t="shared" si="64"/>
        <v>6980.38</v>
      </c>
      <c r="GO98" s="2">
        <f t="shared" si="65"/>
        <v>0</v>
      </c>
      <c r="GP98" s="2">
        <f t="shared" si="66"/>
        <v>0</v>
      </c>
      <c r="GQ98" s="2"/>
      <c r="GR98" s="2">
        <v>0</v>
      </c>
      <c r="GS98" s="2">
        <v>3</v>
      </c>
      <c r="GT98" s="2">
        <v>0</v>
      </c>
      <c r="GU98" s="2" t="s">
        <v>3</v>
      </c>
      <c r="GV98" s="2">
        <f t="shared" si="67"/>
        <v>0</v>
      </c>
      <c r="GW98" s="2">
        <v>1</v>
      </c>
      <c r="GX98" s="2">
        <f t="shared" si="68"/>
        <v>0</v>
      </c>
      <c r="GY98" s="2"/>
      <c r="GZ98" s="2"/>
      <c r="HA98" s="2">
        <v>0</v>
      </c>
      <c r="HB98" s="2">
        <v>0</v>
      </c>
      <c r="HC98" s="2">
        <f t="shared" si="69"/>
        <v>0</v>
      </c>
      <c r="HD98" s="2"/>
      <c r="HE98" s="2" t="s">
        <v>3</v>
      </c>
      <c r="HF98" s="2" t="s">
        <v>3</v>
      </c>
      <c r="HG98" s="2"/>
      <c r="HH98" s="2"/>
      <c r="HI98" s="2"/>
      <c r="HJ98" s="2"/>
      <c r="HK98" s="2"/>
      <c r="HL98" s="2"/>
      <c r="HM98" s="2" t="s">
        <v>3</v>
      </c>
      <c r="HN98" s="2" t="s">
        <v>25</v>
      </c>
      <c r="HO98" s="2" t="s">
        <v>26</v>
      </c>
      <c r="HP98" s="2" t="s">
        <v>23</v>
      </c>
      <c r="HQ98" s="2" t="s">
        <v>23</v>
      </c>
      <c r="HR98" s="2"/>
      <c r="HS98" s="2">
        <v>0</v>
      </c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>
        <v>0</v>
      </c>
      <c r="IL98" s="2"/>
      <c r="IM98" s="2"/>
      <c r="IN98" s="2"/>
      <c r="IO98" s="2"/>
      <c r="IP98" s="2"/>
      <c r="IQ98" s="2"/>
      <c r="IR98" s="2"/>
      <c r="IS98" s="2"/>
      <c r="IT98" s="2"/>
      <c r="IU98" s="2"/>
    </row>
    <row r="99" spans="1:255" x14ac:dyDescent="0.2">
      <c r="A99" s="2">
        <v>18</v>
      </c>
      <c r="B99" s="2">
        <v>1</v>
      </c>
      <c r="C99" s="2">
        <v>111</v>
      </c>
      <c r="D99" s="2"/>
      <c r="E99" s="2" t="s">
        <v>228</v>
      </c>
      <c r="F99" s="2" t="s">
        <v>229</v>
      </c>
      <c r="G99" s="2" t="s">
        <v>230</v>
      </c>
      <c r="H99" s="2" t="s">
        <v>30</v>
      </c>
      <c r="I99" s="2">
        <f>I98*J99</f>
        <v>3</v>
      </c>
      <c r="J99" s="2">
        <v>100</v>
      </c>
      <c r="K99" s="2">
        <v>100</v>
      </c>
      <c r="L99" s="2"/>
      <c r="M99" s="2"/>
      <c r="N99" s="2"/>
      <c r="O99" s="2">
        <f t="shared" si="51"/>
        <v>4325.5200000000004</v>
      </c>
      <c r="P99" s="2">
        <f>ROUND(CQ99*I99,2)</f>
        <v>4325.5200000000004</v>
      </c>
      <c r="Q99" s="2">
        <f>ROUND(CR99*I99,2)</f>
        <v>0</v>
      </c>
      <c r="R99" s="2">
        <f>ROUND(CS99*I99,2)</f>
        <v>0</v>
      </c>
      <c r="S99" s="2">
        <f>ROUND(CT99*I99,2)</f>
        <v>0</v>
      </c>
      <c r="T99" s="2">
        <f t="shared" si="52"/>
        <v>0</v>
      </c>
      <c r="U99" s="2">
        <f>ROUND(CV99*I99,7)</f>
        <v>0</v>
      </c>
      <c r="V99" s="2">
        <f>ROUND(CW99*I99,7)</f>
        <v>0</v>
      </c>
      <c r="W99" s="2">
        <f t="shared" si="53"/>
        <v>0</v>
      </c>
      <c r="X99" s="2">
        <f t="shared" si="54"/>
        <v>0</v>
      </c>
      <c r="Y99" s="2">
        <f t="shared" si="55"/>
        <v>0</v>
      </c>
      <c r="Z99" s="2"/>
      <c r="AA99" s="2">
        <v>80308166</v>
      </c>
      <c r="AB99" s="2">
        <f t="shared" si="56"/>
        <v>1360.23</v>
      </c>
      <c r="AC99" s="2">
        <f>ROUND((ES99),6)</f>
        <v>1360.23</v>
      </c>
      <c r="AD99" s="2">
        <f>ROUND((((ET99)-(EU99))+AE99),6)</f>
        <v>0</v>
      </c>
      <c r="AE99" s="2">
        <f>ROUND((EU99),6)</f>
        <v>0</v>
      </c>
      <c r="AF99" s="2">
        <f>ROUND((EV99),6)</f>
        <v>0</v>
      </c>
      <c r="AG99" s="2">
        <f t="shared" si="57"/>
        <v>0</v>
      </c>
      <c r="AH99" s="2">
        <f>(EW99)</f>
        <v>0</v>
      </c>
      <c r="AI99" s="2">
        <f>(EX99)</f>
        <v>0</v>
      </c>
      <c r="AJ99" s="2">
        <f t="shared" si="58"/>
        <v>0</v>
      </c>
      <c r="AK99" s="2">
        <v>1360.23</v>
      </c>
      <c r="AL99" s="2">
        <v>1360.23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103</v>
      </c>
      <c r="AU99" s="2">
        <v>52</v>
      </c>
      <c r="AV99" s="2">
        <v>1</v>
      </c>
      <c r="AW99" s="2">
        <v>1</v>
      </c>
      <c r="AX99" s="2"/>
      <c r="AY99" s="2"/>
      <c r="AZ99" s="2">
        <v>1</v>
      </c>
      <c r="BA99" s="2">
        <v>1</v>
      </c>
      <c r="BB99" s="2">
        <v>1</v>
      </c>
      <c r="BC99" s="2">
        <v>1.06</v>
      </c>
      <c r="BD99" s="2" t="s">
        <v>3</v>
      </c>
      <c r="BE99" s="2" t="s">
        <v>3</v>
      </c>
      <c r="BF99" s="2" t="s">
        <v>3</v>
      </c>
      <c r="BG99" s="2" t="s">
        <v>3</v>
      </c>
      <c r="BH99" s="2">
        <v>3</v>
      </c>
      <c r="BI99" s="2">
        <v>1</v>
      </c>
      <c r="BJ99" s="2" t="s">
        <v>231</v>
      </c>
      <c r="BK99" s="2"/>
      <c r="BL99" s="2"/>
      <c r="BM99" s="2">
        <v>65007</v>
      </c>
      <c r="BN99" s="2">
        <v>0</v>
      </c>
      <c r="BO99" s="2" t="s">
        <v>229</v>
      </c>
      <c r="BP99" s="2">
        <v>1</v>
      </c>
      <c r="BQ99" s="2">
        <v>6</v>
      </c>
      <c r="BR99" s="2">
        <v>0</v>
      </c>
      <c r="BS99" s="2">
        <v>1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 t="s">
        <v>3</v>
      </c>
      <c r="BZ99" s="2">
        <v>103</v>
      </c>
      <c r="CA99" s="2">
        <v>52</v>
      </c>
      <c r="CB99" s="2" t="s">
        <v>3</v>
      </c>
      <c r="CC99" s="2"/>
      <c r="CD99" s="2"/>
      <c r="CE99" s="2">
        <v>0</v>
      </c>
      <c r="CF99" s="2">
        <v>0</v>
      </c>
      <c r="CG99" s="2">
        <v>0</v>
      </c>
      <c r="CH99" s="2"/>
      <c r="CI99" s="2"/>
      <c r="CJ99" s="2"/>
      <c r="CK99" s="2"/>
      <c r="CL99" s="2"/>
      <c r="CM99" s="2">
        <v>0</v>
      </c>
      <c r="CN99" s="2" t="s">
        <v>3</v>
      </c>
      <c r="CO99" s="2">
        <v>0</v>
      </c>
      <c r="CP99" s="2">
        <f t="shared" si="59"/>
        <v>4325.5200000000004</v>
      </c>
      <c r="CQ99" s="2">
        <f>ROUND(AL99*BC99,2)</f>
        <v>1441.84</v>
      </c>
      <c r="CR99" s="2">
        <f>ROUND(AM99*BB99,2)</f>
        <v>0</v>
      </c>
      <c r="CS99" s="2">
        <f>ROUND(AN99*BS99,2)</f>
        <v>0</v>
      </c>
      <c r="CT99" s="2">
        <f>ROUND(AO99*BA99,2)</f>
        <v>0</v>
      </c>
      <c r="CU99" s="2">
        <f t="shared" si="60"/>
        <v>0</v>
      </c>
      <c r="CV99" s="2">
        <f>AH99</f>
        <v>0</v>
      </c>
      <c r="CW99" s="2">
        <f>AI99</f>
        <v>0</v>
      </c>
      <c r="CX99" s="2">
        <f t="shared" si="61"/>
        <v>0</v>
      </c>
      <c r="CY99" s="2">
        <f>(((S99+R99)*AT99)/100)</f>
        <v>0</v>
      </c>
      <c r="CZ99" s="2">
        <f>(((S99+R99)*AU99)/100)</f>
        <v>0</v>
      </c>
      <c r="DA99" s="2"/>
      <c r="DB99" s="2"/>
      <c r="DC99" s="2" t="s">
        <v>3</v>
      </c>
      <c r="DD99" s="2" t="s">
        <v>3</v>
      </c>
      <c r="DE99" s="2" t="s">
        <v>3</v>
      </c>
      <c r="DF99" s="2" t="s">
        <v>3</v>
      </c>
      <c r="DG99" s="2" t="s">
        <v>3</v>
      </c>
      <c r="DH99" s="2" t="s">
        <v>3</v>
      </c>
      <c r="DI99" s="2" t="s">
        <v>3</v>
      </c>
      <c r="DJ99" s="2" t="s">
        <v>3</v>
      </c>
      <c r="DK99" s="2" t="s">
        <v>3</v>
      </c>
      <c r="DL99" s="2" t="s">
        <v>3</v>
      </c>
      <c r="DM99" s="2" t="s">
        <v>3</v>
      </c>
      <c r="DN99" s="2">
        <v>0</v>
      </c>
      <c r="DO99" s="2">
        <v>0</v>
      </c>
      <c r="DP99" s="2">
        <v>1</v>
      </c>
      <c r="DQ99" s="2">
        <v>1</v>
      </c>
      <c r="DR99" s="2"/>
      <c r="DS99" s="2"/>
      <c r="DT99" s="2"/>
      <c r="DU99" s="2">
        <v>1013</v>
      </c>
      <c r="DV99" s="2" t="s">
        <v>30</v>
      </c>
      <c r="DW99" s="2" t="s">
        <v>30</v>
      </c>
      <c r="DX99" s="2">
        <v>1</v>
      </c>
      <c r="DY99" s="2"/>
      <c r="DZ99" s="2" t="s">
        <v>3</v>
      </c>
      <c r="EA99" s="2" t="s">
        <v>3</v>
      </c>
      <c r="EB99" s="2" t="s">
        <v>3</v>
      </c>
      <c r="EC99" s="2" t="s">
        <v>3</v>
      </c>
      <c r="ED99" s="2"/>
      <c r="EE99" s="2">
        <v>77313190</v>
      </c>
      <c r="EF99" s="2">
        <v>6</v>
      </c>
      <c r="EG99" s="2" t="s">
        <v>21</v>
      </c>
      <c r="EH99" s="2">
        <v>99</v>
      </c>
      <c r="EI99" s="2" t="s">
        <v>22</v>
      </c>
      <c r="EJ99" s="2">
        <v>1</v>
      </c>
      <c r="EK99" s="2">
        <v>65007</v>
      </c>
      <c r="EL99" s="2" t="s">
        <v>23</v>
      </c>
      <c r="EM99" s="2" t="s">
        <v>24</v>
      </c>
      <c r="EN99" s="2"/>
      <c r="EO99" s="2" t="s">
        <v>3</v>
      </c>
      <c r="EP99" s="2"/>
      <c r="EQ99" s="2">
        <v>0</v>
      </c>
      <c r="ER99" s="2">
        <v>1360.23</v>
      </c>
      <c r="ES99" s="2">
        <v>1360.23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>
        <v>0</v>
      </c>
      <c r="FR99" s="2">
        <v>0</v>
      </c>
      <c r="FS99" s="2">
        <v>0</v>
      </c>
      <c r="FT99" s="2"/>
      <c r="FU99" s="2"/>
      <c r="FV99" s="2"/>
      <c r="FW99" s="2"/>
      <c r="FX99" s="2">
        <v>103</v>
      </c>
      <c r="FY99" s="2">
        <v>52</v>
      </c>
      <c r="FZ99" s="2"/>
      <c r="GA99" s="2" t="s">
        <v>3</v>
      </c>
      <c r="GB99" s="2"/>
      <c r="GC99" s="2"/>
      <c r="GD99" s="2">
        <v>1</v>
      </c>
      <c r="GE99" s="2"/>
      <c r="GF99" s="2">
        <v>705221990</v>
      </c>
      <c r="GG99" s="2">
        <v>2</v>
      </c>
      <c r="GH99" s="2">
        <v>1</v>
      </c>
      <c r="GI99" s="2">
        <v>2</v>
      </c>
      <c r="GJ99" s="2">
        <v>0</v>
      </c>
      <c r="GK99" s="2">
        <v>0</v>
      </c>
      <c r="GL99" s="2">
        <f t="shared" si="62"/>
        <v>0</v>
      </c>
      <c r="GM99" s="2">
        <f t="shared" si="63"/>
        <v>4325.5200000000004</v>
      </c>
      <c r="GN99" s="2">
        <f t="shared" si="64"/>
        <v>4325.5200000000004</v>
      </c>
      <c r="GO99" s="2">
        <f t="shared" si="65"/>
        <v>0</v>
      </c>
      <c r="GP99" s="2">
        <f t="shared" si="66"/>
        <v>0</v>
      </c>
      <c r="GQ99" s="2"/>
      <c r="GR99" s="2">
        <v>0</v>
      </c>
      <c r="GS99" s="2">
        <v>3</v>
      </c>
      <c r="GT99" s="2">
        <v>0</v>
      </c>
      <c r="GU99" s="2" t="s">
        <v>3</v>
      </c>
      <c r="GV99" s="2">
        <f t="shared" si="67"/>
        <v>0</v>
      </c>
      <c r="GW99" s="2">
        <v>1</v>
      </c>
      <c r="GX99" s="2">
        <f t="shared" si="68"/>
        <v>0</v>
      </c>
      <c r="GY99" s="2"/>
      <c r="GZ99" s="2"/>
      <c r="HA99" s="2">
        <v>0</v>
      </c>
      <c r="HB99" s="2">
        <v>0</v>
      </c>
      <c r="HC99" s="2">
        <f t="shared" si="69"/>
        <v>0</v>
      </c>
      <c r="HD99" s="2"/>
      <c r="HE99" s="2" t="s">
        <v>3</v>
      </c>
      <c r="HF99" s="2" t="s">
        <v>3</v>
      </c>
      <c r="HG99" s="2"/>
      <c r="HH99" s="2"/>
      <c r="HI99" s="2"/>
      <c r="HJ99" s="2"/>
      <c r="HK99" s="2"/>
      <c r="HL99" s="2"/>
      <c r="HM99" s="2" t="s">
        <v>3</v>
      </c>
      <c r="HN99" s="2" t="s">
        <v>25</v>
      </c>
      <c r="HO99" s="2" t="s">
        <v>26</v>
      </c>
      <c r="HP99" s="2" t="s">
        <v>23</v>
      </c>
      <c r="HQ99" s="2" t="s">
        <v>23</v>
      </c>
      <c r="HR99" s="2"/>
      <c r="HS99" s="2">
        <v>0</v>
      </c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>
        <v>0</v>
      </c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x14ac:dyDescent="0.2">
      <c r="A100" s="2">
        <v>18</v>
      </c>
      <c r="B100" s="2">
        <v>1</v>
      </c>
      <c r="C100" s="2">
        <v>112</v>
      </c>
      <c r="D100" s="2"/>
      <c r="E100" s="2" t="s">
        <v>232</v>
      </c>
      <c r="F100" s="2" t="s">
        <v>33</v>
      </c>
      <c r="G100" s="2" t="s">
        <v>34</v>
      </c>
      <c r="H100" s="2" t="s">
        <v>35</v>
      </c>
      <c r="I100" s="2">
        <f>I98*J100</f>
        <v>7.1999999999999998E-3</v>
      </c>
      <c r="J100" s="2">
        <v>0.24</v>
      </c>
      <c r="K100" s="2">
        <v>0.24</v>
      </c>
      <c r="L100" s="2"/>
      <c r="M100" s="2"/>
      <c r="N100" s="2"/>
      <c r="O100" s="2">
        <f t="shared" si="51"/>
        <v>0</v>
      </c>
      <c r="P100" s="2">
        <f>ROUND(CQ100*I100,2)</f>
        <v>0</v>
      </c>
      <c r="Q100" s="2">
        <f>ROUND(CR100*I100,2)</f>
        <v>0</v>
      </c>
      <c r="R100" s="2">
        <f>ROUND(CS100*I100,2)</f>
        <v>0</v>
      </c>
      <c r="S100" s="2">
        <f>ROUND(CT100*I100,2)</f>
        <v>0</v>
      </c>
      <c r="T100" s="2">
        <f t="shared" si="52"/>
        <v>0</v>
      </c>
      <c r="U100" s="2">
        <f>ROUND(CV100*I100,7)</f>
        <v>0</v>
      </c>
      <c r="V100" s="2">
        <f>ROUND(CW100*I100,7)</f>
        <v>0</v>
      </c>
      <c r="W100" s="2">
        <f t="shared" si="53"/>
        <v>0</v>
      </c>
      <c r="X100" s="2">
        <f t="shared" si="54"/>
        <v>0</v>
      </c>
      <c r="Y100" s="2">
        <f t="shared" si="55"/>
        <v>0</v>
      </c>
      <c r="Z100" s="2"/>
      <c r="AA100" s="2">
        <v>80308166</v>
      </c>
      <c r="AB100" s="2">
        <f t="shared" si="56"/>
        <v>0</v>
      </c>
      <c r="AC100" s="2">
        <f>ROUND((ES100),6)</f>
        <v>0</v>
      </c>
      <c r="AD100" s="2">
        <f>ROUND((((ET100)-(EU100))+AE100),6)</f>
        <v>0</v>
      </c>
      <c r="AE100" s="2">
        <f>ROUND((EU100),6)</f>
        <v>0</v>
      </c>
      <c r="AF100" s="2">
        <f>ROUND((EV100),6)</f>
        <v>0</v>
      </c>
      <c r="AG100" s="2">
        <f t="shared" si="57"/>
        <v>0</v>
      </c>
      <c r="AH100" s="2">
        <f>(EW100)</f>
        <v>0</v>
      </c>
      <c r="AI100" s="2">
        <f>(EX100)</f>
        <v>0</v>
      </c>
      <c r="AJ100" s="2">
        <f t="shared" si="58"/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103</v>
      </c>
      <c r="AU100" s="2">
        <v>52</v>
      </c>
      <c r="AV100" s="2">
        <v>1</v>
      </c>
      <c r="AW100" s="2">
        <v>1</v>
      </c>
      <c r="AX100" s="2"/>
      <c r="AY100" s="2"/>
      <c r="AZ100" s="2">
        <v>1</v>
      </c>
      <c r="BA100" s="2">
        <v>1</v>
      </c>
      <c r="BB100" s="2">
        <v>1</v>
      </c>
      <c r="BC100" s="2">
        <v>1</v>
      </c>
      <c r="BD100" s="2" t="s">
        <v>3</v>
      </c>
      <c r="BE100" s="2" t="s">
        <v>3</v>
      </c>
      <c r="BF100" s="2" t="s">
        <v>3</v>
      </c>
      <c r="BG100" s="2" t="s">
        <v>3</v>
      </c>
      <c r="BH100" s="2">
        <v>3</v>
      </c>
      <c r="BI100" s="2">
        <v>1</v>
      </c>
      <c r="BJ100" s="2" t="s">
        <v>3</v>
      </c>
      <c r="BK100" s="2"/>
      <c r="BL100" s="2"/>
      <c r="BM100" s="2">
        <v>65007</v>
      </c>
      <c r="BN100" s="2">
        <v>0</v>
      </c>
      <c r="BO100" s="2" t="s">
        <v>3</v>
      </c>
      <c r="BP100" s="2">
        <v>0</v>
      </c>
      <c r="BQ100" s="2">
        <v>6</v>
      </c>
      <c r="BR100" s="2">
        <v>0</v>
      </c>
      <c r="BS100" s="2">
        <v>1</v>
      </c>
      <c r="BT100" s="2">
        <v>1</v>
      </c>
      <c r="BU100" s="2">
        <v>1</v>
      </c>
      <c r="BV100" s="2">
        <v>1</v>
      </c>
      <c r="BW100" s="2">
        <v>1</v>
      </c>
      <c r="BX100" s="2">
        <v>1</v>
      </c>
      <c r="BY100" s="2" t="s">
        <v>3</v>
      </c>
      <c r="BZ100" s="2">
        <v>103</v>
      </c>
      <c r="CA100" s="2">
        <v>52</v>
      </c>
      <c r="CB100" s="2" t="s">
        <v>3</v>
      </c>
      <c r="CC100" s="2"/>
      <c r="CD100" s="2"/>
      <c r="CE100" s="2">
        <v>0</v>
      </c>
      <c r="CF100" s="2">
        <v>0</v>
      </c>
      <c r="CG100" s="2">
        <v>0</v>
      </c>
      <c r="CH100" s="2"/>
      <c r="CI100" s="2"/>
      <c r="CJ100" s="2"/>
      <c r="CK100" s="2"/>
      <c r="CL100" s="2"/>
      <c r="CM100" s="2">
        <v>0</v>
      </c>
      <c r="CN100" s="2" t="s">
        <v>3</v>
      </c>
      <c r="CO100" s="2">
        <v>0</v>
      </c>
      <c r="CP100" s="2">
        <f t="shared" si="59"/>
        <v>0</v>
      </c>
      <c r="CQ100" s="2">
        <f>ROUND(AL100*BC100,2)</f>
        <v>0</v>
      </c>
      <c r="CR100" s="2">
        <f>ROUND(AM100*BB100,2)</f>
        <v>0</v>
      </c>
      <c r="CS100" s="2">
        <f>ROUND(AN100*BS100,2)</f>
        <v>0</v>
      </c>
      <c r="CT100" s="2">
        <f>ROUND(AO100*BA100,2)</f>
        <v>0</v>
      </c>
      <c r="CU100" s="2">
        <f t="shared" si="60"/>
        <v>0</v>
      </c>
      <c r="CV100" s="2">
        <f>AH100</f>
        <v>0</v>
      </c>
      <c r="CW100" s="2">
        <f>AI100</f>
        <v>0</v>
      </c>
      <c r="CX100" s="2">
        <f t="shared" si="61"/>
        <v>0</v>
      </c>
      <c r="CY100" s="2">
        <f>(((S100+R100)*AT100)/100)</f>
        <v>0</v>
      </c>
      <c r="CZ100" s="2">
        <f>(((S100+R100)*AU100)/100)</f>
        <v>0</v>
      </c>
      <c r="DA100" s="2"/>
      <c r="DB100" s="2"/>
      <c r="DC100" s="2" t="s">
        <v>3</v>
      </c>
      <c r="DD100" s="2" t="s">
        <v>3</v>
      </c>
      <c r="DE100" s="2" t="s">
        <v>3</v>
      </c>
      <c r="DF100" s="2" t="s">
        <v>3</v>
      </c>
      <c r="DG100" s="2" t="s">
        <v>3</v>
      </c>
      <c r="DH100" s="2" t="s">
        <v>3</v>
      </c>
      <c r="DI100" s="2" t="s">
        <v>3</v>
      </c>
      <c r="DJ100" s="2" t="s">
        <v>3</v>
      </c>
      <c r="DK100" s="2" t="s">
        <v>3</v>
      </c>
      <c r="DL100" s="2" t="s">
        <v>3</v>
      </c>
      <c r="DM100" s="2" t="s">
        <v>3</v>
      </c>
      <c r="DN100" s="2">
        <v>0</v>
      </c>
      <c r="DO100" s="2">
        <v>0</v>
      </c>
      <c r="DP100" s="2">
        <v>1</v>
      </c>
      <c r="DQ100" s="2">
        <v>1</v>
      </c>
      <c r="DR100" s="2"/>
      <c r="DS100" s="2"/>
      <c r="DT100" s="2"/>
      <c r="DU100" s="2">
        <v>1009</v>
      </c>
      <c r="DV100" s="2" t="s">
        <v>35</v>
      </c>
      <c r="DW100" s="2" t="s">
        <v>35</v>
      </c>
      <c r="DX100" s="2">
        <v>1000</v>
      </c>
      <c r="DY100" s="2"/>
      <c r="DZ100" s="2" t="s">
        <v>3</v>
      </c>
      <c r="EA100" s="2" t="s">
        <v>3</v>
      </c>
      <c r="EB100" s="2" t="s">
        <v>3</v>
      </c>
      <c r="EC100" s="2" t="s">
        <v>3</v>
      </c>
      <c r="ED100" s="2"/>
      <c r="EE100" s="2">
        <v>77313190</v>
      </c>
      <c r="EF100" s="2">
        <v>6</v>
      </c>
      <c r="EG100" s="2" t="s">
        <v>21</v>
      </c>
      <c r="EH100" s="2">
        <v>99</v>
      </c>
      <c r="EI100" s="2" t="s">
        <v>22</v>
      </c>
      <c r="EJ100" s="2">
        <v>1</v>
      </c>
      <c r="EK100" s="2">
        <v>65007</v>
      </c>
      <c r="EL100" s="2" t="s">
        <v>23</v>
      </c>
      <c r="EM100" s="2" t="s">
        <v>24</v>
      </c>
      <c r="EN100" s="2"/>
      <c r="EO100" s="2" t="s">
        <v>3</v>
      </c>
      <c r="EP100" s="2"/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>
        <v>0</v>
      </c>
      <c r="FR100" s="2">
        <v>0</v>
      </c>
      <c r="FS100" s="2">
        <v>0</v>
      </c>
      <c r="FT100" s="2"/>
      <c r="FU100" s="2"/>
      <c r="FV100" s="2"/>
      <c r="FW100" s="2"/>
      <c r="FX100" s="2">
        <v>103</v>
      </c>
      <c r="FY100" s="2">
        <v>52</v>
      </c>
      <c r="FZ100" s="2"/>
      <c r="GA100" s="2" t="s">
        <v>3</v>
      </c>
      <c r="GB100" s="2"/>
      <c r="GC100" s="2"/>
      <c r="GD100" s="2">
        <v>1</v>
      </c>
      <c r="GE100" s="2"/>
      <c r="GF100" s="2">
        <v>-1296435862</v>
      </c>
      <c r="GG100" s="2">
        <v>2</v>
      </c>
      <c r="GH100" s="2">
        <v>1</v>
      </c>
      <c r="GI100" s="2">
        <v>-2</v>
      </c>
      <c r="GJ100" s="2">
        <v>0</v>
      </c>
      <c r="GK100" s="2">
        <v>0</v>
      </c>
      <c r="GL100" s="2">
        <f t="shared" si="62"/>
        <v>0</v>
      </c>
      <c r="GM100" s="2">
        <f t="shared" si="63"/>
        <v>0</v>
      </c>
      <c r="GN100" s="2">
        <f t="shared" si="64"/>
        <v>0</v>
      </c>
      <c r="GO100" s="2">
        <f t="shared" si="65"/>
        <v>0</v>
      </c>
      <c r="GP100" s="2">
        <f t="shared" si="66"/>
        <v>0</v>
      </c>
      <c r="GQ100" s="2"/>
      <c r="GR100" s="2">
        <v>0</v>
      </c>
      <c r="GS100" s="2">
        <v>0</v>
      </c>
      <c r="GT100" s="2">
        <v>0</v>
      </c>
      <c r="GU100" s="2" t="s">
        <v>3</v>
      </c>
      <c r="GV100" s="2">
        <f t="shared" si="67"/>
        <v>0</v>
      </c>
      <c r="GW100" s="2">
        <v>1</v>
      </c>
      <c r="GX100" s="2">
        <f t="shared" si="68"/>
        <v>0</v>
      </c>
      <c r="GY100" s="2"/>
      <c r="GZ100" s="2"/>
      <c r="HA100" s="2">
        <v>0</v>
      </c>
      <c r="HB100" s="2">
        <v>0</v>
      </c>
      <c r="HC100" s="2">
        <f t="shared" si="69"/>
        <v>0</v>
      </c>
      <c r="HD100" s="2"/>
      <c r="HE100" s="2" t="s">
        <v>3</v>
      </c>
      <c r="HF100" s="2" t="s">
        <v>3</v>
      </c>
      <c r="HG100" s="2"/>
      <c r="HH100" s="2"/>
      <c r="HI100" s="2"/>
      <c r="HJ100" s="2"/>
      <c r="HK100" s="2"/>
      <c r="HL100" s="2"/>
      <c r="HM100" s="2" t="s">
        <v>3</v>
      </c>
      <c r="HN100" s="2" t="s">
        <v>25</v>
      </c>
      <c r="HO100" s="2" t="s">
        <v>26</v>
      </c>
      <c r="HP100" s="2" t="s">
        <v>23</v>
      </c>
      <c r="HQ100" s="2" t="s">
        <v>23</v>
      </c>
      <c r="HR100" s="2"/>
      <c r="HS100" s="2">
        <v>0</v>
      </c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>
        <v>0</v>
      </c>
      <c r="IL100" s="2"/>
      <c r="IM100" s="2"/>
      <c r="IN100" s="2"/>
      <c r="IO100" s="2"/>
      <c r="IP100" s="2"/>
      <c r="IQ100" s="2"/>
      <c r="IR100" s="2"/>
      <c r="IS100" s="2"/>
      <c r="IT100" s="2"/>
      <c r="IU100" s="2"/>
    </row>
    <row r="102" spans="1:255" x14ac:dyDescent="0.2">
      <c r="A102" s="3">
        <v>51</v>
      </c>
      <c r="B102" s="3">
        <f>B73</f>
        <v>1</v>
      </c>
      <c r="C102" s="3">
        <f>A73</f>
        <v>4</v>
      </c>
      <c r="D102" s="3">
        <f>ROW(A73)</f>
        <v>73</v>
      </c>
      <c r="E102" s="3"/>
      <c r="F102" s="3" t="str">
        <f>IF(F73&lt;&gt;"",F73,"")</f>
        <v>Новый раздел</v>
      </c>
      <c r="G102" s="3" t="str">
        <f>IF(G73&lt;&gt;"",G73,"")</f>
        <v>Работа 2</v>
      </c>
      <c r="H102" s="3">
        <v>0</v>
      </c>
      <c r="I102" s="3"/>
      <c r="J102" s="3"/>
      <c r="K102" s="3"/>
      <c r="L102" s="3"/>
      <c r="M102" s="3"/>
      <c r="N102" s="3"/>
      <c r="O102" s="3">
        <f t="shared" ref="O102:T102" si="72">ROUND(AB102,2)</f>
        <v>107016.8</v>
      </c>
      <c r="P102" s="3">
        <f t="shared" si="72"/>
        <v>72942.5</v>
      </c>
      <c r="Q102" s="3">
        <f t="shared" si="72"/>
        <v>306.86</v>
      </c>
      <c r="R102" s="3">
        <f t="shared" si="72"/>
        <v>149.19</v>
      </c>
      <c r="S102" s="3">
        <f t="shared" si="72"/>
        <v>33618.25</v>
      </c>
      <c r="T102" s="3">
        <f t="shared" si="72"/>
        <v>0</v>
      </c>
      <c r="U102" s="3">
        <f>AH102</f>
        <v>49.1509</v>
      </c>
      <c r="V102" s="3">
        <f>AI102</f>
        <v>0.1903</v>
      </c>
      <c r="W102" s="3">
        <f>ROUND(AJ102,2)</f>
        <v>0</v>
      </c>
      <c r="X102" s="3">
        <f>ROUND(AK102,2)</f>
        <v>35164.129999999997</v>
      </c>
      <c r="Y102" s="3">
        <f>ROUND(AL102,2)</f>
        <v>18907.400000000001</v>
      </c>
      <c r="Z102" s="3"/>
      <c r="AA102" s="3"/>
      <c r="AB102" s="3">
        <f>ROUND(SUMIF(AA77:AA100,"=80308166",O77:O100),2)</f>
        <v>107016.8</v>
      </c>
      <c r="AC102" s="3">
        <f>ROUND(SUMIF(AA77:AA100,"=80308166",P77:P100),2)</f>
        <v>72942.5</v>
      </c>
      <c r="AD102" s="3">
        <f>ROUND(SUMIF(AA77:AA100,"=80308166",Q77:Q100),2)</f>
        <v>306.86</v>
      </c>
      <c r="AE102" s="3">
        <f>ROUND(SUMIF(AA77:AA100,"=80308166",R77:R100),2)</f>
        <v>149.19</v>
      </c>
      <c r="AF102" s="3">
        <f>ROUND(SUMIF(AA77:AA100,"=80308166",S77:S100),2)</f>
        <v>33618.25</v>
      </c>
      <c r="AG102" s="3">
        <f>ROUND(SUMIF(AA77:AA100,"=80308166",T77:T100),2)</f>
        <v>0</v>
      </c>
      <c r="AH102" s="3">
        <f>SUMIF(AA77:AA100,"=80308166",U77:U100)</f>
        <v>49.1509</v>
      </c>
      <c r="AI102" s="3">
        <f>SUMIF(AA77:AA100,"=80308166",V77:V100)</f>
        <v>0.1903</v>
      </c>
      <c r="AJ102" s="3">
        <f>ROUND(SUMIF(AA77:AA100,"=80308166",W77:W100),2)</f>
        <v>0</v>
      </c>
      <c r="AK102" s="3">
        <f>ROUND(SUMIF(AA77:AA100,"=80308166",X77:X100),2)</f>
        <v>35164.129999999997</v>
      </c>
      <c r="AL102" s="3">
        <f>ROUND(SUMIF(AA77:AA100,"=80308166",Y77:Y100),2)</f>
        <v>18907.400000000001</v>
      </c>
      <c r="AM102" s="3"/>
      <c r="AN102" s="3"/>
      <c r="AO102" s="3">
        <f t="shared" ref="AO102:BD102" si="73">ROUND(BX102,2)</f>
        <v>0</v>
      </c>
      <c r="AP102" s="3">
        <f t="shared" si="73"/>
        <v>30789.77</v>
      </c>
      <c r="AQ102" s="3">
        <f t="shared" si="73"/>
        <v>0</v>
      </c>
      <c r="AR102" s="3">
        <f t="shared" si="73"/>
        <v>161088.32999999999</v>
      </c>
      <c r="AS102" s="3">
        <f t="shared" si="73"/>
        <v>130298.56</v>
      </c>
      <c r="AT102" s="3">
        <f t="shared" si="73"/>
        <v>0</v>
      </c>
      <c r="AU102" s="3">
        <f t="shared" si="73"/>
        <v>0</v>
      </c>
      <c r="AV102" s="3">
        <f t="shared" si="73"/>
        <v>72942.5</v>
      </c>
      <c r="AW102" s="3">
        <f t="shared" si="73"/>
        <v>42152.73</v>
      </c>
      <c r="AX102" s="3">
        <f t="shared" si="73"/>
        <v>0</v>
      </c>
      <c r="AY102" s="3">
        <f t="shared" si="73"/>
        <v>42152.73</v>
      </c>
      <c r="AZ102" s="3">
        <f t="shared" si="73"/>
        <v>30789.77</v>
      </c>
      <c r="BA102" s="3">
        <f t="shared" si="73"/>
        <v>0</v>
      </c>
      <c r="BB102" s="3">
        <f t="shared" si="73"/>
        <v>0</v>
      </c>
      <c r="BC102" s="3">
        <f t="shared" si="73"/>
        <v>0</v>
      </c>
      <c r="BD102" s="3">
        <f t="shared" si="73"/>
        <v>0</v>
      </c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>
        <f>ROUND(SUMIF(AA77:AA100,"=80308166",FQ77:FQ100),2)</f>
        <v>0</v>
      </c>
      <c r="BY102" s="3">
        <f>ROUND(SUMIF(AA77:AA100,"=80308166",FR77:FR100),2)</f>
        <v>30789.77</v>
      </c>
      <c r="BZ102" s="3">
        <f>ROUND(SUMIF(AA77:AA100,"=80308166",GL77:GL100),2)</f>
        <v>0</v>
      </c>
      <c r="CA102" s="3">
        <f>ROUND(SUMIF(AA77:AA100,"=80308166",GM77:GM100),2)</f>
        <v>161088.32999999999</v>
      </c>
      <c r="CB102" s="3">
        <f>ROUND(SUMIF(AA77:AA100,"=80308166",GN77:GN100),2)</f>
        <v>130298.56</v>
      </c>
      <c r="CC102" s="3">
        <f>ROUND(SUMIF(AA77:AA100,"=80308166",GO77:GO100),2)</f>
        <v>0</v>
      </c>
      <c r="CD102" s="3">
        <f>ROUND(SUMIF(AA77:AA100,"=80308166",GP77:GP100),2)</f>
        <v>0</v>
      </c>
      <c r="CE102" s="3">
        <f>AC102-BX102</f>
        <v>72942.5</v>
      </c>
      <c r="CF102" s="3">
        <f>AC102-BY102</f>
        <v>42152.729999999996</v>
      </c>
      <c r="CG102" s="3">
        <f>BX102-BZ102</f>
        <v>0</v>
      </c>
      <c r="CH102" s="3">
        <f>AC102-BX102-BY102+BZ102</f>
        <v>42152.729999999996</v>
      </c>
      <c r="CI102" s="3">
        <f>BY102-BZ102</f>
        <v>30789.77</v>
      </c>
      <c r="CJ102" s="3">
        <f>ROUND(SUMIF(AA77:AA100,"=80308166",GX77:GX100),2)</f>
        <v>0</v>
      </c>
      <c r="CK102" s="3">
        <f>ROUND(SUMIF(AA77:AA100,"=80308166",GY77:GY100),2)</f>
        <v>0</v>
      </c>
      <c r="CL102" s="3">
        <f>ROUND(SUMIF(AA77:AA100,"=80308166",GZ77:GZ100),2)</f>
        <v>0</v>
      </c>
      <c r="CM102" s="3">
        <f>ROUND(SUMIF(AA77:AA100,"=80308166",HD77:HD100),2)</f>
        <v>0</v>
      </c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>
        <v>0</v>
      </c>
    </row>
    <row r="104" spans="1:255" x14ac:dyDescent="0.2">
      <c r="A104" s="5">
        <v>50</v>
      </c>
      <c r="B104" s="5">
        <v>0</v>
      </c>
      <c r="C104" s="5">
        <v>0</v>
      </c>
      <c r="D104" s="5">
        <v>1</v>
      </c>
      <c r="E104" s="5">
        <v>201</v>
      </c>
      <c r="F104" s="5">
        <f>ROUND(Source!O102,O104)</f>
        <v>107016.8</v>
      </c>
      <c r="G104" s="5" t="s">
        <v>97</v>
      </c>
      <c r="H104" s="5" t="s">
        <v>98</v>
      </c>
      <c r="I104" s="5"/>
      <c r="J104" s="5"/>
      <c r="K104" s="5">
        <v>201</v>
      </c>
      <c r="L104" s="5">
        <v>1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76227.03</v>
      </c>
      <c r="X104" s="5">
        <v>1</v>
      </c>
      <c r="Y104" s="5">
        <v>76227.03</v>
      </c>
      <c r="Z104" s="5"/>
      <c r="AA104" s="5"/>
      <c r="AB104" s="5"/>
    </row>
    <row r="105" spans="1:255" x14ac:dyDescent="0.2">
      <c r="A105" s="5">
        <v>50</v>
      </c>
      <c r="B105" s="5">
        <v>0</v>
      </c>
      <c r="C105" s="5">
        <v>0</v>
      </c>
      <c r="D105" s="5">
        <v>1</v>
      </c>
      <c r="E105" s="5">
        <v>202</v>
      </c>
      <c r="F105" s="5">
        <f>ROUND(Source!P102,O105)</f>
        <v>72942.5</v>
      </c>
      <c r="G105" s="5" t="s">
        <v>99</v>
      </c>
      <c r="H105" s="5" t="s">
        <v>100</v>
      </c>
      <c r="I105" s="5"/>
      <c r="J105" s="5"/>
      <c r="K105" s="5">
        <v>202</v>
      </c>
      <c r="L105" s="5">
        <v>2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72942.5</v>
      </c>
      <c r="X105" s="5">
        <v>1</v>
      </c>
      <c r="Y105" s="5">
        <v>72942.5</v>
      </c>
      <c r="Z105" s="5"/>
      <c r="AA105" s="5"/>
      <c r="AB105" s="5"/>
    </row>
    <row r="106" spans="1:255" x14ac:dyDescent="0.2">
      <c r="A106" s="5">
        <v>50</v>
      </c>
      <c r="B106" s="5">
        <v>0</v>
      </c>
      <c r="C106" s="5">
        <v>0</v>
      </c>
      <c r="D106" s="5">
        <v>1</v>
      </c>
      <c r="E106" s="5">
        <v>222</v>
      </c>
      <c r="F106" s="5">
        <f>ROUND(Source!AO102,O106)</f>
        <v>0</v>
      </c>
      <c r="G106" s="5" t="s">
        <v>101</v>
      </c>
      <c r="H106" s="5" t="s">
        <v>102</v>
      </c>
      <c r="I106" s="5"/>
      <c r="J106" s="5"/>
      <c r="K106" s="5">
        <v>222</v>
      </c>
      <c r="L106" s="5">
        <v>3</v>
      </c>
      <c r="M106" s="5">
        <v>3</v>
      </c>
      <c r="N106" s="5" t="s">
        <v>3</v>
      </c>
      <c r="O106" s="5">
        <v>2</v>
      </c>
      <c r="P106" s="5"/>
      <c r="Q106" s="5"/>
      <c r="R106" s="5"/>
      <c r="S106" s="5"/>
      <c r="T106" s="5"/>
      <c r="U106" s="5"/>
      <c r="V106" s="5"/>
      <c r="W106" s="5">
        <v>0</v>
      </c>
      <c r="X106" s="5">
        <v>1</v>
      </c>
      <c r="Y106" s="5">
        <v>0</v>
      </c>
      <c r="Z106" s="5"/>
      <c r="AA106" s="5"/>
      <c r="AB106" s="5"/>
    </row>
    <row r="107" spans="1:255" x14ac:dyDescent="0.2">
      <c r="A107" s="5">
        <v>50</v>
      </c>
      <c r="B107" s="5">
        <v>0</v>
      </c>
      <c r="C107" s="5">
        <v>0</v>
      </c>
      <c r="D107" s="5">
        <v>1</v>
      </c>
      <c r="E107" s="5">
        <v>225</v>
      </c>
      <c r="F107" s="5">
        <f>ROUND(Source!AV102,O107)</f>
        <v>72942.5</v>
      </c>
      <c r="G107" s="5" t="s">
        <v>103</v>
      </c>
      <c r="H107" s="5" t="s">
        <v>104</v>
      </c>
      <c r="I107" s="5"/>
      <c r="J107" s="5"/>
      <c r="K107" s="5">
        <v>225</v>
      </c>
      <c r="L107" s="5">
        <v>4</v>
      </c>
      <c r="M107" s="5">
        <v>3</v>
      </c>
      <c r="N107" s="5" t="s">
        <v>3</v>
      </c>
      <c r="O107" s="5">
        <v>2</v>
      </c>
      <c r="P107" s="5"/>
      <c r="Q107" s="5"/>
      <c r="R107" s="5"/>
      <c r="S107" s="5"/>
      <c r="T107" s="5"/>
      <c r="U107" s="5"/>
      <c r="V107" s="5"/>
      <c r="W107" s="5">
        <v>72942.5</v>
      </c>
      <c r="X107" s="5">
        <v>1</v>
      </c>
      <c r="Y107" s="5">
        <v>72942.5</v>
      </c>
      <c r="Z107" s="5"/>
      <c r="AA107" s="5"/>
      <c r="AB107" s="5"/>
    </row>
    <row r="108" spans="1:255" x14ac:dyDescent="0.2">
      <c r="A108" s="5">
        <v>50</v>
      </c>
      <c r="B108" s="5">
        <v>0</v>
      </c>
      <c r="C108" s="5">
        <v>0</v>
      </c>
      <c r="D108" s="5">
        <v>1</v>
      </c>
      <c r="E108" s="5">
        <v>226</v>
      </c>
      <c r="F108" s="5">
        <f>ROUND(Source!AW102,O108)</f>
        <v>42152.73</v>
      </c>
      <c r="G108" s="5" t="s">
        <v>105</v>
      </c>
      <c r="H108" s="5" t="s">
        <v>106</v>
      </c>
      <c r="I108" s="5"/>
      <c r="J108" s="5"/>
      <c r="K108" s="5">
        <v>226</v>
      </c>
      <c r="L108" s="5">
        <v>5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42152.73</v>
      </c>
      <c r="X108" s="5">
        <v>1</v>
      </c>
      <c r="Y108" s="5">
        <v>42152.73</v>
      </c>
      <c r="Z108" s="5"/>
      <c r="AA108" s="5"/>
      <c r="AB108" s="5"/>
    </row>
    <row r="109" spans="1:255" x14ac:dyDescent="0.2">
      <c r="A109" s="5">
        <v>50</v>
      </c>
      <c r="B109" s="5">
        <v>0</v>
      </c>
      <c r="C109" s="5">
        <v>0</v>
      </c>
      <c r="D109" s="5">
        <v>1</v>
      </c>
      <c r="E109" s="5">
        <v>227</v>
      </c>
      <c r="F109" s="5">
        <f>ROUND(Source!AX102,O109)</f>
        <v>0</v>
      </c>
      <c r="G109" s="5" t="s">
        <v>107</v>
      </c>
      <c r="H109" s="5" t="s">
        <v>108</v>
      </c>
      <c r="I109" s="5"/>
      <c r="J109" s="5"/>
      <c r="K109" s="5">
        <v>227</v>
      </c>
      <c r="L109" s="5">
        <v>6</v>
      </c>
      <c r="M109" s="5">
        <v>3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0</v>
      </c>
      <c r="X109" s="5">
        <v>1</v>
      </c>
      <c r="Y109" s="5">
        <v>0</v>
      </c>
      <c r="Z109" s="5"/>
      <c r="AA109" s="5"/>
      <c r="AB109" s="5"/>
    </row>
    <row r="110" spans="1:255" x14ac:dyDescent="0.2">
      <c r="A110" s="5">
        <v>50</v>
      </c>
      <c r="B110" s="5">
        <v>0</v>
      </c>
      <c r="C110" s="5">
        <v>0</v>
      </c>
      <c r="D110" s="5">
        <v>1</v>
      </c>
      <c r="E110" s="5">
        <v>228</v>
      </c>
      <c r="F110" s="5">
        <f>ROUND(Source!AY102,O110)</f>
        <v>42152.73</v>
      </c>
      <c r="G110" s="5" t="s">
        <v>109</v>
      </c>
      <c r="H110" s="5" t="s">
        <v>110</v>
      </c>
      <c r="I110" s="5"/>
      <c r="J110" s="5"/>
      <c r="K110" s="5">
        <v>228</v>
      </c>
      <c r="L110" s="5">
        <v>7</v>
      </c>
      <c r="M110" s="5">
        <v>3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42152.73</v>
      </c>
      <c r="X110" s="5">
        <v>1</v>
      </c>
      <c r="Y110" s="5">
        <v>42152.73</v>
      </c>
      <c r="Z110" s="5"/>
      <c r="AA110" s="5"/>
      <c r="AB110" s="5"/>
    </row>
    <row r="111" spans="1:255" x14ac:dyDescent="0.2">
      <c r="A111" s="5">
        <v>50</v>
      </c>
      <c r="B111" s="5">
        <v>0</v>
      </c>
      <c r="C111" s="5">
        <v>0</v>
      </c>
      <c r="D111" s="5">
        <v>1</v>
      </c>
      <c r="E111" s="5">
        <v>216</v>
      </c>
      <c r="F111" s="5">
        <f>ROUND(Source!AP102,O111)</f>
        <v>30789.77</v>
      </c>
      <c r="G111" s="5" t="s">
        <v>111</v>
      </c>
      <c r="H111" s="5" t="s">
        <v>112</v>
      </c>
      <c r="I111" s="5"/>
      <c r="J111" s="5"/>
      <c r="K111" s="5">
        <v>216</v>
      </c>
      <c r="L111" s="5">
        <v>8</v>
      </c>
      <c r="M111" s="5">
        <v>3</v>
      </c>
      <c r="N111" s="5" t="s">
        <v>3</v>
      </c>
      <c r="O111" s="5">
        <v>2</v>
      </c>
      <c r="P111" s="5"/>
      <c r="Q111" s="5"/>
      <c r="R111" s="5"/>
      <c r="S111" s="5"/>
      <c r="T111" s="5"/>
      <c r="U111" s="5"/>
      <c r="V111" s="5"/>
      <c r="W111" s="5">
        <v>30789.77</v>
      </c>
      <c r="X111" s="5">
        <v>1</v>
      </c>
      <c r="Y111" s="5">
        <v>30789.77</v>
      </c>
      <c r="Z111" s="5"/>
      <c r="AA111" s="5"/>
      <c r="AB111" s="5"/>
    </row>
    <row r="112" spans="1:255" x14ac:dyDescent="0.2">
      <c r="A112" s="5">
        <v>50</v>
      </c>
      <c r="B112" s="5">
        <v>0</v>
      </c>
      <c r="C112" s="5">
        <v>0</v>
      </c>
      <c r="D112" s="5">
        <v>1</v>
      </c>
      <c r="E112" s="5">
        <v>223</v>
      </c>
      <c r="F112" s="5">
        <f>ROUND(Source!AQ102,O112)</f>
        <v>0</v>
      </c>
      <c r="G112" s="5" t="s">
        <v>113</v>
      </c>
      <c r="H112" s="5" t="s">
        <v>114</v>
      </c>
      <c r="I112" s="5"/>
      <c r="J112" s="5"/>
      <c r="K112" s="5">
        <v>223</v>
      </c>
      <c r="L112" s="5">
        <v>9</v>
      </c>
      <c r="M112" s="5">
        <v>3</v>
      </c>
      <c r="N112" s="5" t="s">
        <v>3</v>
      </c>
      <c r="O112" s="5">
        <v>2</v>
      </c>
      <c r="P112" s="5"/>
      <c r="Q112" s="5"/>
      <c r="R112" s="5"/>
      <c r="S112" s="5"/>
      <c r="T112" s="5"/>
      <c r="U112" s="5"/>
      <c r="V112" s="5"/>
      <c r="W112" s="5">
        <v>0</v>
      </c>
      <c r="X112" s="5">
        <v>1</v>
      </c>
      <c r="Y112" s="5">
        <v>0</v>
      </c>
      <c r="Z112" s="5"/>
      <c r="AA112" s="5"/>
      <c r="AB112" s="5"/>
    </row>
    <row r="113" spans="1:28" x14ac:dyDescent="0.2">
      <c r="A113" s="5">
        <v>50</v>
      </c>
      <c r="B113" s="5">
        <v>0</v>
      </c>
      <c r="C113" s="5">
        <v>0</v>
      </c>
      <c r="D113" s="5">
        <v>1</v>
      </c>
      <c r="E113" s="5">
        <v>229</v>
      </c>
      <c r="F113" s="5">
        <f>ROUND(Source!AZ102,O113)</f>
        <v>30789.77</v>
      </c>
      <c r="G113" s="5" t="s">
        <v>115</v>
      </c>
      <c r="H113" s="5" t="s">
        <v>116</v>
      </c>
      <c r="I113" s="5"/>
      <c r="J113" s="5"/>
      <c r="K113" s="5">
        <v>229</v>
      </c>
      <c r="L113" s="5">
        <v>10</v>
      </c>
      <c r="M113" s="5">
        <v>3</v>
      </c>
      <c r="N113" s="5" t="s">
        <v>3</v>
      </c>
      <c r="O113" s="5">
        <v>2</v>
      </c>
      <c r="P113" s="5"/>
      <c r="Q113" s="5"/>
      <c r="R113" s="5"/>
      <c r="S113" s="5"/>
      <c r="T113" s="5"/>
      <c r="U113" s="5"/>
      <c r="V113" s="5"/>
      <c r="W113" s="5">
        <v>30789.77</v>
      </c>
      <c r="X113" s="5">
        <v>1</v>
      </c>
      <c r="Y113" s="5">
        <v>30789.77</v>
      </c>
      <c r="Z113" s="5"/>
      <c r="AA113" s="5"/>
      <c r="AB113" s="5"/>
    </row>
    <row r="114" spans="1:28" x14ac:dyDescent="0.2">
      <c r="A114" s="5">
        <v>50</v>
      </c>
      <c r="B114" s="5">
        <v>0</v>
      </c>
      <c r="C114" s="5">
        <v>0</v>
      </c>
      <c r="D114" s="5">
        <v>1</v>
      </c>
      <c r="E114" s="5">
        <v>203</v>
      </c>
      <c r="F114" s="5">
        <f>ROUND(Source!Q102,O114)</f>
        <v>306.86</v>
      </c>
      <c r="G114" s="5" t="s">
        <v>117</v>
      </c>
      <c r="H114" s="5" t="s">
        <v>118</v>
      </c>
      <c r="I114" s="5"/>
      <c r="J114" s="5"/>
      <c r="K114" s="5">
        <v>203</v>
      </c>
      <c r="L114" s="5">
        <v>11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306.86</v>
      </c>
      <c r="X114" s="5">
        <v>1</v>
      </c>
      <c r="Y114" s="5">
        <v>306.86</v>
      </c>
      <c r="Z114" s="5"/>
      <c r="AA114" s="5"/>
      <c r="AB114" s="5"/>
    </row>
    <row r="115" spans="1:28" x14ac:dyDescent="0.2">
      <c r="A115" s="5">
        <v>50</v>
      </c>
      <c r="B115" s="5">
        <v>0</v>
      </c>
      <c r="C115" s="5">
        <v>0</v>
      </c>
      <c r="D115" s="5">
        <v>1</v>
      </c>
      <c r="E115" s="5">
        <v>231</v>
      </c>
      <c r="F115" s="5">
        <f>ROUND(Source!BB102,O115)</f>
        <v>0</v>
      </c>
      <c r="G115" s="5" t="s">
        <v>119</v>
      </c>
      <c r="H115" s="5" t="s">
        <v>120</v>
      </c>
      <c r="I115" s="5"/>
      <c r="J115" s="5"/>
      <c r="K115" s="5">
        <v>231</v>
      </c>
      <c r="L115" s="5">
        <v>12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0</v>
      </c>
      <c r="X115" s="5">
        <v>1</v>
      </c>
      <c r="Y115" s="5">
        <v>0</v>
      </c>
      <c r="Z115" s="5"/>
      <c r="AA115" s="5"/>
      <c r="AB115" s="5"/>
    </row>
    <row r="116" spans="1:28" x14ac:dyDescent="0.2">
      <c r="A116" s="5">
        <v>50</v>
      </c>
      <c r="B116" s="5">
        <v>0</v>
      </c>
      <c r="C116" s="5">
        <v>0</v>
      </c>
      <c r="D116" s="5">
        <v>1</v>
      </c>
      <c r="E116" s="5">
        <v>204</v>
      </c>
      <c r="F116" s="5">
        <f>ROUND(Source!R102,O116)</f>
        <v>149.19</v>
      </c>
      <c r="G116" s="5" t="s">
        <v>121</v>
      </c>
      <c r="H116" s="5" t="s">
        <v>122</v>
      </c>
      <c r="I116" s="5"/>
      <c r="J116" s="5"/>
      <c r="K116" s="5">
        <v>204</v>
      </c>
      <c r="L116" s="5">
        <v>13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149.19</v>
      </c>
      <c r="X116" s="5">
        <v>1</v>
      </c>
      <c r="Y116" s="5">
        <v>149.19</v>
      </c>
      <c r="Z116" s="5"/>
      <c r="AA116" s="5"/>
      <c r="AB116" s="5"/>
    </row>
    <row r="117" spans="1:28" x14ac:dyDescent="0.2">
      <c r="A117" s="5">
        <v>50</v>
      </c>
      <c r="B117" s="5">
        <v>0</v>
      </c>
      <c r="C117" s="5">
        <v>0</v>
      </c>
      <c r="D117" s="5">
        <v>1</v>
      </c>
      <c r="E117" s="5">
        <v>205</v>
      </c>
      <c r="F117" s="5">
        <f>ROUND(Source!S102,O117)</f>
        <v>33618.25</v>
      </c>
      <c r="G117" s="5" t="s">
        <v>123</v>
      </c>
      <c r="H117" s="5" t="s">
        <v>124</v>
      </c>
      <c r="I117" s="5"/>
      <c r="J117" s="5"/>
      <c r="K117" s="5">
        <v>205</v>
      </c>
      <c r="L117" s="5">
        <v>14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33618.25</v>
      </c>
      <c r="X117" s="5">
        <v>1</v>
      </c>
      <c r="Y117" s="5">
        <v>33618.25</v>
      </c>
      <c r="Z117" s="5"/>
      <c r="AA117" s="5"/>
      <c r="AB117" s="5"/>
    </row>
    <row r="118" spans="1:28" x14ac:dyDescent="0.2">
      <c r="A118" s="5">
        <v>50</v>
      </c>
      <c r="B118" s="5">
        <v>0</v>
      </c>
      <c r="C118" s="5">
        <v>0</v>
      </c>
      <c r="D118" s="5">
        <v>1</v>
      </c>
      <c r="E118" s="5">
        <v>232</v>
      </c>
      <c r="F118" s="5">
        <f>ROUND(Source!BC102,O118)</f>
        <v>0</v>
      </c>
      <c r="G118" s="5" t="s">
        <v>125</v>
      </c>
      <c r="H118" s="5" t="s">
        <v>126</v>
      </c>
      <c r="I118" s="5"/>
      <c r="J118" s="5"/>
      <c r="K118" s="5">
        <v>232</v>
      </c>
      <c r="L118" s="5">
        <v>15</v>
      </c>
      <c r="M118" s="5">
        <v>3</v>
      </c>
      <c r="N118" s="5" t="s">
        <v>3</v>
      </c>
      <c r="O118" s="5">
        <v>2</v>
      </c>
      <c r="P118" s="5"/>
      <c r="Q118" s="5"/>
      <c r="R118" s="5"/>
      <c r="S118" s="5"/>
      <c r="T118" s="5"/>
      <c r="U118" s="5"/>
      <c r="V118" s="5"/>
      <c r="W118" s="5">
        <v>0</v>
      </c>
      <c r="X118" s="5">
        <v>1</v>
      </c>
      <c r="Y118" s="5">
        <v>0</v>
      </c>
      <c r="Z118" s="5"/>
      <c r="AA118" s="5"/>
      <c r="AB118" s="5"/>
    </row>
    <row r="119" spans="1:28" x14ac:dyDescent="0.2">
      <c r="A119" s="5">
        <v>50</v>
      </c>
      <c r="B119" s="5">
        <v>0</v>
      </c>
      <c r="C119" s="5">
        <v>0</v>
      </c>
      <c r="D119" s="5">
        <v>1</v>
      </c>
      <c r="E119" s="5">
        <v>214</v>
      </c>
      <c r="F119" s="5">
        <f>ROUND(Source!AS102,O119)</f>
        <v>130298.56</v>
      </c>
      <c r="G119" s="5" t="s">
        <v>127</v>
      </c>
      <c r="H119" s="5" t="s">
        <v>128</v>
      </c>
      <c r="I119" s="5"/>
      <c r="J119" s="5"/>
      <c r="K119" s="5">
        <v>214</v>
      </c>
      <c r="L119" s="5">
        <v>16</v>
      </c>
      <c r="M119" s="5">
        <v>3</v>
      </c>
      <c r="N119" s="5" t="s">
        <v>3</v>
      </c>
      <c r="O119" s="5">
        <v>2</v>
      </c>
      <c r="P119" s="5"/>
      <c r="Q119" s="5"/>
      <c r="R119" s="5"/>
      <c r="S119" s="5"/>
      <c r="T119" s="5"/>
      <c r="U119" s="5"/>
      <c r="V119" s="5"/>
      <c r="W119" s="5">
        <v>130298.56</v>
      </c>
      <c r="X119" s="5">
        <v>1</v>
      </c>
      <c r="Y119" s="5">
        <v>130298.56</v>
      </c>
      <c r="Z119" s="5"/>
      <c r="AA119" s="5"/>
      <c r="AB119" s="5"/>
    </row>
    <row r="120" spans="1:28" x14ac:dyDescent="0.2">
      <c r="A120" s="5">
        <v>50</v>
      </c>
      <c r="B120" s="5">
        <v>0</v>
      </c>
      <c r="C120" s="5">
        <v>0</v>
      </c>
      <c r="D120" s="5">
        <v>1</v>
      </c>
      <c r="E120" s="5">
        <v>215</v>
      </c>
      <c r="F120" s="5">
        <f>ROUND(Source!AT102,O120)</f>
        <v>0</v>
      </c>
      <c r="G120" s="5" t="s">
        <v>129</v>
      </c>
      <c r="H120" s="5" t="s">
        <v>130</v>
      </c>
      <c r="I120" s="5"/>
      <c r="J120" s="5"/>
      <c r="K120" s="5">
        <v>215</v>
      </c>
      <c r="L120" s="5">
        <v>17</v>
      </c>
      <c r="M120" s="5">
        <v>3</v>
      </c>
      <c r="N120" s="5" t="s">
        <v>3</v>
      </c>
      <c r="O120" s="5">
        <v>2</v>
      </c>
      <c r="P120" s="5"/>
      <c r="Q120" s="5"/>
      <c r="R120" s="5"/>
      <c r="S120" s="5"/>
      <c r="T120" s="5"/>
      <c r="U120" s="5"/>
      <c r="V120" s="5"/>
      <c r="W120" s="5">
        <v>0</v>
      </c>
      <c r="X120" s="5">
        <v>1</v>
      </c>
      <c r="Y120" s="5">
        <v>0</v>
      </c>
      <c r="Z120" s="5"/>
      <c r="AA120" s="5"/>
      <c r="AB120" s="5"/>
    </row>
    <row r="121" spans="1:28" x14ac:dyDescent="0.2">
      <c r="A121" s="5">
        <v>50</v>
      </c>
      <c r="B121" s="5">
        <v>0</v>
      </c>
      <c r="C121" s="5">
        <v>0</v>
      </c>
      <c r="D121" s="5">
        <v>1</v>
      </c>
      <c r="E121" s="5">
        <v>217</v>
      </c>
      <c r="F121" s="5">
        <f>ROUND(Source!AU102,O121)</f>
        <v>0</v>
      </c>
      <c r="G121" s="5" t="s">
        <v>131</v>
      </c>
      <c r="H121" s="5" t="s">
        <v>132</v>
      </c>
      <c r="I121" s="5"/>
      <c r="J121" s="5"/>
      <c r="K121" s="5">
        <v>217</v>
      </c>
      <c r="L121" s="5">
        <v>18</v>
      </c>
      <c r="M121" s="5">
        <v>3</v>
      </c>
      <c r="N121" s="5" t="s">
        <v>3</v>
      </c>
      <c r="O121" s="5">
        <v>2</v>
      </c>
      <c r="P121" s="5"/>
      <c r="Q121" s="5"/>
      <c r="R121" s="5"/>
      <c r="S121" s="5"/>
      <c r="T121" s="5"/>
      <c r="U121" s="5"/>
      <c r="V121" s="5"/>
      <c r="W121" s="5">
        <v>0</v>
      </c>
      <c r="X121" s="5">
        <v>1</v>
      </c>
      <c r="Y121" s="5">
        <v>0</v>
      </c>
      <c r="Z121" s="5"/>
      <c r="AA121" s="5"/>
      <c r="AB121" s="5"/>
    </row>
    <row r="122" spans="1:28" x14ac:dyDescent="0.2">
      <c r="A122" s="5">
        <v>50</v>
      </c>
      <c r="B122" s="5">
        <v>0</v>
      </c>
      <c r="C122" s="5">
        <v>0</v>
      </c>
      <c r="D122" s="5">
        <v>1</v>
      </c>
      <c r="E122" s="5">
        <v>230</v>
      </c>
      <c r="F122" s="5">
        <f>ROUND(Source!BA102,O122)</f>
        <v>0</v>
      </c>
      <c r="G122" s="5" t="s">
        <v>133</v>
      </c>
      <c r="H122" s="5" t="s">
        <v>134</v>
      </c>
      <c r="I122" s="5"/>
      <c r="J122" s="5"/>
      <c r="K122" s="5">
        <v>230</v>
      </c>
      <c r="L122" s="5">
        <v>19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/>
      <c r="AA122" s="5"/>
      <c r="AB122" s="5"/>
    </row>
    <row r="123" spans="1:28" x14ac:dyDescent="0.2">
      <c r="A123" s="5">
        <v>50</v>
      </c>
      <c r="B123" s="5">
        <v>0</v>
      </c>
      <c r="C123" s="5">
        <v>0</v>
      </c>
      <c r="D123" s="5">
        <v>1</v>
      </c>
      <c r="E123" s="5">
        <v>206</v>
      </c>
      <c r="F123" s="5">
        <f>ROUND(Source!T102,O123)</f>
        <v>0</v>
      </c>
      <c r="G123" s="5" t="s">
        <v>135</v>
      </c>
      <c r="H123" s="5" t="s">
        <v>136</v>
      </c>
      <c r="I123" s="5"/>
      <c r="J123" s="5"/>
      <c r="K123" s="5">
        <v>206</v>
      </c>
      <c r="L123" s="5">
        <v>20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0</v>
      </c>
      <c r="X123" s="5">
        <v>1</v>
      </c>
      <c r="Y123" s="5">
        <v>0</v>
      </c>
      <c r="Z123" s="5"/>
      <c r="AA123" s="5"/>
      <c r="AB123" s="5"/>
    </row>
    <row r="124" spans="1:28" x14ac:dyDescent="0.2">
      <c r="A124" s="5">
        <v>50</v>
      </c>
      <c r="B124" s="5">
        <v>0</v>
      </c>
      <c r="C124" s="5">
        <v>0</v>
      </c>
      <c r="D124" s="5">
        <v>1</v>
      </c>
      <c r="E124" s="5">
        <v>207</v>
      </c>
      <c r="F124" s="5">
        <f>ROUND(Source!U102,O124)</f>
        <v>49.1509</v>
      </c>
      <c r="G124" s="5" t="s">
        <v>137</v>
      </c>
      <c r="H124" s="5" t="s">
        <v>138</v>
      </c>
      <c r="I124" s="5"/>
      <c r="J124" s="5"/>
      <c r="K124" s="5">
        <v>207</v>
      </c>
      <c r="L124" s="5">
        <v>21</v>
      </c>
      <c r="M124" s="5">
        <v>3</v>
      </c>
      <c r="N124" s="5" t="s">
        <v>3</v>
      </c>
      <c r="O124" s="5">
        <v>7</v>
      </c>
      <c r="P124" s="5"/>
      <c r="Q124" s="5"/>
      <c r="R124" s="5"/>
      <c r="S124" s="5"/>
      <c r="T124" s="5"/>
      <c r="U124" s="5"/>
      <c r="V124" s="5"/>
      <c r="W124" s="5">
        <v>49.1509</v>
      </c>
      <c r="X124" s="5">
        <v>1</v>
      </c>
      <c r="Y124" s="5">
        <v>49.1509</v>
      </c>
      <c r="Z124" s="5"/>
      <c r="AA124" s="5"/>
      <c r="AB124" s="5"/>
    </row>
    <row r="125" spans="1:28" x14ac:dyDescent="0.2">
      <c r="A125" s="5">
        <v>50</v>
      </c>
      <c r="B125" s="5">
        <v>0</v>
      </c>
      <c r="C125" s="5">
        <v>0</v>
      </c>
      <c r="D125" s="5">
        <v>1</v>
      </c>
      <c r="E125" s="5">
        <v>208</v>
      </c>
      <c r="F125" s="5">
        <f>ROUND(Source!V102,O125)</f>
        <v>0.1903</v>
      </c>
      <c r="G125" s="5" t="s">
        <v>139</v>
      </c>
      <c r="H125" s="5" t="s">
        <v>140</v>
      </c>
      <c r="I125" s="5"/>
      <c r="J125" s="5"/>
      <c r="K125" s="5">
        <v>208</v>
      </c>
      <c r="L125" s="5">
        <v>22</v>
      </c>
      <c r="M125" s="5">
        <v>3</v>
      </c>
      <c r="N125" s="5" t="s">
        <v>3</v>
      </c>
      <c r="O125" s="5">
        <v>7</v>
      </c>
      <c r="P125" s="5"/>
      <c r="Q125" s="5"/>
      <c r="R125" s="5"/>
      <c r="S125" s="5"/>
      <c r="T125" s="5"/>
      <c r="U125" s="5"/>
      <c r="V125" s="5"/>
      <c r="W125" s="5">
        <v>0.1903</v>
      </c>
      <c r="X125" s="5">
        <v>1</v>
      </c>
      <c r="Y125" s="5">
        <v>0.1903</v>
      </c>
      <c r="Z125" s="5"/>
      <c r="AA125" s="5"/>
      <c r="AB125" s="5"/>
    </row>
    <row r="126" spans="1:28" x14ac:dyDescent="0.2">
      <c r="A126" s="5">
        <v>50</v>
      </c>
      <c r="B126" s="5">
        <v>0</v>
      </c>
      <c r="C126" s="5">
        <v>0</v>
      </c>
      <c r="D126" s="5">
        <v>1</v>
      </c>
      <c r="E126" s="5">
        <v>209</v>
      </c>
      <c r="F126" s="5">
        <f>ROUND(Source!W102,O126)</f>
        <v>0</v>
      </c>
      <c r="G126" s="5" t="s">
        <v>141</v>
      </c>
      <c r="H126" s="5" t="s">
        <v>142</v>
      </c>
      <c r="I126" s="5"/>
      <c r="J126" s="5"/>
      <c r="K126" s="5">
        <v>209</v>
      </c>
      <c r="L126" s="5">
        <v>23</v>
      </c>
      <c r="M126" s="5">
        <v>3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0</v>
      </c>
      <c r="X126" s="5">
        <v>1</v>
      </c>
      <c r="Y126" s="5">
        <v>0</v>
      </c>
      <c r="Z126" s="5"/>
      <c r="AA126" s="5"/>
      <c r="AB126" s="5"/>
    </row>
    <row r="127" spans="1:28" x14ac:dyDescent="0.2">
      <c r="A127" s="5">
        <v>50</v>
      </c>
      <c r="B127" s="5">
        <v>0</v>
      </c>
      <c r="C127" s="5">
        <v>0</v>
      </c>
      <c r="D127" s="5">
        <v>1</v>
      </c>
      <c r="E127" s="5">
        <v>233</v>
      </c>
      <c r="F127" s="5">
        <f>ROUND(Source!BD102,O127)</f>
        <v>0</v>
      </c>
      <c r="G127" s="5" t="s">
        <v>143</v>
      </c>
      <c r="H127" s="5" t="s">
        <v>144</v>
      </c>
      <c r="I127" s="5"/>
      <c r="J127" s="5"/>
      <c r="K127" s="5">
        <v>233</v>
      </c>
      <c r="L127" s="5">
        <v>24</v>
      </c>
      <c r="M127" s="5">
        <v>3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/>
      <c r="AA127" s="5"/>
      <c r="AB127" s="5"/>
    </row>
    <row r="128" spans="1:28" x14ac:dyDescent="0.2">
      <c r="A128" s="5">
        <v>50</v>
      </c>
      <c r="B128" s="5">
        <v>0</v>
      </c>
      <c r="C128" s="5">
        <v>0</v>
      </c>
      <c r="D128" s="5">
        <v>1</v>
      </c>
      <c r="E128" s="5">
        <v>210</v>
      </c>
      <c r="F128" s="5">
        <f>ROUND(Source!X102,O128)</f>
        <v>35164.129999999997</v>
      </c>
      <c r="G128" s="5" t="s">
        <v>145</v>
      </c>
      <c r="H128" s="5" t="s">
        <v>146</v>
      </c>
      <c r="I128" s="5"/>
      <c r="J128" s="5"/>
      <c r="K128" s="5">
        <v>210</v>
      </c>
      <c r="L128" s="5">
        <v>25</v>
      </c>
      <c r="M128" s="5">
        <v>3</v>
      </c>
      <c r="N128" s="5" t="s">
        <v>3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35164.129999999997</v>
      </c>
      <c r="X128" s="5">
        <v>1</v>
      </c>
      <c r="Y128" s="5">
        <v>35164.129999999997</v>
      </c>
      <c r="Z128" s="5"/>
      <c r="AA128" s="5"/>
      <c r="AB128" s="5"/>
    </row>
    <row r="129" spans="1:255" x14ac:dyDescent="0.2">
      <c r="A129" s="5">
        <v>50</v>
      </c>
      <c r="B129" s="5">
        <v>0</v>
      </c>
      <c r="C129" s="5">
        <v>0</v>
      </c>
      <c r="D129" s="5">
        <v>1</v>
      </c>
      <c r="E129" s="5">
        <v>211</v>
      </c>
      <c r="F129" s="5">
        <f>ROUND(Source!Y102,O129)</f>
        <v>18907.400000000001</v>
      </c>
      <c r="G129" s="5" t="s">
        <v>147</v>
      </c>
      <c r="H129" s="5" t="s">
        <v>148</v>
      </c>
      <c r="I129" s="5"/>
      <c r="J129" s="5"/>
      <c r="K129" s="5">
        <v>211</v>
      </c>
      <c r="L129" s="5">
        <v>26</v>
      </c>
      <c r="M129" s="5">
        <v>3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18907.400000000001</v>
      </c>
      <c r="X129" s="5">
        <v>1</v>
      </c>
      <c r="Y129" s="5">
        <v>18907.400000000001</v>
      </c>
      <c r="Z129" s="5"/>
      <c r="AA129" s="5"/>
      <c r="AB129" s="5"/>
    </row>
    <row r="130" spans="1:255" x14ac:dyDescent="0.2">
      <c r="A130" s="5">
        <v>50</v>
      </c>
      <c r="B130" s="5">
        <v>0</v>
      </c>
      <c r="C130" s="5">
        <v>0</v>
      </c>
      <c r="D130" s="5">
        <v>1</v>
      </c>
      <c r="E130" s="5">
        <v>224</v>
      </c>
      <c r="F130" s="5">
        <f>ROUND(Source!AR102,O130)</f>
        <v>161088.32999999999</v>
      </c>
      <c r="G130" s="5" t="s">
        <v>149</v>
      </c>
      <c r="H130" s="5" t="s">
        <v>150</v>
      </c>
      <c r="I130" s="5"/>
      <c r="J130" s="5"/>
      <c r="K130" s="5">
        <v>224</v>
      </c>
      <c r="L130" s="5">
        <v>27</v>
      </c>
      <c r="M130" s="5">
        <v>3</v>
      </c>
      <c r="N130" s="5" t="s">
        <v>3</v>
      </c>
      <c r="O130" s="5">
        <v>2</v>
      </c>
      <c r="P130" s="5"/>
      <c r="Q130" s="5"/>
      <c r="R130" s="5"/>
      <c r="S130" s="5"/>
      <c r="T130" s="5"/>
      <c r="U130" s="5"/>
      <c r="V130" s="5"/>
      <c r="W130" s="5">
        <v>161088.32999999999</v>
      </c>
      <c r="X130" s="5">
        <v>1</v>
      </c>
      <c r="Y130" s="5">
        <v>161088.32999999999</v>
      </c>
      <c r="Z130" s="5"/>
      <c r="AA130" s="5"/>
      <c r="AB130" s="5"/>
    </row>
    <row r="132" spans="1:255" x14ac:dyDescent="0.2">
      <c r="A132" s="1">
        <v>4</v>
      </c>
      <c r="B132" s="1">
        <v>1</v>
      </c>
      <c r="C132" s="1"/>
      <c r="D132" s="1">
        <f>ROW(A160)</f>
        <v>160</v>
      </c>
      <c r="E132" s="1"/>
      <c r="F132" s="1" t="s">
        <v>14</v>
      </c>
      <c r="G132" s="1" t="s">
        <v>233</v>
      </c>
      <c r="H132" s="1" t="s">
        <v>3</v>
      </c>
      <c r="I132" s="1">
        <v>0</v>
      </c>
      <c r="J132" s="1"/>
      <c r="K132" s="1">
        <v>0</v>
      </c>
      <c r="L132" s="1"/>
      <c r="M132" s="1" t="s">
        <v>3</v>
      </c>
      <c r="N132" s="1"/>
      <c r="O132" s="1"/>
      <c r="P132" s="1"/>
      <c r="Q132" s="1"/>
      <c r="R132" s="1"/>
      <c r="S132" s="1">
        <v>0</v>
      </c>
      <c r="T132" s="1"/>
      <c r="U132" s="1" t="s">
        <v>3</v>
      </c>
      <c r="V132" s="1">
        <v>0</v>
      </c>
      <c r="W132" s="1"/>
      <c r="X132" s="1"/>
      <c r="Y132" s="1"/>
      <c r="Z132" s="1"/>
      <c r="AA132" s="1"/>
      <c r="AB132" s="1" t="s">
        <v>3</v>
      </c>
      <c r="AC132" s="1" t="s">
        <v>3</v>
      </c>
      <c r="AD132" s="1" t="s">
        <v>3</v>
      </c>
      <c r="AE132" s="1" t="s">
        <v>3</v>
      </c>
      <c r="AF132" s="1" t="s">
        <v>3</v>
      </c>
      <c r="AG132" s="1" t="s">
        <v>3</v>
      </c>
      <c r="AH132" s="1"/>
      <c r="AI132" s="1"/>
      <c r="AJ132" s="1"/>
      <c r="AK132" s="1"/>
      <c r="AL132" s="1"/>
      <c r="AM132" s="1"/>
      <c r="AN132" s="1"/>
      <c r="AO132" s="1"/>
      <c r="AP132" s="1" t="s">
        <v>3</v>
      </c>
      <c r="AQ132" s="1" t="s">
        <v>3</v>
      </c>
      <c r="AR132" s="1" t="s">
        <v>3</v>
      </c>
      <c r="AS132" s="1"/>
      <c r="AT132" s="1"/>
      <c r="AU132" s="1"/>
      <c r="AV132" s="1"/>
      <c r="AW132" s="1"/>
      <c r="AX132" s="1"/>
      <c r="AY132" s="1"/>
      <c r="AZ132" s="1" t="s">
        <v>3</v>
      </c>
      <c r="BA132" s="1"/>
      <c r="BB132" s="1" t="s">
        <v>3</v>
      </c>
      <c r="BC132" s="1" t="s">
        <v>3</v>
      </c>
      <c r="BD132" s="1" t="s">
        <v>3</v>
      </c>
      <c r="BE132" s="1" t="s">
        <v>3</v>
      </c>
      <c r="BF132" s="1" t="s">
        <v>3</v>
      </c>
      <c r="BG132" s="1" t="s">
        <v>3</v>
      </c>
      <c r="BH132" s="1" t="s">
        <v>3</v>
      </c>
      <c r="BI132" s="1" t="s">
        <v>3</v>
      </c>
      <c r="BJ132" s="1" t="s">
        <v>3</v>
      </c>
      <c r="BK132" s="1" t="s">
        <v>3</v>
      </c>
      <c r="BL132" s="1" t="s">
        <v>3</v>
      </c>
      <c r="BM132" s="1" t="s">
        <v>3</v>
      </c>
      <c r="BN132" s="1" t="s">
        <v>3</v>
      </c>
      <c r="BO132" s="1" t="s">
        <v>3</v>
      </c>
      <c r="BP132" s="1" t="s">
        <v>3</v>
      </c>
      <c r="BQ132" s="1"/>
      <c r="BR132" s="1"/>
      <c r="BS132" s="1"/>
      <c r="BT132" s="1"/>
      <c r="BU132" s="1"/>
      <c r="BV132" s="1"/>
      <c r="BW132" s="1"/>
      <c r="BX132" s="1">
        <v>0</v>
      </c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>
        <v>0</v>
      </c>
    </row>
    <row r="134" spans="1:255" x14ac:dyDescent="0.2">
      <c r="A134" s="3">
        <v>52</v>
      </c>
      <c r="B134" s="3">
        <f t="shared" ref="B134:G134" si="74">B160</f>
        <v>1</v>
      </c>
      <c r="C134" s="3">
        <f t="shared" si="74"/>
        <v>4</v>
      </c>
      <c r="D134" s="3">
        <f t="shared" si="74"/>
        <v>132</v>
      </c>
      <c r="E134" s="3">
        <f t="shared" si="74"/>
        <v>0</v>
      </c>
      <c r="F134" s="3" t="str">
        <f t="shared" si="74"/>
        <v>Новый раздел</v>
      </c>
      <c r="G134" s="3" t="str">
        <f t="shared" si="74"/>
        <v>Работа 3</v>
      </c>
      <c r="H134" s="3"/>
      <c r="I134" s="3"/>
      <c r="J134" s="3"/>
      <c r="K134" s="3"/>
      <c r="L134" s="3"/>
      <c r="M134" s="3"/>
      <c r="N134" s="3"/>
      <c r="O134" s="3">
        <f t="shared" ref="O134:AT134" si="75">O160</f>
        <v>101246.16</v>
      </c>
      <c r="P134" s="3">
        <f t="shared" si="75"/>
        <v>35978.14</v>
      </c>
      <c r="Q134" s="3">
        <f t="shared" si="75"/>
        <v>726.13</v>
      </c>
      <c r="R134" s="3">
        <f t="shared" si="75"/>
        <v>442.89</v>
      </c>
      <c r="S134" s="3">
        <f t="shared" si="75"/>
        <v>64099</v>
      </c>
      <c r="T134" s="3">
        <f t="shared" si="75"/>
        <v>0</v>
      </c>
      <c r="U134" s="3">
        <f t="shared" si="75"/>
        <v>90.551603199999988</v>
      </c>
      <c r="V134" s="3">
        <f t="shared" si="75"/>
        <v>0.56481500000000007</v>
      </c>
      <c r="W134" s="3">
        <f t="shared" si="75"/>
        <v>0</v>
      </c>
      <c r="X134" s="3">
        <f t="shared" si="75"/>
        <v>64799.199999999997</v>
      </c>
      <c r="Y134" s="3">
        <f t="shared" si="75"/>
        <v>33215.78</v>
      </c>
      <c r="Z134" s="3">
        <f t="shared" si="75"/>
        <v>0</v>
      </c>
      <c r="AA134" s="3">
        <f t="shared" si="75"/>
        <v>0</v>
      </c>
      <c r="AB134" s="3">
        <f t="shared" si="75"/>
        <v>101246.16</v>
      </c>
      <c r="AC134" s="3">
        <f t="shared" si="75"/>
        <v>35978.14</v>
      </c>
      <c r="AD134" s="3">
        <f t="shared" si="75"/>
        <v>726.13</v>
      </c>
      <c r="AE134" s="3">
        <f t="shared" si="75"/>
        <v>442.89</v>
      </c>
      <c r="AF134" s="3">
        <f t="shared" si="75"/>
        <v>64099</v>
      </c>
      <c r="AG134" s="3">
        <f t="shared" si="75"/>
        <v>0</v>
      </c>
      <c r="AH134" s="3">
        <f t="shared" si="75"/>
        <v>90.551603199999988</v>
      </c>
      <c r="AI134" s="3">
        <f t="shared" si="75"/>
        <v>0.56481500000000007</v>
      </c>
      <c r="AJ134" s="3">
        <f t="shared" si="75"/>
        <v>0</v>
      </c>
      <c r="AK134" s="3">
        <f t="shared" si="75"/>
        <v>64799.199999999997</v>
      </c>
      <c r="AL134" s="3">
        <f t="shared" si="75"/>
        <v>33215.78</v>
      </c>
      <c r="AM134" s="3">
        <f t="shared" si="75"/>
        <v>0</v>
      </c>
      <c r="AN134" s="3">
        <f t="shared" si="75"/>
        <v>0</v>
      </c>
      <c r="AO134" s="3">
        <f t="shared" si="75"/>
        <v>0</v>
      </c>
      <c r="AP134" s="3">
        <f t="shared" si="75"/>
        <v>7490.76</v>
      </c>
      <c r="AQ134" s="3">
        <f t="shared" si="75"/>
        <v>0</v>
      </c>
      <c r="AR134" s="3">
        <f t="shared" si="75"/>
        <v>199261.14</v>
      </c>
      <c r="AS134" s="3">
        <f t="shared" si="75"/>
        <v>162694.38</v>
      </c>
      <c r="AT134" s="3">
        <f t="shared" si="75"/>
        <v>29076</v>
      </c>
      <c r="AU134" s="3">
        <f t="shared" ref="AU134:BZ134" si="76">AU160</f>
        <v>0</v>
      </c>
      <c r="AV134" s="3">
        <f t="shared" si="76"/>
        <v>35978.14</v>
      </c>
      <c r="AW134" s="3">
        <f t="shared" si="76"/>
        <v>28487.38</v>
      </c>
      <c r="AX134" s="3">
        <f t="shared" si="76"/>
        <v>0</v>
      </c>
      <c r="AY134" s="3">
        <f t="shared" si="76"/>
        <v>28487.38</v>
      </c>
      <c r="AZ134" s="3">
        <f t="shared" si="76"/>
        <v>7490.76</v>
      </c>
      <c r="BA134" s="3">
        <f t="shared" si="76"/>
        <v>0</v>
      </c>
      <c r="BB134" s="3">
        <f t="shared" si="76"/>
        <v>0</v>
      </c>
      <c r="BC134" s="3">
        <f t="shared" si="76"/>
        <v>0</v>
      </c>
      <c r="BD134" s="3">
        <f t="shared" si="76"/>
        <v>0</v>
      </c>
      <c r="BE134" s="3">
        <f t="shared" si="76"/>
        <v>0</v>
      </c>
      <c r="BF134" s="3">
        <f t="shared" si="76"/>
        <v>0</v>
      </c>
      <c r="BG134" s="3">
        <f t="shared" si="76"/>
        <v>0</v>
      </c>
      <c r="BH134" s="3">
        <f t="shared" si="76"/>
        <v>0</v>
      </c>
      <c r="BI134" s="3">
        <f t="shared" si="76"/>
        <v>0</v>
      </c>
      <c r="BJ134" s="3">
        <f t="shared" si="76"/>
        <v>0</v>
      </c>
      <c r="BK134" s="3">
        <f t="shared" si="76"/>
        <v>0</v>
      </c>
      <c r="BL134" s="3">
        <f t="shared" si="76"/>
        <v>0</v>
      </c>
      <c r="BM134" s="3">
        <f t="shared" si="76"/>
        <v>0</v>
      </c>
      <c r="BN134" s="3">
        <f t="shared" si="76"/>
        <v>0</v>
      </c>
      <c r="BO134" s="3">
        <f t="shared" si="76"/>
        <v>0</v>
      </c>
      <c r="BP134" s="3">
        <f t="shared" si="76"/>
        <v>0</v>
      </c>
      <c r="BQ134" s="3">
        <f t="shared" si="76"/>
        <v>0</v>
      </c>
      <c r="BR134" s="3">
        <f t="shared" si="76"/>
        <v>0</v>
      </c>
      <c r="BS134" s="3">
        <f t="shared" si="76"/>
        <v>0</v>
      </c>
      <c r="BT134" s="3">
        <f t="shared" si="76"/>
        <v>0</v>
      </c>
      <c r="BU134" s="3">
        <f t="shared" si="76"/>
        <v>0</v>
      </c>
      <c r="BV134" s="3">
        <f t="shared" si="76"/>
        <v>0</v>
      </c>
      <c r="BW134" s="3">
        <f t="shared" si="76"/>
        <v>0</v>
      </c>
      <c r="BX134" s="3">
        <f t="shared" si="76"/>
        <v>0</v>
      </c>
      <c r="BY134" s="3">
        <f t="shared" si="76"/>
        <v>7490.76</v>
      </c>
      <c r="BZ134" s="3">
        <f t="shared" si="76"/>
        <v>0</v>
      </c>
      <c r="CA134" s="3">
        <f t="shared" ref="CA134:DF134" si="77">CA160</f>
        <v>199261.14</v>
      </c>
      <c r="CB134" s="3">
        <f t="shared" si="77"/>
        <v>162694.38</v>
      </c>
      <c r="CC134" s="3">
        <f t="shared" si="77"/>
        <v>29076</v>
      </c>
      <c r="CD134" s="3">
        <f t="shared" si="77"/>
        <v>0</v>
      </c>
      <c r="CE134" s="3">
        <f t="shared" si="77"/>
        <v>35978.14</v>
      </c>
      <c r="CF134" s="3">
        <f t="shared" si="77"/>
        <v>28487.379999999997</v>
      </c>
      <c r="CG134" s="3">
        <f t="shared" si="77"/>
        <v>0</v>
      </c>
      <c r="CH134" s="3">
        <f t="shared" si="77"/>
        <v>28487.379999999997</v>
      </c>
      <c r="CI134" s="3">
        <f t="shared" si="77"/>
        <v>7490.76</v>
      </c>
      <c r="CJ134" s="3">
        <f t="shared" si="77"/>
        <v>0</v>
      </c>
      <c r="CK134" s="3">
        <f t="shared" si="77"/>
        <v>0</v>
      </c>
      <c r="CL134" s="3">
        <f t="shared" si="77"/>
        <v>0</v>
      </c>
      <c r="CM134" s="3">
        <f t="shared" si="77"/>
        <v>0</v>
      </c>
      <c r="CN134" s="3">
        <f t="shared" si="77"/>
        <v>0</v>
      </c>
      <c r="CO134" s="3">
        <f t="shared" si="77"/>
        <v>0</v>
      </c>
      <c r="CP134" s="3">
        <f t="shared" si="77"/>
        <v>0</v>
      </c>
      <c r="CQ134" s="3">
        <f t="shared" si="77"/>
        <v>0</v>
      </c>
      <c r="CR134" s="3">
        <f t="shared" si="77"/>
        <v>0</v>
      </c>
      <c r="CS134" s="3">
        <f t="shared" si="77"/>
        <v>0</v>
      </c>
      <c r="CT134" s="3">
        <f t="shared" si="77"/>
        <v>0</v>
      </c>
      <c r="CU134" s="3">
        <f t="shared" si="77"/>
        <v>0</v>
      </c>
      <c r="CV134" s="3">
        <f t="shared" si="77"/>
        <v>0</v>
      </c>
      <c r="CW134" s="3">
        <f t="shared" si="77"/>
        <v>0</v>
      </c>
      <c r="CX134" s="3">
        <f t="shared" si="77"/>
        <v>0</v>
      </c>
      <c r="CY134" s="3">
        <f t="shared" si="77"/>
        <v>0</v>
      </c>
      <c r="CZ134" s="3">
        <f t="shared" si="77"/>
        <v>0</v>
      </c>
      <c r="DA134" s="3">
        <f t="shared" si="77"/>
        <v>0</v>
      </c>
      <c r="DB134" s="3">
        <f t="shared" si="77"/>
        <v>0</v>
      </c>
      <c r="DC134" s="3">
        <f t="shared" si="77"/>
        <v>0</v>
      </c>
      <c r="DD134" s="3">
        <f t="shared" si="77"/>
        <v>0</v>
      </c>
      <c r="DE134" s="3">
        <f t="shared" si="77"/>
        <v>0</v>
      </c>
      <c r="DF134" s="3">
        <f t="shared" si="77"/>
        <v>0</v>
      </c>
      <c r="DG134" s="4">
        <f t="shared" ref="DG134:EL134" si="78">DG160</f>
        <v>0</v>
      </c>
      <c r="DH134" s="4">
        <f t="shared" si="78"/>
        <v>0</v>
      </c>
      <c r="DI134" s="4">
        <f t="shared" si="78"/>
        <v>0</v>
      </c>
      <c r="DJ134" s="4">
        <f t="shared" si="78"/>
        <v>0</v>
      </c>
      <c r="DK134" s="4">
        <f t="shared" si="78"/>
        <v>0</v>
      </c>
      <c r="DL134" s="4">
        <f t="shared" si="78"/>
        <v>0</v>
      </c>
      <c r="DM134" s="4">
        <f t="shared" si="78"/>
        <v>0</v>
      </c>
      <c r="DN134" s="4">
        <f t="shared" si="78"/>
        <v>0</v>
      </c>
      <c r="DO134" s="4">
        <f t="shared" si="78"/>
        <v>0</v>
      </c>
      <c r="DP134" s="4">
        <f t="shared" si="78"/>
        <v>0</v>
      </c>
      <c r="DQ134" s="4">
        <f t="shared" si="78"/>
        <v>0</v>
      </c>
      <c r="DR134" s="4">
        <f t="shared" si="78"/>
        <v>0</v>
      </c>
      <c r="DS134" s="4">
        <f t="shared" si="78"/>
        <v>0</v>
      </c>
      <c r="DT134" s="4">
        <f t="shared" si="78"/>
        <v>0</v>
      </c>
      <c r="DU134" s="4">
        <f t="shared" si="78"/>
        <v>0</v>
      </c>
      <c r="DV134" s="4">
        <f t="shared" si="78"/>
        <v>0</v>
      </c>
      <c r="DW134" s="4">
        <f t="shared" si="78"/>
        <v>0</v>
      </c>
      <c r="DX134" s="4">
        <f t="shared" si="78"/>
        <v>0</v>
      </c>
      <c r="DY134" s="4">
        <f t="shared" si="78"/>
        <v>0</v>
      </c>
      <c r="DZ134" s="4">
        <f t="shared" si="78"/>
        <v>0</v>
      </c>
      <c r="EA134" s="4">
        <f t="shared" si="78"/>
        <v>0</v>
      </c>
      <c r="EB134" s="4">
        <f t="shared" si="78"/>
        <v>0</v>
      </c>
      <c r="EC134" s="4">
        <f t="shared" si="78"/>
        <v>0</v>
      </c>
      <c r="ED134" s="4">
        <f t="shared" si="78"/>
        <v>0</v>
      </c>
      <c r="EE134" s="4">
        <f t="shared" si="78"/>
        <v>0</v>
      </c>
      <c r="EF134" s="4">
        <f t="shared" si="78"/>
        <v>0</v>
      </c>
      <c r="EG134" s="4">
        <f t="shared" si="78"/>
        <v>0</v>
      </c>
      <c r="EH134" s="4">
        <f t="shared" si="78"/>
        <v>0</v>
      </c>
      <c r="EI134" s="4">
        <f t="shared" si="78"/>
        <v>0</v>
      </c>
      <c r="EJ134" s="4">
        <f t="shared" si="78"/>
        <v>0</v>
      </c>
      <c r="EK134" s="4">
        <f t="shared" si="78"/>
        <v>0</v>
      </c>
      <c r="EL134" s="4">
        <f t="shared" si="78"/>
        <v>0</v>
      </c>
      <c r="EM134" s="4">
        <f t="shared" ref="EM134:FR134" si="79">EM160</f>
        <v>0</v>
      </c>
      <c r="EN134" s="4">
        <f t="shared" si="79"/>
        <v>0</v>
      </c>
      <c r="EO134" s="4">
        <f t="shared" si="79"/>
        <v>0</v>
      </c>
      <c r="EP134" s="4">
        <f t="shared" si="79"/>
        <v>0</v>
      </c>
      <c r="EQ134" s="4">
        <f t="shared" si="79"/>
        <v>0</v>
      </c>
      <c r="ER134" s="4">
        <f t="shared" si="79"/>
        <v>0</v>
      </c>
      <c r="ES134" s="4">
        <f t="shared" si="79"/>
        <v>0</v>
      </c>
      <c r="ET134" s="4">
        <f t="shared" si="79"/>
        <v>0</v>
      </c>
      <c r="EU134" s="4">
        <f t="shared" si="79"/>
        <v>0</v>
      </c>
      <c r="EV134" s="4">
        <f t="shared" si="79"/>
        <v>0</v>
      </c>
      <c r="EW134" s="4">
        <f t="shared" si="79"/>
        <v>0</v>
      </c>
      <c r="EX134" s="4">
        <f t="shared" si="79"/>
        <v>0</v>
      </c>
      <c r="EY134" s="4">
        <f t="shared" si="79"/>
        <v>0</v>
      </c>
      <c r="EZ134" s="4">
        <f t="shared" si="79"/>
        <v>0</v>
      </c>
      <c r="FA134" s="4">
        <f t="shared" si="79"/>
        <v>0</v>
      </c>
      <c r="FB134" s="4">
        <f t="shared" si="79"/>
        <v>0</v>
      </c>
      <c r="FC134" s="4">
        <f t="shared" si="79"/>
        <v>0</v>
      </c>
      <c r="FD134" s="4">
        <f t="shared" si="79"/>
        <v>0</v>
      </c>
      <c r="FE134" s="4">
        <f t="shared" si="79"/>
        <v>0</v>
      </c>
      <c r="FF134" s="4">
        <f t="shared" si="79"/>
        <v>0</v>
      </c>
      <c r="FG134" s="4">
        <f t="shared" si="79"/>
        <v>0</v>
      </c>
      <c r="FH134" s="4">
        <f t="shared" si="79"/>
        <v>0</v>
      </c>
      <c r="FI134" s="4">
        <f t="shared" si="79"/>
        <v>0</v>
      </c>
      <c r="FJ134" s="4">
        <f t="shared" si="79"/>
        <v>0</v>
      </c>
      <c r="FK134" s="4">
        <f t="shared" si="79"/>
        <v>0</v>
      </c>
      <c r="FL134" s="4">
        <f t="shared" si="79"/>
        <v>0</v>
      </c>
      <c r="FM134" s="4">
        <f t="shared" si="79"/>
        <v>0</v>
      </c>
      <c r="FN134" s="4">
        <f t="shared" si="79"/>
        <v>0</v>
      </c>
      <c r="FO134" s="4">
        <f t="shared" si="79"/>
        <v>0</v>
      </c>
      <c r="FP134" s="4">
        <f t="shared" si="79"/>
        <v>0</v>
      </c>
      <c r="FQ134" s="4">
        <f t="shared" si="79"/>
        <v>0</v>
      </c>
      <c r="FR134" s="4">
        <f t="shared" si="79"/>
        <v>0</v>
      </c>
      <c r="FS134" s="4">
        <f t="shared" ref="FS134:GX134" si="80">FS160</f>
        <v>0</v>
      </c>
      <c r="FT134" s="4">
        <f t="shared" si="80"/>
        <v>0</v>
      </c>
      <c r="FU134" s="4">
        <f t="shared" si="80"/>
        <v>0</v>
      </c>
      <c r="FV134" s="4">
        <f t="shared" si="80"/>
        <v>0</v>
      </c>
      <c r="FW134" s="4">
        <f t="shared" si="80"/>
        <v>0</v>
      </c>
      <c r="FX134" s="4">
        <f t="shared" si="80"/>
        <v>0</v>
      </c>
      <c r="FY134" s="4">
        <f t="shared" si="80"/>
        <v>0</v>
      </c>
      <c r="FZ134" s="4">
        <f t="shared" si="80"/>
        <v>0</v>
      </c>
      <c r="GA134" s="4">
        <f t="shared" si="80"/>
        <v>0</v>
      </c>
      <c r="GB134" s="4">
        <f t="shared" si="80"/>
        <v>0</v>
      </c>
      <c r="GC134" s="4">
        <f t="shared" si="80"/>
        <v>0</v>
      </c>
      <c r="GD134" s="4">
        <f t="shared" si="80"/>
        <v>0</v>
      </c>
      <c r="GE134" s="4">
        <f t="shared" si="80"/>
        <v>0</v>
      </c>
      <c r="GF134" s="4">
        <f t="shared" si="80"/>
        <v>0</v>
      </c>
      <c r="GG134" s="4">
        <f t="shared" si="80"/>
        <v>0</v>
      </c>
      <c r="GH134" s="4">
        <f t="shared" si="80"/>
        <v>0</v>
      </c>
      <c r="GI134" s="4">
        <f t="shared" si="80"/>
        <v>0</v>
      </c>
      <c r="GJ134" s="4">
        <f t="shared" si="80"/>
        <v>0</v>
      </c>
      <c r="GK134" s="4">
        <f t="shared" si="80"/>
        <v>0</v>
      </c>
      <c r="GL134" s="4">
        <f t="shared" si="80"/>
        <v>0</v>
      </c>
      <c r="GM134" s="4">
        <f t="shared" si="80"/>
        <v>0</v>
      </c>
      <c r="GN134" s="4">
        <f t="shared" si="80"/>
        <v>0</v>
      </c>
      <c r="GO134" s="4">
        <f t="shared" si="80"/>
        <v>0</v>
      </c>
      <c r="GP134" s="4">
        <f t="shared" si="80"/>
        <v>0</v>
      </c>
      <c r="GQ134" s="4">
        <f t="shared" si="80"/>
        <v>0</v>
      </c>
      <c r="GR134" s="4">
        <f t="shared" si="80"/>
        <v>0</v>
      </c>
      <c r="GS134" s="4">
        <f t="shared" si="80"/>
        <v>0</v>
      </c>
      <c r="GT134" s="4">
        <f t="shared" si="80"/>
        <v>0</v>
      </c>
      <c r="GU134" s="4">
        <f t="shared" si="80"/>
        <v>0</v>
      </c>
      <c r="GV134" s="4">
        <f t="shared" si="80"/>
        <v>0</v>
      </c>
      <c r="GW134" s="4">
        <f t="shared" si="80"/>
        <v>0</v>
      </c>
      <c r="GX134" s="4">
        <f t="shared" si="80"/>
        <v>0</v>
      </c>
    </row>
    <row r="136" spans="1:255" x14ac:dyDescent="0.2">
      <c r="A136" s="2">
        <v>17</v>
      </c>
      <c r="B136" s="2">
        <v>1</v>
      </c>
      <c r="C136" s="2">
        <f>ROW(SmtRes!A118)</f>
        <v>118</v>
      </c>
      <c r="D136" s="2">
        <f>ROW(EtalonRes!A113)</f>
        <v>113</v>
      </c>
      <c r="E136" s="2" t="s">
        <v>234</v>
      </c>
      <c r="F136" s="2" t="s">
        <v>235</v>
      </c>
      <c r="G136" s="2" t="s">
        <v>236</v>
      </c>
      <c r="H136" s="2" t="s">
        <v>19</v>
      </c>
      <c r="I136" s="2">
        <f>ROUND(6/100,7)</f>
        <v>0.06</v>
      </c>
      <c r="J136" s="2">
        <v>0</v>
      </c>
      <c r="K136" s="2">
        <f>ROUND(6/100,7)</f>
        <v>0.06</v>
      </c>
      <c r="L136" s="2"/>
      <c r="M136" s="2"/>
      <c r="N136" s="2"/>
      <c r="O136" s="2">
        <f t="shared" ref="O136:O154" si="81">ROUND(CP136,2)</f>
        <v>12127.21</v>
      </c>
      <c r="P136" s="2">
        <f>SUMIF(SmtRes!AQ113:'SmtRes'!AQ118,"=1",SmtRes!DF113:'SmtRes'!DF118)</f>
        <v>345.49</v>
      </c>
      <c r="Q136" s="2">
        <f>SUMIF(SmtRes!AQ113:'SmtRes'!AQ118,"=1",SmtRes!DG113:'SmtRes'!DG118)</f>
        <v>0.39</v>
      </c>
      <c r="R136" s="2">
        <f>SUMIF(SmtRes!AQ113:'SmtRes'!AQ118,"=1",SmtRes!DH113:'SmtRes'!DH118)</f>
        <v>0.43</v>
      </c>
      <c r="S136" s="2">
        <f>SUMIF(SmtRes!AQ113:'SmtRes'!AQ118,"=1",SmtRes!DI113:'SmtRes'!DI118)</f>
        <v>11780.9</v>
      </c>
      <c r="T136" s="2">
        <f t="shared" ref="T136:T158" si="82">ROUND(CU136*I136,2)</f>
        <v>0</v>
      </c>
      <c r="U136" s="2">
        <f>SUMIF(SmtRes!AQ113:'SmtRes'!AQ118,"=1",SmtRes!CV113:'SmtRes'!CV118)</f>
        <v>18.143999999999998</v>
      </c>
      <c r="V136" s="2">
        <f>SUMIF(SmtRes!AQ113:'SmtRes'!AQ118,"=1",SmtRes!CW113:'SmtRes'!CW118)</f>
        <v>5.9999999999999995E-4</v>
      </c>
      <c r="W136" s="2">
        <f t="shared" ref="W136:W158" si="83">ROUND(CX136*I136,2)</f>
        <v>0</v>
      </c>
      <c r="X136" s="2">
        <f t="shared" ref="X136:X158" si="84">ROUND(CY136,2)</f>
        <v>12134.77</v>
      </c>
      <c r="Y136" s="2">
        <f t="shared" ref="Y136:Y158" si="85">ROUND(CZ136,2)</f>
        <v>6126.29</v>
      </c>
      <c r="Z136" s="2"/>
      <c r="AA136" s="2">
        <v>80308166</v>
      </c>
      <c r="AB136" s="2">
        <f t="shared" ref="AB136:AB158" si="86">ROUND((AC136+AD136+AF136),6)</f>
        <v>201342.3799</v>
      </c>
      <c r="AC136" s="2">
        <f>ROUND((SUM(SmtRes!BQ113:'SmtRes'!BQ118)),6)</f>
        <v>4987.6270000000004</v>
      </c>
      <c r="AD136" s="2">
        <f>ROUND((((SUM(SmtRes!BR113:'SmtRes'!BR118))-(SUM(SmtRes!BS113:'SmtRes'!BS118)))+AE136),6)</f>
        <v>6.4329000000000001</v>
      </c>
      <c r="AE136" s="2">
        <f>ROUND((SUM(SmtRes!BS113:'SmtRes'!BS118)),6)</f>
        <v>7.2205000000000004</v>
      </c>
      <c r="AF136" s="2">
        <f>ROUND((SUM(SmtRes!BT113:'SmtRes'!BT118)),6)</f>
        <v>196348.32</v>
      </c>
      <c r="AG136" s="2">
        <f t="shared" ref="AG136:AG158" si="87">ROUND((AP136),6)</f>
        <v>0</v>
      </c>
      <c r="AH136" s="2">
        <f>(SUM(SmtRes!BU113:'SmtRes'!BU118))</f>
        <v>302.39999999999998</v>
      </c>
      <c r="AI136" s="2">
        <f>(SUM(SmtRes!BV113:'SmtRes'!BV118))</f>
        <v>0.01</v>
      </c>
      <c r="AJ136" s="2">
        <f t="shared" ref="AJ136:AJ158" si="88">(AS136)</f>
        <v>0</v>
      </c>
      <c r="AK136" s="2">
        <v>201349.60039999997</v>
      </c>
      <c r="AL136" s="2">
        <v>4987.6270000000004</v>
      </c>
      <c r="AM136" s="2">
        <v>6.4329000000000001</v>
      </c>
      <c r="AN136" s="2">
        <v>7.2204999999999995</v>
      </c>
      <c r="AO136" s="2">
        <v>196348.31999999998</v>
      </c>
      <c r="AP136" s="2">
        <v>0</v>
      </c>
      <c r="AQ136" s="2">
        <v>302.39999999999998</v>
      </c>
      <c r="AR136" s="2">
        <v>0.01</v>
      </c>
      <c r="AS136" s="2">
        <v>0</v>
      </c>
      <c r="AT136" s="2">
        <v>103</v>
      </c>
      <c r="AU136" s="2">
        <v>52</v>
      </c>
      <c r="AV136" s="2">
        <v>1</v>
      </c>
      <c r="AW136" s="2">
        <v>1</v>
      </c>
      <c r="AX136" s="2"/>
      <c r="AY136" s="2"/>
      <c r="AZ136" s="2">
        <v>1</v>
      </c>
      <c r="BA136" s="2">
        <v>1</v>
      </c>
      <c r="BB136" s="2">
        <v>1</v>
      </c>
      <c r="BC136" s="2">
        <v>1</v>
      </c>
      <c r="BD136" s="2" t="s">
        <v>3</v>
      </c>
      <c r="BE136" s="2" t="s">
        <v>3</v>
      </c>
      <c r="BF136" s="2" t="s">
        <v>3</v>
      </c>
      <c r="BG136" s="2" t="s">
        <v>3</v>
      </c>
      <c r="BH136" s="2">
        <v>0</v>
      </c>
      <c r="BI136" s="2">
        <v>1</v>
      </c>
      <c r="BJ136" s="2" t="s">
        <v>237</v>
      </c>
      <c r="BK136" s="2"/>
      <c r="BL136" s="2"/>
      <c r="BM136" s="2">
        <v>65007</v>
      </c>
      <c r="BN136" s="2">
        <v>0</v>
      </c>
      <c r="BO136" s="2" t="s">
        <v>3</v>
      </c>
      <c r="BP136" s="2">
        <v>0</v>
      </c>
      <c r="BQ136" s="2">
        <v>6</v>
      </c>
      <c r="BR136" s="2">
        <v>0</v>
      </c>
      <c r="BS136" s="2">
        <v>1</v>
      </c>
      <c r="BT136" s="2">
        <v>1</v>
      </c>
      <c r="BU136" s="2">
        <v>1</v>
      </c>
      <c r="BV136" s="2">
        <v>1</v>
      </c>
      <c r="BW136" s="2">
        <v>1</v>
      </c>
      <c r="BX136" s="2">
        <v>1</v>
      </c>
      <c r="BY136" s="2" t="s">
        <v>3</v>
      </c>
      <c r="BZ136" s="2">
        <v>103</v>
      </c>
      <c r="CA136" s="2">
        <v>52</v>
      </c>
      <c r="CB136" s="2" t="s">
        <v>3</v>
      </c>
      <c r="CC136" s="2"/>
      <c r="CD136" s="2"/>
      <c r="CE136" s="2">
        <v>0</v>
      </c>
      <c r="CF136" s="2">
        <v>0</v>
      </c>
      <c r="CG136" s="2">
        <v>0</v>
      </c>
      <c r="CH136" s="2"/>
      <c r="CI136" s="2"/>
      <c r="CJ136" s="2"/>
      <c r="CK136" s="2"/>
      <c r="CL136" s="2"/>
      <c r="CM136" s="2">
        <v>0</v>
      </c>
      <c r="CN136" s="2" t="s">
        <v>3</v>
      </c>
      <c r="CO136" s="2">
        <v>0</v>
      </c>
      <c r="CP136" s="2">
        <f t="shared" ref="CP136:CP154" si="89">(P136+Q136+S136+R136)</f>
        <v>12127.21</v>
      </c>
      <c r="CQ136" s="2">
        <f>SUMIF(SmtRes!AQ113:'SmtRes'!AQ118,"=1",SmtRes!AA113:'SmtRes'!AA118)</f>
        <v>523.49</v>
      </c>
      <c r="CR136" s="2">
        <f>SUMIF(SmtRes!AQ113:'SmtRes'!AQ118,"=1",SmtRes!AB113:'SmtRes'!AB118)</f>
        <v>643.29</v>
      </c>
      <c r="CS136" s="2">
        <f>SUMIF(SmtRes!AQ113:'SmtRes'!AQ118,"=1",SmtRes!AC113:'SmtRes'!AC118)</f>
        <v>722.05</v>
      </c>
      <c r="CT136" s="2">
        <f>SUMIF(SmtRes!AQ113:'SmtRes'!AQ118,"=1",SmtRes!AD113:'SmtRes'!AD118)</f>
        <v>649.29999999999995</v>
      </c>
      <c r="CU136" s="2">
        <f t="shared" ref="CU136:CU154" si="90">AG136</f>
        <v>0</v>
      </c>
      <c r="CV136" s="2">
        <f>SUMIF(SmtRes!AQ113:'SmtRes'!AQ118,"=1",SmtRes!BU113:'SmtRes'!BU118)</f>
        <v>302.39999999999998</v>
      </c>
      <c r="CW136" s="2">
        <f>SUMIF(SmtRes!AQ113:'SmtRes'!AQ118,"=1",SmtRes!BV113:'SmtRes'!BV118)</f>
        <v>0.01</v>
      </c>
      <c r="CX136" s="2">
        <f t="shared" ref="CX136:CX154" si="91">AJ136</f>
        <v>0</v>
      </c>
      <c r="CY136" s="2">
        <f>(((S136+R136)*AT136)/100)</f>
        <v>12134.769899999999</v>
      </c>
      <c r="CZ136" s="2">
        <f>(((S136+R136)*AU136)/100)</f>
        <v>6126.2916000000005</v>
      </c>
      <c r="DA136" s="2"/>
      <c r="DB136" s="2"/>
      <c r="DC136" s="2" t="s">
        <v>3</v>
      </c>
      <c r="DD136" s="2" t="s">
        <v>3</v>
      </c>
      <c r="DE136" s="2" t="s">
        <v>3</v>
      </c>
      <c r="DF136" s="2" t="s">
        <v>3</v>
      </c>
      <c r="DG136" s="2" t="s">
        <v>3</v>
      </c>
      <c r="DH136" s="2" t="s">
        <v>3</v>
      </c>
      <c r="DI136" s="2" t="s">
        <v>3</v>
      </c>
      <c r="DJ136" s="2" t="s">
        <v>3</v>
      </c>
      <c r="DK136" s="2" t="s">
        <v>3</v>
      </c>
      <c r="DL136" s="2" t="s">
        <v>3</v>
      </c>
      <c r="DM136" s="2" t="s">
        <v>3</v>
      </c>
      <c r="DN136" s="2">
        <v>0</v>
      </c>
      <c r="DO136" s="2">
        <v>0</v>
      </c>
      <c r="DP136" s="2">
        <v>1</v>
      </c>
      <c r="DQ136" s="2">
        <v>1</v>
      </c>
      <c r="DR136" s="2"/>
      <c r="DS136" s="2"/>
      <c r="DT136" s="2"/>
      <c r="DU136" s="2">
        <v>1013</v>
      </c>
      <c r="DV136" s="2" t="s">
        <v>19</v>
      </c>
      <c r="DW136" s="2" t="s">
        <v>19</v>
      </c>
      <c r="DX136" s="2">
        <v>1</v>
      </c>
      <c r="DY136" s="2"/>
      <c r="DZ136" s="2" t="s">
        <v>3</v>
      </c>
      <c r="EA136" s="2" t="s">
        <v>3</v>
      </c>
      <c r="EB136" s="2" t="s">
        <v>3</v>
      </c>
      <c r="EC136" s="2" t="s">
        <v>3</v>
      </c>
      <c r="ED136" s="2"/>
      <c r="EE136" s="2">
        <v>77313190</v>
      </c>
      <c r="EF136" s="2">
        <v>6</v>
      </c>
      <c r="EG136" s="2" t="s">
        <v>21</v>
      </c>
      <c r="EH136" s="2">
        <v>99</v>
      </c>
      <c r="EI136" s="2" t="s">
        <v>22</v>
      </c>
      <c r="EJ136" s="2">
        <v>1</v>
      </c>
      <c r="EK136" s="2">
        <v>65007</v>
      </c>
      <c r="EL136" s="2" t="s">
        <v>23</v>
      </c>
      <c r="EM136" s="2" t="s">
        <v>24</v>
      </c>
      <c r="EN136" s="2"/>
      <c r="EO136" s="2" t="s">
        <v>3</v>
      </c>
      <c r="EP136" s="2"/>
      <c r="EQ136" s="2">
        <v>0</v>
      </c>
      <c r="ER136" s="2">
        <v>0</v>
      </c>
      <c r="ES136" s="2">
        <v>0</v>
      </c>
      <c r="ET136" s="2">
        <v>0</v>
      </c>
      <c r="EU136" s="2">
        <v>0</v>
      </c>
      <c r="EV136" s="2">
        <v>0</v>
      </c>
      <c r="EW136" s="2">
        <v>302.39999999999998</v>
      </c>
      <c r="EX136" s="2">
        <v>0.01</v>
      </c>
      <c r="EY136" s="2">
        <v>0</v>
      </c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>
        <v>0</v>
      </c>
      <c r="FR136" s="2">
        <v>0</v>
      </c>
      <c r="FS136" s="2">
        <v>0</v>
      </c>
      <c r="FT136" s="2"/>
      <c r="FU136" s="2"/>
      <c r="FV136" s="2"/>
      <c r="FW136" s="2"/>
      <c r="FX136" s="2">
        <v>103</v>
      </c>
      <c r="FY136" s="2">
        <v>52</v>
      </c>
      <c r="FZ136" s="2"/>
      <c r="GA136" s="2" t="s">
        <v>3</v>
      </c>
      <c r="GB136" s="2"/>
      <c r="GC136" s="2"/>
      <c r="GD136" s="2">
        <v>1</v>
      </c>
      <c r="GE136" s="2"/>
      <c r="GF136" s="2">
        <v>15037642</v>
      </c>
      <c r="GG136" s="2">
        <v>2</v>
      </c>
      <c r="GH136" s="2">
        <v>1</v>
      </c>
      <c r="GI136" s="2">
        <v>-2</v>
      </c>
      <c r="GJ136" s="2">
        <v>0</v>
      </c>
      <c r="GK136" s="2">
        <v>0</v>
      </c>
      <c r="GL136" s="2">
        <f t="shared" ref="GL136:GL158" si="92">ROUND(IF(AND(BH136=3,BI136=3,FS136&lt;&gt;0),P136,0),2)</f>
        <v>0</v>
      </c>
      <c r="GM136" s="2">
        <f t="shared" ref="GM136:GM158" si="93">ROUND(O136+X136+Y136,2)+GX136</f>
        <v>30388.27</v>
      </c>
      <c r="GN136" s="2">
        <f t="shared" ref="GN136:GN158" si="94">IF(OR(BI136=0,BI136=1),GM136-GX136,0)</f>
        <v>30388.27</v>
      </c>
      <c r="GO136" s="2">
        <f t="shared" ref="GO136:GO158" si="95">IF(BI136=2,GM136-GX136,0)</f>
        <v>0</v>
      </c>
      <c r="GP136" s="2">
        <f t="shared" ref="GP136:GP158" si="96">IF(BI136=4,GM136-GX136,0)</f>
        <v>0</v>
      </c>
      <c r="GQ136" s="2"/>
      <c r="GR136" s="2">
        <v>0</v>
      </c>
      <c r="GS136" s="2">
        <v>3</v>
      </c>
      <c r="GT136" s="2">
        <v>0</v>
      </c>
      <c r="GU136" s="2" t="s">
        <v>3</v>
      </c>
      <c r="GV136" s="2">
        <f t="shared" ref="GV136:GV158" si="97">ROUND((GT136),6)</f>
        <v>0</v>
      </c>
      <c r="GW136" s="2">
        <v>1</v>
      </c>
      <c r="GX136" s="2">
        <f t="shared" ref="GX136:GX158" si="98">ROUND(HC136*I136,2)</f>
        <v>0</v>
      </c>
      <c r="GY136" s="2"/>
      <c r="GZ136" s="2"/>
      <c r="HA136" s="2">
        <v>0</v>
      </c>
      <c r="HB136" s="2">
        <v>0</v>
      </c>
      <c r="HC136" s="2">
        <f t="shared" ref="HC136:HC154" si="99">GV136*GW136</f>
        <v>0</v>
      </c>
      <c r="HD136" s="2"/>
      <c r="HE136" s="2" t="s">
        <v>3</v>
      </c>
      <c r="HF136" s="2" t="s">
        <v>3</v>
      </c>
      <c r="HG136" s="2"/>
      <c r="HH136" s="2"/>
      <c r="HI136" s="2"/>
      <c r="HJ136" s="2"/>
      <c r="HK136" s="2"/>
      <c r="HL136" s="2"/>
      <c r="HM136" s="2" t="s">
        <v>3</v>
      </c>
      <c r="HN136" s="2" t="s">
        <v>25</v>
      </c>
      <c r="HO136" s="2" t="s">
        <v>26</v>
      </c>
      <c r="HP136" s="2" t="s">
        <v>23</v>
      </c>
      <c r="HQ136" s="2" t="s">
        <v>23</v>
      </c>
      <c r="HR136" s="2"/>
      <c r="HS136" s="2">
        <v>0</v>
      </c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>
        <v>0</v>
      </c>
      <c r="IL136" s="2"/>
      <c r="IM136" s="2"/>
      <c r="IN136" s="2"/>
      <c r="IO136" s="2"/>
      <c r="IP136" s="2"/>
      <c r="IQ136" s="2"/>
      <c r="IR136" s="2"/>
      <c r="IS136" s="2"/>
      <c r="IT136" s="2"/>
      <c r="IU136" s="2"/>
    </row>
    <row r="137" spans="1:255" ht="409.5" x14ac:dyDescent="0.2">
      <c r="A137" s="2">
        <v>17</v>
      </c>
      <c r="B137" s="2">
        <v>1</v>
      </c>
      <c r="C137" s="2">
        <f>ROW(SmtRes!A124)</f>
        <v>124</v>
      </c>
      <c r="D137" s="2">
        <f>ROW(EtalonRes!A119)</f>
        <v>119</v>
      </c>
      <c r="E137" s="2" t="s">
        <v>238</v>
      </c>
      <c r="F137" s="2" t="s">
        <v>239</v>
      </c>
      <c r="G137" s="2" t="s">
        <v>240</v>
      </c>
      <c r="H137" s="2" t="s">
        <v>95</v>
      </c>
      <c r="I137" s="2">
        <f>ROUND(30/100,7)</f>
        <v>0.3</v>
      </c>
      <c r="J137" s="2">
        <v>0</v>
      </c>
      <c r="K137" s="2">
        <f>ROUND(30/100,7)</f>
        <v>0.3</v>
      </c>
      <c r="L137" s="2"/>
      <c r="M137" s="2"/>
      <c r="N137" s="2"/>
      <c r="O137" s="2">
        <f t="shared" si="81"/>
        <v>1537.83</v>
      </c>
      <c r="P137" s="2">
        <f>SUMIF(SmtRes!AQ119:'SmtRes'!AQ124,"=1",SmtRes!DF119:'SmtRes'!DF124)</f>
        <v>19.53</v>
      </c>
      <c r="Q137" s="2">
        <f>SUMIF(SmtRes!AQ119:'SmtRes'!AQ124,"=1",SmtRes!DG119:'SmtRes'!DG124)</f>
        <v>11.37</v>
      </c>
      <c r="R137" s="2">
        <f>SUMIF(SmtRes!AQ119:'SmtRes'!AQ124,"=1",SmtRes!DH119:'SmtRes'!DH124)</f>
        <v>0</v>
      </c>
      <c r="S137" s="2">
        <f>SUMIF(SmtRes!AQ119:'SmtRes'!AQ124,"=1",SmtRes!DI119:'SmtRes'!DI124)</f>
        <v>1506.93</v>
      </c>
      <c r="T137" s="2">
        <f t="shared" si="82"/>
        <v>0</v>
      </c>
      <c r="U137" s="2">
        <f>SUMIF(SmtRes!AQ119:'SmtRes'!AQ124,"=1",SmtRes!CV119:'SmtRes'!CV124)</f>
        <v>1.72845</v>
      </c>
      <c r="V137" s="2">
        <f>SUMIF(SmtRes!AQ119:'SmtRes'!AQ124,"=1",SmtRes!CW119:'SmtRes'!CW124)</f>
        <v>0</v>
      </c>
      <c r="W137" s="2">
        <f t="shared" si="83"/>
        <v>0</v>
      </c>
      <c r="X137" s="2">
        <f t="shared" si="84"/>
        <v>1641.05</v>
      </c>
      <c r="Y137" s="2">
        <f t="shared" si="85"/>
        <v>922.24</v>
      </c>
      <c r="Z137" s="2"/>
      <c r="AA137" s="2">
        <v>80308166</v>
      </c>
      <c r="AB137" s="2">
        <f t="shared" si="86"/>
        <v>5093.0858539999999</v>
      </c>
      <c r="AC137" s="2">
        <f>ROUND((SUM(SmtRes!BQ119:'SmtRes'!BQ124)),6)</f>
        <v>43.485944000000003</v>
      </c>
      <c r="AD137" s="2">
        <f>ROUND((((SUM(SmtRes!BR119:'SmtRes'!BR124))-(0))+AE137),6)</f>
        <v>26.493749999999999</v>
      </c>
      <c r="AE137" s="2">
        <f>ROUND((0),6)</f>
        <v>0</v>
      </c>
      <c r="AF137" s="2">
        <f>ROUND((SUM(SmtRes!BT119:'SmtRes'!BT124)),6)</f>
        <v>5023.1061600000003</v>
      </c>
      <c r="AG137" s="2">
        <f t="shared" si="87"/>
        <v>0</v>
      </c>
      <c r="AH137" s="2">
        <f>(SUM(SmtRes!BU119:'SmtRes'!BU124))</f>
        <v>5.761499999999999</v>
      </c>
      <c r="AI137" s="2">
        <f>(0)</f>
        <v>0</v>
      </c>
      <c r="AJ137" s="2">
        <f t="shared" si="88"/>
        <v>0</v>
      </c>
      <c r="AK137" s="2">
        <v>4432.5993441999999</v>
      </c>
      <c r="AL137" s="2">
        <v>43.485944199999999</v>
      </c>
      <c r="AM137" s="2">
        <v>21.195</v>
      </c>
      <c r="AN137" s="2">
        <v>0</v>
      </c>
      <c r="AO137" s="2">
        <v>4367.9183999999996</v>
      </c>
      <c r="AP137" s="2">
        <v>0</v>
      </c>
      <c r="AQ137" s="2">
        <v>5.01</v>
      </c>
      <c r="AR137" s="2">
        <v>0</v>
      </c>
      <c r="AS137" s="2">
        <v>0</v>
      </c>
      <c r="AT137" s="2">
        <v>108.9</v>
      </c>
      <c r="AU137" s="2">
        <v>61.2</v>
      </c>
      <c r="AV137" s="2">
        <v>1</v>
      </c>
      <c r="AW137" s="2">
        <v>1</v>
      </c>
      <c r="AX137" s="2"/>
      <c r="AY137" s="2"/>
      <c r="AZ137" s="2">
        <v>1</v>
      </c>
      <c r="BA137" s="2">
        <v>1</v>
      </c>
      <c r="BB137" s="2">
        <v>1</v>
      </c>
      <c r="BC137" s="2">
        <v>1</v>
      </c>
      <c r="BD137" s="2" t="s">
        <v>3</v>
      </c>
      <c r="BE137" s="2" t="s">
        <v>3</v>
      </c>
      <c r="BF137" s="2" t="s">
        <v>3</v>
      </c>
      <c r="BG137" s="2" t="s">
        <v>3</v>
      </c>
      <c r="BH137" s="2">
        <v>0</v>
      </c>
      <c r="BI137" s="2">
        <v>1</v>
      </c>
      <c r="BJ137" s="2" t="s">
        <v>241</v>
      </c>
      <c r="BK137" s="2"/>
      <c r="BL137" s="2"/>
      <c r="BM137" s="2">
        <v>16001</v>
      </c>
      <c r="BN137" s="2">
        <v>0</v>
      </c>
      <c r="BO137" s="2" t="s">
        <v>3</v>
      </c>
      <c r="BP137" s="2">
        <v>0</v>
      </c>
      <c r="BQ137" s="2">
        <v>2</v>
      </c>
      <c r="BR137" s="2">
        <v>0</v>
      </c>
      <c r="BS137" s="2">
        <v>1</v>
      </c>
      <c r="BT137" s="2">
        <v>1</v>
      </c>
      <c r="BU137" s="2">
        <v>1</v>
      </c>
      <c r="BV137" s="2">
        <v>1</v>
      </c>
      <c r="BW137" s="2">
        <v>1</v>
      </c>
      <c r="BX137" s="2">
        <v>1</v>
      </c>
      <c r="BY137" s="2" t="s">
        <v>3</v>
      </c>
      <c r="BZ137" s="2">
        <v>121</v>
      </c>
      <c r="CA137" s="2">
        <v>72</v>
      </c>
      <c r="CB137" s="2" t="s">
        <v>3</v>
      </c>
      <c r="CC137" s="2"/>
      <c r="CD137" s="2"/>
      <c r="CE137" s="2">
        <v>0</v>
      </c>
      <c r="CF137" s="2">
        <v>0</v>
      </c>
      <c r="CG137" s="2">
        <v>0</v>
      </c>
      <c r="CH137" s="2"/>
      <c r="CI137" s="2"/>
      <c r="CJ137" s="2"/>
      <c r="CK137" s="2"/>
      <c r="CL137" s="2"/>
      <c r="CM137" s="2">
        <v>0</v>
      </c>
      <c r="CN137" s="7" t="s">
        <v>651</v>
      </c>
      <c r="CO137" s="2">
        <v>0</v>
      </c>
      <c r="CP137" s="2">
        <f t="shared" si="89"/>
        <v>1537.8300000000002</v>
      </c>
      <c r="CQ137" s="2">
        <f>SUMIF(SmtRes!AQ119:'SmtRes'!AQ124,"=1",SmtRes!AA119:'SmtRes'!AA124)</f>
        <v>73173.89</v>
      </c>
      <c r="CR137" s="2">
        <f>SUMIF(SmtRes!AQ119:'SmtRes'!AQ124,"=1",SmtRes!AB119:'SmtRes'!AB124)</f>
        <v>20.21</v>
      </c>
      <c r="CS137" s="2">
        <f>SUMIF(SmtRes!AQ119:'SmtRes'!AQ124,"=1",SmtRes!AC119:'SmtRes'!AC124)</f>
        <v>0</v>
      </c>
      <c r="CT137" s="2">
        <f>SUMIF(SmtRes!AQ119:'SmtRes'!AQ124,"=1",SmtRes!AD119:'SmtRes'!AD124)</f>
        <v>871.84</v>
      </c>
      <c r="CU137" s="2">
        <f t="shared" si="90"/>
        <v>0</v>
      </c>
      <c r="CV137" s="2">
        <f>SUMIF(SmtRes!AQ119:'SmtRes'!AQ124,"=1",SmtRes!BU119:'SmtRes'!BU124)</f>
        <v>5.761499999999999</v>
      </c>
      <c r="CW137" s="2">
        <f>SUMIF(SmtRes!AQ119:'SmtRes'!AQ124,"=1",SmtRes!BV119:'SmtRes'!BV124)</f>
        <v>0</v>
      </c>
      <c r="CX137" s="2">
        <f t="shared" si="91"/>
        <v>0</v>
      </c>
      <c r="CY137" s="2">
        <f>(((S137+R137)*AT137)/100)</f>
        <v>1641.0467700000002</v>
      </c>
      <c r="CZ137" s="2">
        <f>(((S137+R137)*AU137)/100)</f>
        <v>922.24116000000004</v>
      </c>
      <c r="DA137" s="2"/>
      <c r="DB137" s="2">
        <v>10</v>
      </c>
      <c r="DC137" s="2" t="s">
        <v>3</v>
      </c>
      <c r="DD137" s="2" t="s">
        <v>3</v>
      </c>
      <c r="DE137" s="2" t="s">
        <v>48</v>
      </c>
      <c r="DF137" s="2" t="s">
        <v>48</v>
      </c>
      <c r="DG137" s="2" t="s">
        <v>49</v>
      </c>
      <c r="DH137" s="2" t="s">
        <v>3</v>
      </c>
      <c r="DI137" s="2" t="s">
        <v>49</v>
      </c>
      <c r="DJ137" s="2" t="s">
        <v>48</v>
      </c>
      <c r="DK137" s="2" t="s">
        <v>3</v>
      </c>
      <c r="DL137" s="2" t="s">
        <v>50</v>
      </c>
      <c r="DM137" s="2" t="s">
        <v>51</v>
      </c>
      <c r="DN137" s="2">
        <v>0</v>
      </c>
      <c r="DO137" s="2">
        <v>0</v>
      </c>
      <c r="DP137" s="2">
        <v>1</v>
      </c>
      <c r="DQ137" s="2">
        <v>1</v>
      </c>
      <c r="DR137" s="2"/>
      <c r="DS137" s="2"/>
      <c r="DT137" s="2"/>
      <c r="DU137" s="2">
        <v>1003</v>
      </c>
      <c r="DV137" s="2" t="s">
        <v>95</v>
      </c>
      <c r="DW137" s="2" t="s">
        <v>95</v>
      </c>
      <c r="DX137" s="2">
        <v>100</v>
      </c>
      <c r="DY137" s="2"/>
      <c r="DZ137" s="2" t="s">
        <v>3</v>
      </c>
      <c r="EA137" s="2" t="s">
        <v>3</v>
      </c>
      <c r="EB137" s="2" t="s">
        <v>3</v>
      </c>
      <c r="EC137" s="2" t="s">
        <v>3</v>
      </c>
      <c r="ED137" s="2"/>
      <c r="EE137" s="2">
        <v>77313119</v>
      </c>
      <c r="EF137" s="2">
        <v>2</v>
      </c>
      <c r="EG137" s="2" t="s">
        <v>52</v>
      </c>
      <c r="EH137" s="2">
        <v>16</v>
      </c>
      <c r="EI137" s="2" t="s">
        <v>53</v>
      </c>
      <c r="EJ137" s="2">
        <v>1</v>
      </c>
      <c r="EK137" s="2">
        <v>16001</v>
      </c>
      <c r="EL137" s="2" t="s">
        <v>54</v>
      </c>
      <c r="EM137" s="2" t="s">
        <v>55</v>
      </c>
      <c r="EN137" s="2"/>
      <c r="EO137" s="2" t="s">
        <v>56</v>
      </c>
      <c r="EP137" s="2"/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5.01</v>
      </c>
      <c r="EX137" s="2">
        <v>0</v>
      </c>
      <c r="EY137" s="2">
        <v>0</v>
      </c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>
        <v>0</v>
      </c>
      <c r="FR137" s="2">
        <v>0</v>
      </c>
      <c r="FS137" s="2">
        <v>0</v>
      </c>
      <c r="FT137" s="2"/>
      <c r="FU137" s="2"/>
      <c r="FV137" s="2"/>
      <c r="FW137" s="2"/>
      <c r="FX137" s="2">
        <v>108.9</v>
      </c>
      <c r="FY137" s="2">
        <v>61.2</v>
      </c>
      <c r="FZ137" s="2"/>
      <c r="GA137" s="2" t="s">
        <v>3</v>
      </c>
      <c r="GB137" s="2"/>
      <c r="GC137" s="2"/>
      <c r="GD137" s="2">
        <v>1</v>
      </c>
      <c r="GE137" s="2"/>
      <c r="GF137" s="2">
        <v>331654648</v>
      </c>
      <c r="GG137" s="2">
        <v>2</v>
      </c>
      <c r="GH137" s="2">
        <v>1</v>
      </c>
      <c r="GI137" s="2">
        <v>-2</v>
      </c>
      <c r="GJ137" s="2">
        <v>0</v>
      </c>
      <c r="GK137" s="2">
        <v>0</v>
      </c>
      <c r="GL137" s="2">
        <f t="shared" si="92"/>
        <v>0</v>
      </c>
      <c r="GM137" s="2">
        <f t="shared" si="93"/>
        <v>4101.12</v>
      </c>
      <c r="GN137" s="2">
        <f t="shared" si="94"/>
        <v>4101.12</v>
      </c>
      <c r="GO137" s="2">
        <f t="shared" si="95"/>
        <v>0</v>
      </c>
      <c r="GP137" s="2">
        <f t="shared" si="96"/>
        <v>0</v>
      </c>
      <c r="GQ137" s="2"/>
      <c r="GR137" s="2">
        <v>0</v>
      </c>
      <c r="GS137" s="2">
        <v>3</v>
      </c>
      <c r="GT137" s="2">
        <v>0</v>
      </c>
      <c r="GU137" s="2" t="s">
        <v>3</v>
      </c>
      <c r="GV137" s="2">
        <f t="shared" si="97"/>
        <v>0</v>
      </c>
      <c r="GW137" s="2">
        <v>1</v>
      </c>
      <c r="GX137" s="2">
        <f t="shared" si="98"/>
        <v>0</v>
      </c>
      <c r="GY137" s="2"/>
      <c r="GZ137" s="2"/>
      <c r="HA137" s="2">
        <v>0</v>
      </c>
      <c r="HB137" s="2">
        <v>0</v>
      </c>
      <c r="HC137" s="2">
        <f t="shared" si="99"/>
        <v>0</v>
      </c>
      <c r="HD137" s="2"/>
      <c r="HE137" s="2" t="s">
        <v>3</v>
      </c>
      <c r="HF137" s="2" t="s">
        <v>3</v>
      </c>
      <c r="HG137" s="2"/>
      <c r="HH137" s="2"/>
      <c r="HI137" s="2"/>
      <c r="HJ137" s="2"/>
      <c r="HK137" s="2"/>
      <c r="HL137" s="2"/>
      <c r="HM137" s="2" t="s">
        <v>3</v>
      </c>
      <c r="HN137" s="2" t="s">
        <v>57</v>
      </c>
      <c r="HO137" s="2" t="s">
        <v>58</v>
      </c>
      <c r="HP137" s="2" t="s">
        <v>53</v>
      </c>
      <c r="HQ137" s="2" t="s">
        <v>53</v>
      </c>
      <c r="HR137" s="2"/>
      <c r="HS137" s="2">
        <v>0</v>
      </c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>
        <v>0</v>
      </c>
      <c r="IL137" s="2"/>
      <c r="IM137" s="2"/>
      <c r="IN137" s="2"/>
      <c r="IO137" s="2"/>
      <c r="IP137" s="2"/>
      <c r="IQ137" s="2"/>
      <c r="IR137" s="2"/>
      <c r="IS137" s="2"/>
      <c r="IT137" s="2"/>
      <c r="IU137" s="2"/>
    </row>
    <row r="138" spans="1:255" ht="409.5" x14ac:dyDescent="0.2">
      <c r="A138" s="2">
        <v>17</v>
      </c>
      <c r="B138" s="2">
        <v>1</v>
      </c>
      <c r="C138" s="2">
        <f>ROW(SmtRes!A130)</f>
        <v>130</v>
      </c>
      <c r="D138" s="2">
        <f>ROW(EtalonRes!A125)</f>
        <v>125</v>
      </c>
      <c r="E138" s="2" t="s">
        <v>242</v>
      </c>
      <c r="F138" s="2" t="s">
        <v>93</v>
      </c>
      <c r="G138" s="2" t="s">
        <v>243</v>
      </c>
      <c r="H138" s="2" t="s">
        <v>95</v>
      </c>
      <c r="I138" s="2">
        <f>ROUND(65/100,7)</f>
        <v>0.65</v>
      </c>
      <c r="J138" s="2">
        <v>0</v>
      </c>
      <c r="K138" s="2">
        <f>ROUND(65/100,7)</f>
        <v>0.65</v>
      </c>
      <c r="L138" s="2"/>
      <c r="M138" s="2"/>
      <c r="N138" s="2"/>
      <c r="O138" s="2">
        <f t="shared" si="81"/>
        <v>3431.41</v>
      </c>
      <c r="P138" s="2">
        <f>SUMIF(SmtRes!AQ125:'SmtRes'!AQ130,"=1",SmtRes!DF125:'SmtRes'!DF130)</f>
        <v>141.76</v>
      </c>
      <c r="Q138" s="2">
        <f>SUMIF(SmtRes!AQ125:'SmtRes'!AQ130,"=1",SmtRes!DG125:'SmtRes'!DG130)</f>
        <v>24.63</v>
      </c>
      <c r="R138" s="2">
        <f>SUMIF(SmtRes!AQ125:'SmtRes'!AQ130,"=1",SmtRes!DH125:'SmtRes'!DH130)</f>
        <v>0</v>
      </c>
      <c r="S138" s="2">
        <f>SUMIF(SmtRes!AQ125:'SmtRes'!AQ130,"=1",SmtRes!DI125:'SmtRes'!DI130)</f>
        <v>3265.02</v>
      </c>
      <c r="T138" s="2">
        <f t="shared" si="82"/>
        <v>0</v>
      </c>
      <c r="U138" s="2">
        <f>SUMIF(SmtRes!AQ125:'SmtRes'!AQ130,"=1",SmtRes!CV125:'SmtRes'!CV130)</f>
        <v>3.7449750000000002</v>
      </c>
      <c r="V138" s="2">
        <f>SUMIF(SmtRes!AQ125:'SmtRes'!AQ130,"=1",SmtRes!CW125:'SmtRes'!CW130)</f>
        <v>0</v>
      </c>
      <c r="W138" s="2">
        <f t="shared" si="83"/>
        <v>0</v>
      </c>
      <c r="X138" s="2">
        <f t="shared" si="84"/>
        <v>3555.61</v>
      </c>
      <c r="Y138" s="2">
        <f t="shared" si="85"/>
        <v>1998.19</v>
      </c>
      <c r="Z138" s="2"/>
      <c r="AA138" s="2">
        <v>80308166</v>
      </c>
      <c r="AB138" s="2">
        <f t="shared" si="86"/>
        <v>5193.0738540000002</v>
      </c>
      <c r="AC138" s="2">
        <f>ROUND((SUM(SmtRes!BQ125:'SmtRes'!BQ130)),6)</f>
        <v>143.47394399999999</v>
      </c>
      <c r="AD138" s="2">
        <f>ROUND((((SUM(SmtRes!BR125:'SmtRes'!BR130))-(0))+AE138),6)</f>
        <v>26.493749999999999</v>
      </c>
      <c r="AE138" s="2">
        <f>ROUND((0),6)</f>
        <v>0</v>
      </c>
      <c r="AF138" s="2">
        <f>ROUND((SUM(SmtRes!BT125:'SmtRes'!BT130)),6)</f>
        <v>5023.1061600000003</v>
      </c>
      <c r="AG138" s="2">
        <f t="shared" si="87"/>
        <v>0</v>
      </c>
      <c r="AH138" s="2">
        <f>(SUM(SmtRes!BU125:'SmtRes'!BU130))</f>
        <v>5.761499999999999</v>
      </c>
      <c r="AI138" s="2">
        <f>(0)</f>
        <v>0</v>
      </c>
      <c r="AJ138" s="2">
        <f t="shared" si="88"/>
        <v>0</v>
      </c>
      <c r="AK138" s="2">
        <v>4532.5873441999993</v>
      </c>
      <c r="AL138" s="2">
        <v>143.47394420000001</v>
      </c>
      <c r="AM138" s="2">
        <v>21.195</v>
      </c>
      <c r="AN138" s="2">
        <v>0</v>
      </c>
      <c r="AO138" s="2">
        <v>4367.9183999999996</v>
      </c>
      <c r="AP138" s="2">
        <v>0</v>
      </c>
      <c r="AQ138" s="2">
        <v>5.01</v>
      </c>
      <c r="AR138" s="2">
        <v>0</v>
      </c>
      <c r="AS138" s="2">
        <v>0</v>
      </c>
      <c r="AT138" s="2">
        <v>108.9</v>
      </c>
      <c r="AU138" s="2">
        <v>61.2</v>
      </c>
      <c r="AV138" s="2">
        <v>1</v>
      </c>
      <c r="AW138" s="2">
        <v>1</v>
      </c>
      <c r="AX138" s="2"/>
      <c r="AY138" s="2"/>
      <c r="AZ138" s="2">
        <v>1</v>
      </c>
      <c r="BA138" s="2">
        <v>1</v>
      </c>
      <c r="BB138" s="2">
        <v>1</v>
      </c>
      <c r="BC138" s="2">
        <v>1</v>
      </c>
      <c r="BD138" s="2" t="s">
        <v>3</v>
      </c>
      <c r="BE138" s="2" t="s">
        <v>3</v>
      </c>
      <c r="BF138" s="2" t="s">
        <v>3</v>
      </c>
      <c r="BG138" s="2" t="s">
        <v>3</v>
      </c>
      <c r="BH138" s="2">
        <v>0</v>
      </c>
      <c r="BI138" s="2">
        <v>1</v>
      </c>
      <c r="BJ138" s="2" t="s">
        <v>96</v>
      </c>
      <c r="BK138" s="2"/>
      <c r="BL138" s="2"/>
      <c r="BM138" s="2">
        <v>16001</v>
      </c>
      <c r="BN138" s="2">
        <v>0</v>
      </c>
      <c r="BO138" s="2" t="s">
        <v>3</v>
      </c>
      <c r="BP138" s="2">
        <v>0</v>
      </c>
      <c r="BQ138" s="2">
        <v>2</v>
      </c>
      <c r="BR138" s="2">
        <v>0</v>
      </c>
      <c r="BS138" s="2">
        <v>1</v>
      </c>
      <c r="BT138" s="2">
        <v>1</v>
      </c>
      <c r="BU138" s="2">
        <v>1</v>
      </c>
      <c r="BV138" s="2">
        <v>1</v>
      </c>
      <c r="BW138" s="2">
        <v>1</v>
      </c>
      <c r="BX138" s="2">
        <v>1</v>
      </c>
      <c r="BY138" s="2" t="s">
        <v>3</v>
      </c>
      <c r="BZ138" s="2">
        <v>121</v>
      </c>
      <c r="CA138" s="2">
        <v>72</v>
      </c>
      <c r="CB138" s="2" t="s">
        <v>3</v>
      </c>
      <c r="CC138" s="2"/>
      <c r="CD138" s="2"/>
      <c r="CE138" s="2">
        <v>0</v>
      </c>
      <c r="CF138" s="2">
        <v>0</v>
      </c>
      <c r="CG138" s="2">
        <v>0</v>
      </c>
      <c r="CH138" s="2"/>
      <c r="CI138" s="2"/>
      <c r="CJ138" s="2"/>
      <c r="CK138" s="2"/>
      <c r="CL138" s="2"/>
      <c r="CM138" s="2">
        <v>0</v>
      </c>
      <c r="CN138" s="7" t="s">
        <v>651</v>
      </c>
      <c r="CO138" s="2">
        <v>0</v>
      </c>
      <c r="CP138" s="2">
        <f t="shared" si="89"/>
        <v>3431.41</v>
      </c>
      <c r="CQ138" s="2">
        <f>SUMIF(SmtRes!AQ125:'SmtRes'!AQ130,"=1",SmtRes!AA125:'SmtRes'!AA130)</f>
        <v>73173.89</v>
      </c>
      <c r="CR138" s="2">
        <f>SUMIF(SmtRes!AQ125:'SmtRes'!AQ130,"=1",SmtRes!AB125:'SmtRes'!AB130)</f>
        <v>20.21</v>
      </c>
      <c r="CS138" s="2">
        <f>SUMIF(SmtRes!AQ125:'SmtRes'!AQ130,"=1",SmtRes!AC125:'SmtRes'!AC130)</f>
        <v>0</v>
      </c>
      <c r="CT138" s="2">
        <f>SUMIF(SmtRes!AQ125:'SmtRes'!AQ130,"=1",SmtRes!AD125:'SmtRes'!AD130)</f>
        <v>871.84</v>
      </c>
      <c r="CU138" s="2">
        <f t="shared" si="90"/>
        <v>0</v>
      </c>
      <c r="CV138" s="2">
        <f>SUMIF(SmtRes!AQ125:'SmtRes'!AQ130,"=1",SmtRes!BU125:'SmtRes'!BU130)</f>
        <v>5.761499999999999</v>
      </c>
      <c r="CW138" s="2">
        <f>SUMIF(SmtRes!AQ125:'SmtRes'!AQ130,"=1",SmtRes!BV125:'SmtRes'!BV130)</f>
        <v>0</v>
      </c>
      <c r="CX138" s="2">
        <f t="shared" si="91"/>
        <v>0</v>
      </c>
      <c r="CY138" s="2">
        <f>(((S138+R138)*AT138)/100)</f>
        <v>3555.6067800000001</v>
      </c>
      <c r="CZ138" s="2">
        <f>(((S138+R138)*AU138)/100)</f>
        <v>1998.1922400000001</v>
      </c>
      <c r="DA138" s="2"/>
      <c r="DB138" s="2">
        <v>11</v>
      </c>
      <c r="DC138" s="2" t="s">
        <v>3</v>
      </c>
      <c r="DD138" s="2" t="s">
        <v>3</v>
      </c>
      <c r="DE138" s="2" t="s">
        <v>48</v>
      </c>
      <c r="DF138" s="2" t="s">
        <v>48</v>
      </c>
      <c r="DG138" s="2" t="s">
        <v>49</v>
      </c>
      <c r="DH138" s="2" t="s">
        <v>3</v>
      </c>
      <c r="DI138" s="2" t="s">
        <v>49</v>
      </c>
      <c r="DJ138" s="2" t="s">
        <v>48</v>
      </c>
      <c r="DK138" s="2" t="s">
        <v>3</v>
      </c>
      <c r="DL138" s="2" t="s">
        <v>50</v>
      </c>
      <c r="DM138" s="2" t="s">
        <v>51</v>
      </c>
      <c r="DN138" s="2">
        <v>0</v>
      </c>
      <c r="DO138" s="2">
        <v>0</v>
      </c>
      <c r="DP138" s="2">
        <v>1</v>
      </c>
      <c r="DQ138" s="2">
        <v>1</v>
      </c>
      <c r="DR138" s="2"/>
      <c r="DS138" s="2"/>
      <c r="DT138" s="2"/>
      <c r="DU138" s="2">
        <v>1003</v>
      </c>
      <c r="DV138" s="2" t="s">
        <v>95</v>
      </c>
      <c r="DW138" s="2" t="s">
        <v>95</v>
      </c>
      <c r="DX138" s="2">
        <v>100</v>
      </c>
      <c r="DY138" s="2"/>
      <c r="DZ138" s="2" t="s">
        <v>3</v>
      </c>
      <c r="EA138" s="2" t="s">
        <v>3</v>
      </c>
      <c r="EB138" s="2" t="s">
        <v>3</v>
      </c>
      <c r="EC138" s="2" t="s">
        <v>3</v>
      </c>
      <c r="ED138" s="2"/>
      <c r="EE138" s="2">
        <v>77313119</v>
      </c>
      <c r="EF138" s="2">
        <v>2</v>
      </c>
      <c r="EG138" s="2" t="s">
        <v>52</v>
      </c>
      <c r="EH138" s="2">
        <v>16</v>
      </c>
      <c r="EI138" s="2" t="s">
        <v>53</v>
      </c>
      <c r="EJ138" s="2">
        <v>1</v>
      </c>
      <c r="EK138" s="2">
        <v>16001</v>
      </c>
      <c r="EL138" s="2" t="s">
        <v>54</v>
      </c>
      <c r="EM138" s="2" t="s">
        <v>55</v>
      </c>
      <c r="EN138" s="2"/>
      <c r="EO138" s="2" t="s">
        <v>56</v>
      </c>
      <c r="EP138" s="2"/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5.01</v>
      </c>
      <c r="EX138" s="2">
        <v>0</v>
      </c>
      <c r="EY138" s="2">
        <v>0</v>
      </c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>
        <v>0</v>
      </c>
      <c r="FR138" s="2">
        <v>0</v>
      </c>
      <c r="FS138" s="2">
        <v>0</v>
      </c>
      <c r="FT138" s="2"/>
      <c r="FU138" s="2"/>
      <c r="FV138" s="2"/>
      <c r="FW138" s="2"/>
      <c r="FX138" s="2">
        <v>108.9</v>
      </c>
      <c r="FY138" s="2">
        <v>61.199999999999996</v>
      </c>
      <c r="FZ138" s="2"/>
      <c r="GA138" s="2" t="s">
        <v>3</v>
      </c>
      <c r="GB138" s="2"/>
      <c r="GC138" s="2"/>
      <c r="GD138" s="2">
        <v>1</v>
      </c>
      <c r="GE138" s="2"/>
      <c r="GF138" s="2">
        <v>675764042</v>
      </c>
      <c r="GG138" s="2">
        <v>2</v>
      </c>
      <c r="GH138" s="2">
        <v>1</v>
      </c>
      <c r="GI138" s="2">
        <v>-2</v>
      </c>
      <c r="GJ138" s="2">
        <v>0</v>
      </c>
      <c r="GK138" s="2">
        <v>0</v>
      </c>
      <c r="GL138" s="2">
        <f t="shared" si="92"/>
        <v>0</v>
      </c>
      <c r="GM138" s="2">
        <f t="shared" si="93"/>
        <v>8985.2099999999991</v>
      </c>
      <c r="GN138" s="2">
        <f t="shared" si="94"/>
        <v>8985.2099999999991</v>
      </c>
      <c r="GO138" s="2">
        <f t="shared" si="95"/>
        <v>0</v>
      </c>
      <c r="GP138" s="2">
        <f t="shared" si="96"/>
        <v>0</v>
      </c>
      <c r="GQ138" s="2"/>
      <c r="GR138" s="2">
        <v>0</v>
      </c>
      <c r="GS138" s="2">
        <v>3</v>
      </c>
      <c r="GT138" s="2">
        <v>0</v>
      </c>
      <c r="GU138" s="2" t="s">
        <v>3</v>
      </c>
      <c r="GV138" s="2">
        <f t="shared" si="97"/>
        <v>0</v>
      </c>
      <c r="GW138" s="2">
        <v>1</v>
      </c>
      <c r="GX138" s="2">
        <f t="shared" si="98"/>
        <v>0</v>
      </c>
      <c r="GY138" s="2"/>
      <c r="GZ138" s="2"/>
      <c r="HA138" s="2">
        <v>0</v>
      </c>
      <c r="HB138" s="2">
        <v>0</v>
      </c>
      <c r="HC138" s="2">
        <f t="shared" si="99"/>
        <v>0</v>
      </c>
      <c r="HD138" s="2"/>
      <c r="HE138" s="2" t="s">
        <v>3</v>
      </c>
      <c r="HF138" s="2" t="s">
        <v>3</v>
      </c>
      <c r="HG138" s="2"/>
      <c r="HH138" s="2"/>
      <c r="HI138" s="2"/>
      <c r="HJ138" s="2"/>
      <c r="HK138" s="2"/>
      <c r="HL138" s="2"/>
      <c r="HM138" s="2" t="s">
        <v>3</v>
      </c>
      <c r="HN138" s="2" t="s">
        <v>57</v>
      </c>
      <c r="HO138" s="2" t="s">
        <v>58</v>
      </c>
      <c r="HP138" s="2" t="s">
        <v>53</v>
      </c>
      <c r="HQ138" s="2" t="s">
        <v>53</v>
      </c>
      <c r="HR138" s="2"/>
      <c r="HS138" s="2">
        <v>0</v>
      </c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>
        <v>0</v>
      </c>
      <c r="IL138" s="2"/>
      <c r="IM138" s="2"/>
      <c r="IN138" s="2"/>
      <c r="IO138" s="2"/>
      <c r="IP138" s="2"/>
      <c r="IQ138" s="2"/>
      <c r="IR138" s="2"/>
      <c r="IS138" s="2"/>
      <c r="IT138" s="2"/>
      <c r="IU138" s="2"/>
    </row>
    <row r="139" spans="1:255" ht="409.5" x14ac:dyDescent="0.2">
      <c r="A139" s="2">
        <v>17</v>
      </c>
      <c r="B139" s="2">
        <v>1</v>
      </c>
      <c r="C139" s="2">
        <f>ROW(SmtRes!A135)</f>
        <v>135</v>
      </c>
      <c r="D139" s="2">
        <f>ROW(EtalonRes!A129)</f>
        <v>129</v>
      </c>
      <c r="E139" s="2" t="s">
        <v>244</v>
      </c>
      <c r="F139" s="2" t="s">
        <v>178</v>
      </c>
      <c r="G139" s="2" t="s">
        <v>179</v>
      </c>
      <c r="H139" s="2" t="s">
        <v>90</v>
      </c>
      <c r="I139" s="2">
        <v>12</v>
      </c>
      <c r="J139" s="2">
        <v>0</v>
      </c>
      <c r="K139" s="2">
        <v>12</v>
      </c>
      <c r="L139" s="2"/>
      <c r="M139" s="2"/>
      <c r="N139" s="2"/>
      <c r="O139" s="2">
        <f t="shared" si="81"/>
        <v>2313.64</v>
      </c>
      <c r="P139" s="2">
        <f>SUMIF(SmtRes!AQ131:'SmtRes'!AQ135,"=1",SmtRes!DF131:'SmtRes'!DF135)</f>
        <v>56.07</v>
      </c>
      <c r="Q139" s="2">
        <f>SUMIF(SmtRes!AQ131:'SmtRes'!AQ135,"=1",SmtRes!DG131:'SmtRes'!DG135)</f>
        <v>0</v>
      </c>
      <c r="R139" s="2">
        <f>SUMIF(SmtRes!AQ131:'SmtRes'!AQ135,"=1",SmtRes!DH131:'SmtRes'!DH135)</f>
        <v>0</v>
      </c>
      <c r="S139" s="2">
        <f>SUMIF(SmtRes!AQ131:'SmtRes'!AQ135,"=1",SmtRes!DI131:'SmtRes'!DI135)</f>
        <v>2257.5700000000002</v>
      </c>
      <c r="T139" s="2">
        <f t="shared" si="82"/>
        <v>0</v>
      </c>
      <c r="U139" s="2">
        <f>SUMIF(SmtRes!AQ131:'SmtRes'!AQ135,"=1",SmtRes!CV131:'SmtRes'!CV135)</f>
        <v>3.036</v>
      </c>
      <c r="V139" s="2">
        <f>SUMIF(SmtRes!AQ131:'SmtRes'!AQ135,"=1",SmtRes!CW131:'SmtRes'!CW135)</f>
        <v>0</v>
      </c>
      <c r="W139" s="2">
        <f t="shared" si="83"/>
        <v>0</v>
      </c>
      <c r="X139" s="2">
        <f t="shared" si="84"/>
        <v>2458.4899999999998</v>
      </c>
      <c r="Y139" s="2">
        <f t="shared" si="85"/>
        <v>1381.63</v>
      </c>
      <c r="Z139" s="2"/>
      <c r="AA139" s="2">
        <v>80308166</v>
      </c>
      <c r="AB139" s="2">
        <f t="shared" si="86"/>
        <v>191.619372</v>
      </c>
      <c r="AC139" s="2">
        <f>ROUND((SUM(SmtRes!BQ131:'SmtRes'!BQ135)),6)</f>
        <v>3.488572</v>
      </c>
      <c r="AD139" s="2">
        <f>ROUND((((0)-(0))+AE139),6)</f>
        <v>0</v>
      </c>
      <c r="AE139" s="2">
        <f>ROUND((0),6)</f>
        <v>0</v>
      </c>
      <c r="AF139" s="2">
        <f>ROUND((SUM(SmtRes!BT131:'SmtRes'!BT135)),6)</f>
        <v>188.13079999999999</v>
      </c>
      <c r="AG139" s="2">
        <f t="shared" si="87"/>
        <v>0</v>
      </c>
      <c r="AH139" s="2">
        <f>(SUM(SmtRes!BU131:'SmtRes'!BU135))</f>
        <v>0.253</v>
      </c>
      <c r="AI139" s="2">
        <f>(0)</f>
        <v>0</v>
      </c>
      <c r="AJ139" s="2">
        <f t="shared" si="88"/>
        <v>0</v>
      </c>
      <c r="AK139" s="2">
        <v>167.08057210000001</v>
      </c>
      <c r="AL139" s="2">
        <v>3.4885720999999998</v>
      </c>
      <c r="AM139" s="2">
        <v>0</v>
      </c>
      <c r="AN139" s="2">
        <v>0</v>
      </c>
      <c r="AO139" s="2">
        <v>163.59200000000001</v>
      </c>
      <c r="AP139" s="2">
        <v>0</v>
      </c>
      <c r="AQ139" s="2">
        <v>0.22</v>
      </c>
      <c r="AR139" s="2">
        <v>0</v>
      </c>
      <c r="AS139" s="2">
        <v>0</v>
      </c>
      <c r="AT139" s="2">
        <v>108.9</v>
      </c>
      <c r="AU139" s="2">
        <v>61.2</v>
      </c>
      <c r="AV139" s="2">
        <v>1</v>
      </c>
      <c r="AW139" s="2">
        <v>1</v>
      </c>
      <c r="AX139" s="2"/>
      <c r="AY139" s="2"/>
      <c r="AZ139" s="2">
        <v>1</v>
      </c>
      <c r="BA139" s="2">
        <v>1</v>
      </c>
      <c r="BB139" s="2">
        <v>1</v>
      </c>
      <c r="BC139" s="2">
        <v>1</v>
      </c>
      <c r="BD139" s="2" t="s">
        <v>3</v>
      </c>
      <c r="BE139" s="2" t="s">
        <v>3</v>
      </c>
      <c r="BF139" s="2" t="s">
        <v>3</v>
      </c>
      <c r="BG139" s="2" t="s">
        <v>3</v>
      </c>
      <c r="BH139" s="2">
        <v>0</v>
      </c>
      <c r="BI139" s="2">
        <v>1</v>
      </c>
      <c r="BJ139" s="2" t="s">
        <v>180</v>
      </c>
      <c r="BK139" s="2"/>
      <c r="BL139" s="2"/>
      <c r="BM139" s="2">
        <v>18001</v>
      </c>
      <c r="BN139" s="2">
        <v>0</v>
      </c>
      <c r="BO139" s="2" t="s">
        <v>3</v>
      </c>
      <c r="BP139" s="2">
        <v>0</v>
      </c>
      <c r="BQ139" s="2">
        <v>2</v>
      </c>
      <c r="BR139" s="2">
        <v>0</v>
      </c>
      <c r="BS139" s="2">
        <v>1</v>
      </c>
      <c r="BT139" s="2">
        <v>1</v>
      </c>
      <c r="BU139" s="2">
        <v>1</v>
      </c>
      <c r="BV139" s="2">
        <v>1</v>
      </c>
      <c r="BW139" s="2">
        <v>1</v>
      </c>
      <c r="BX139" s="2">
        <v>1</v>
      </c>
      <c r="BY139" s="2" t="s">
        <v>3</v>
      </c>
      <c r="BZ139" s="2">
        <v>121</v>
      </c>
      <c r="CA139" s="2">
        <v>72</v>
      </c>
      <c r="CB139" s="2" t="s">
        <v>3</v>
      </c>
      <c r="CC139" s="2"/>
      <c r="CD139" s="2"/>
      <c r="CE139" s="2">
        <v>0</v>
      </c>
      <c r="CF139" s="2">
        <v>0</v>
      </c>
      <c r="CG139" s="2">
        <v>0</v>
      </c>
      <c r="CH139" s="2"/>
      <c r="CI139" s="2"/>
      <c r="CJ139" s="2"/>
      <c r="CK139" s="2"/>
      <c r="CL139" s="2"/>
      <c r="CM139" s="2">
        <v>0</v>
      </c>
      <c r="CN139" s="7" t="s">
        <v>651</v>
      </c>
      <c r="CO139" s="2">
        <v>0</v>
      </c>
      <c r="CP139" s="2">
        <f t="shared" si="89"/>
        <v>2313.6400000000003</v>
      </c>
      <c r="CQ139" s="2">
        <f>SUMIF(SmtRes!AQ131:'SmtRes'!AQ135,"=1",SmtRes!AA131:'SmtRes'!AA135)</f>
        <v>73119.25</v>
      </c>
      <c r="CR139" s="2">
        <f>SUMIF(SmtRes!AQ131:'SmtRes'!AQ135,"=1",SmtRes!AB131:'SmtRes'!AB135)</f>
        <v>0</v>
      </c>
      <c r="CS139" s="2">
        <f>SUMIF(SmtRes!AQ131:'SmtRes'!AQ135,"=1",SmtRes!AC131:'SmtRes'!AC135)</f>
        <v>0</v>
      </c>
      <c r="CT139" s="2">
        <f>SUMIF(SmtRes!AQ131:'SmtRes'!AQ135,"=1",SmtRes!AD131:'SmtRes'!AD135)</f>
        <v>743.6</v>
      </c>
      <c r="CU139" s="2">
        <f t="shared" si="90"/>
        <v>0</v>
      </c>
      <c r="CV139" s="2">
        <f>SUMIF(SmtRes!AQ131:'SmtRes'!AQ135,"=1",SmtRes!BU131:'SmtRes'!BU135)</f>
        <v>0.253</v>
      </c>
      <c r="CW139" s="2">
        <f>SUMIF(SmtRes!AQ131:'SmtRes'!AQ135,"=1",SmtRes!BV131:'SmtRes'!BV135)</f>
        <v>0</v>
      </c>
      <c r="CX139" s="2">
        <f t="shared" si="91"/>
        <v>0</v>
      </c>
      <c r="CY139" s="2">
        <f>(((S139+R139)*AT139)/100)</f>
        <v>2458.4937300000001</v>
      </c>
      <c r="CZ139" s="2">
        <f>(((S139+R139)*AU139)/100)</f>
        <v>1381.6328400000002</v>
      </c>
      <c r="DA139" s="2"/>
      <c r="DB139" s="2">
        <v>12</v>
      </c>
      <c r="DC139" s="2" t="s">
        <v>3</v>
      </c>
      <c r="DD139" s="2" t="s">
        <v>3</v>
      </c>
      <c r="DE139" s="2" t="s">
        <v>48</v>
      </c>
      <c r="DF139" s="2" t="s">
        <v>48</v>
      </c>
      <c r="DG139" s="2" t="s">
        <v>49</v>
      </c>
      <c r="DH139" s="2" t="s">
        <v>3</v>
      </c>
      <c r="DI139" s="2" t="s">
        <v>49</v>
      </c>
      <c r="DJ139" s="2" t="s">
        <v>48</v>
      </c>
      <c r="DK139" s="2" t="s">
        <v>3</v>
      </c>
      <c r="DL139" s="2" t="s">
        <v>50</v>
      </c>
      <c r="DM139" s="2" t="s">
        <v>51</v>
      </c>
      <c r="DN139" s="2">
        <v>0</v>
      </c>
      <c r="DO139" s="2">
        <v>0</v>
      </c>
      <c r="DP139" s="2">
        <v>1</v>
      </c>
      <c r="DQ139" s="2">
        <v>1</v>
      </c>
      <c r="DR139" s="2"/>
      <c r="DS139" s="2"/>
      <c r="DT139" s="2"/>
      <c r="DU139" s="2">
        <v>1013</v>
      </c>
      <c r="DV139" s="2" t="s">
        <v>90</v>
      </c>
      <c r="DW139" s="2" t="s">
        <v>90</v>
      </c>
      <c r="DX139" s="2">
        <v>1</v>
      </c>
      <c r="DY139" s="2"/>
      <c r="DZ139" s="2" t="s">
        <v>3</v>
      </c>
      <c r="EA139" s="2" t="s">
        <v>3</v>
      </c>
      <c r="EB139" s="2" t="s">
        <v>3</v>
      </c>
      <c r="EC139" s="2" t="s">
        <v>3</v>
      </c>
      <c r="ED139" s="2"/>
      <c r="EE139" s="2">
        <v>77313121</v>
      </c>
      <c r="EF139" s="2">
        <v>2</v>
      </c>
      <c r="EG139" s="2" t="s">
        <v>52</v>
      </c>
      <c r="EH139" s="2">
        <v>16</v>
      </c>
      <c r="EI139" s="2" t="s">
        <v>53</v>
      </c>
      <c r="EJ139" s="2">
        <v>1</v>
      </c>
      <c r="EK139" s="2">
        <v>18001</v>
      </c>
      <c r="EL139" s="2" t="s">
        <v>160</v>
      </c>
      <c r="EM139" s="2" t="s">
        <v>161</v>
      </c>
      <c r="EN139" s="2"/>
      <c r="EO139" s="2" t="s">
        <v>56</v>
      </c>
      <c r="EP139" s="2"/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0.22</v>
      </c>
      <c r="EX139" s="2">
        <v>0</v>
      </c>
      <c r="EY139" s="2">
        <v>0</v>
      </c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>
        <v>0</v>
      </c>
      <c r="FR139" s="2">
        <v>0</v>
      </c>
      <c r="FS139" s="2">
        <v>0</v>
      </c>
      <c r="FT139" s="2"/>
      <c r="FU139" s="2"/>
      <c r="FV139" s="2"/>
      <c r="FW139" s="2"/>
      <c r="FX139" s="2">
        <v>108.9</v>
      </c>
      <c r="FY139" s="2">
        <v>61.2</v>
      </c>
      <c r="FZ139" s="2"/>
      <c r="GA139" s="2" t="s">
        <v>3</v>
      </c>
      <c r="GB139" s="2"/>
      <c r="GC139" s="2"/>
      <c r="GD139" s="2">
        <v>1</v>
      </c>
      <c r="GE139" s="2"/>
      <c r="GF139" s="2">
        <v>-422150115</v>
      </c>
      <c r="GG139" s="2">
        <v>2</v>
      </c>
      <c r="GH139" s="2">
        <v>1</v>
      </c>
      <c r="GI139" s="2">
        <v>-2</v>
      </c>
      <c r="GJ139" s="2">
        <v>0</v>
      </c>
      <c r="GK139" s="2">
        <v>0</v>
      </c>
      <c r="GL139" s="2">
        <f t="shared" si="92"/>
        <v>0</v>
      </c>
      <c r="GM139" s="2">
        <f t="shared" si="93"/>
        <v>6153.76</v>
      </c>
      <c r="GN139" s="2">
        <f t="shared" si="94"/>
        <v>6153.76</v>
      </c>
      <c r="GO139" s="2">
        <f t="shared" si="95"/>
        <v>0</v>
      </c>
      <c r="GP139" s="2">
        <f t="shared" si="96"/>
        <v>0</v>
      </c>
      <c r="GQ139" s="2"/>
      <c r="GR139" s="2">
        <v>0</v>
      </c>
      <c r="GS139" s="2">
        <v>3</v>
      </c>
      <c r="GT139" s="2">
        <v>0</v>
      </c>
      <c r="GU139" s="2" t="s">
        <v>3</v>
      </c>
      <c r="GV139" s="2">
        <f t="shared" si="97"/>
        <v>0</v>
      </c>
      <c r="GW139" s="2">
        <v>1</v>
      </c>
      <c r="GX139" s="2">
        <f t="shared" si="98"/>
        <v>0</v>
      </c>
      <c r="GY139" s="2"/>
      <c r="GZ139" s="2"/>
      <c r="HA139" s="2">
        <v>0</v>
      </c>
      <c r="HB139" s="2">
        <v>0</v>
      </c>
      <c r="HC139" s="2">
        <f t="shared" si="99"/>
        <v>0</v>
      </c>
      <c r="HD139" s="2"/>
      <c r="HE139" s="2" t="s">
        <v>3</v>
      </c>
      <c r="HF139" s="2" t="s">
        <v>3</v>
      </c>
      <c r="HG139" s="2"/>
      <c r="HH139" s="2"/>
      <c r="HI139" s="2"/>
      <c r="HJ139" s="2"/>
      <c r="HK139" s="2"/>
      <c r="HL139" s="2"/>
      <c r="HM139" s="2" t="s">
        <v>3</v>
      </c>
      <c r="HN139" s="2" t="s">
        <v>57</v>
      </c>
      <c r="HO139" s="2" t="s">
        <v>58</v>
      </c>
      <c r="HP139" s="2" t="s">
        <v>53</v>
      </c>
      <c r="HQ139" s="2" t="s">
        <v>53</v>
      </c>
      <c r="HR139" s="2"/>
      <c r="HS139" s="2">
        <v>0</v>
      </c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>
        <v>0</v>
      </c>
      <c r="IL139" s="2"/>
      <c r="IM139" s="2"/>
      <c r="IN139" s="2"/>
      <c r="IO139" s="2"/>
      <c r="IP139" s="2"/>
      <c r="IQ139" s="2"/>
      <c r="IR139" s="2"/>
      <c r="IS139" s="2"/>
      <c r="IT139" s="2"/>
      <c r="IU139" s="2"/>
    </row>
    <row r="140" spans="1:255" x14ac:dyDescent="0.2">
      <c r="A140" s="2">
        <v>18</v>
      </c>
      <c r="B140" s="2">
        <v>1</v>
      </c>
      <c r="C140" s="2">
        <v>135</v>
      </c>
      <c r="D140" s="2"/>
      <c r="E140" s="2" t="s">
        <v>245</v>
      </c>
      <c r="F140" s="2" t="s">
        <v>182</v>
      </c>
      <c r="G140" s="2" t="s">
        <v>183</v>
      </c>
      <c r="H140" s="2" t="s">
        <v>30</v>
      </c>
      <c r="I140" s="2">
        <f>I139*J140</f>
        <v>12</v>
      </c>
      <c r="J140" s="2">
        <v>1</v>
      </c>
      <c r="K140" s="2">
        <v>1</v>
      </c>
      <c r="L140" s="2"/>
      <c r="M140" s="2"/>
      <c r="N140" s="2"/>
      <c r="O140" s="2">
        <f t="shared" si="81"/>
        <v>7490.76</v>
      </c>
      <c r="P140" s="2">
        <f>ROUND(CQ140*I140,2)</f>
        <v>7490.76</v>
      </c>
      <c r="Q140" s="2">
        <f>ROUND(CR140*I140,2)</f>
        <v>0</v>
      </c>
      <c r="R140" s="2">
        <f>ROUND(CS140*I140,2)</f>
        <v>0</v>
      </c>
      <c r="S140" s="2">
        <f>ROUND(CT140*I140,2)</f>
        <v>0</v>
      </c>
      <c r="T140" s="2">
        <f t="shared" si="82"/>
        <v>0</v>
      </c>
      <c r="U140" s="2">
        <f>ROUND(CV140*I140,7)</f>
        <v>0</v>
      </c>
      <c r="V140" s="2">
        <f>ROUND(CW140*I140,7)</f>
        <v>0</v>
      </c>
      <c r="W140" s="2">
        <f t="shared" si="83"/>
        <v>0</v>
      </c>
      <c r="X140" s="2">
        <f t="shared" si="84"/>
        <v>0</v>
      </c>
      <c r="Y140" s="2">
        <f t="shared" si="85"/>
        <v>0</v>
      </c>
      <c r="Z140" s="2"/>
      <c r="AA140" s="2">
        <v>80308166</v>
      </c>
      <c r="AB140" s="2">
        <f t="shared" si="86"/>
        <v>624.23</v>
      </c>
      <c r="AC140" s="2">
        <f>ROUND((ES140),6)</f>
        <v>624.23</v>
      </c>
      <c r="AD140" s="2">
        <f>ROUND((((ET140)-(EU140))+AE140),6)</f>
        <v>0</v>
      </c>
      <c r="AE140" s="2">
        <f>ROUND((EU140),6)</f>
        <v>0</v>
      </c>
      <c r="AF140" s="2">
        <f>ROUND((EV140),6)</f>
        <v>0</v>
      </c>
      <c r="AG140" s="2">
        <f t="shared" si="87"/>
        <v>0</v>
      </c>
      <c r="AH140" s="2">
        <f>(EW140)</f>
        <v>0</v>
      </c>
      <c r="AI140" s="2">
        <f>(EX140)</f>
        <v>0</v>
      </c>
      <c r="AJ140" s="2">
        <f t="shared" si="88"/>
        <v>0</v>
      </c>
      <c r="AK140" s="2">
        <v>624.23</v>
      </c>
      <c r="AL140" s="2">
        <v>624.23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1</v>
      </c>
      <c r="AW140" s="2">
        <v>1</v>
      </c>
      <c r="AX140" s="2"/>
      <c r="AY140" s="2"/>
      <c r="AZ140" s="2">
        <v>1</v>
      </c>
      <c r="BA140" s="2">
        <v>1</v>
      </c>
      <c r="BB140" s="2">
        <v>1</v>
      </c>
      <c r="BC140" s="2">
        <v>1</v>
      </c>
      <c r="BD140" s="2" t="s">
        <v>3</v>
      </c>
      <c r="BE140" s="2" t="s">
        <v>3</v>
      </c>
      <c r="BF140" s="2" t="s">
        <v>3</v>
      </c>
      <c r="BG140" s="2" t="s">
        <v>3</v>
      </c>
      <c r="BH140" s="2">
        <v>3</v>
      </c>
      <c r="BI140" s="2">
        <v>3</v>
      </c>
      <c r="BJ140" s="2" t="s">
        <v>184</v>
      </c>
      <c r="BK140" s="2"/>
      <c r="BL140" s="2"/>
      <c r="BM140" s="2">
        <v>600001</v>
      </c>
      <c r="BN140" s="2">
        <v>0</v>
      </c>
      <c r="BO140" s="2" t="s">
        <v>3</v>
      </c>
      <c r="BP140" s="2">
        <v>0</v>
      </c>
      <c r="BQ140" s="2">
        <v>5</v>
      </c>
      <c r="BR140" s="2">
        <v>0</v>
      </c>
      <c r="BS140" s="2">
        <v>1</v>
      </c>
      <c r="BT140" s="2">
        <v>1</v>
      </c>
      <c r="BU140" s="2">
        <v>1</v>
      </c>
      <c r="BV140" s="2">
        <v>1</v>
      </c>
      <c r="BW140" s="2">
        <v>1</v>
      </c>
      <c r="BX140" s="2">
        <v>1</v>
      </c>
      <c r="BY140" s="2" t="s">
        <v>3</v>
      </c>
      <c r="BZ140" s="2">
        <v>127</v>
      </c>
      <c r="CA140" s="2">
        <v>72</v>
      </c>
      <c r="CB140" s="2" t="s">
        <v>3</v>
      </c>
      <c r="CC140" s="2"/>
      <c r="CD140" s="2"/>
      <c r="CE140" s="2">
        <v>0</v>
      </c>
      <c r="CF140" s="2">
        <v>0</v>
      </c>
      <c r="CG140" s="2">
        <v>0</v>
      </c>
      <c r="CH140" s="2"/>
      <c r="CI140" s="2"/>
      <c r="CJ140" s="2"/>
      <c r="CK140" s="2"/>
      <c r="CL140" s="2"/>
      <c r="CM140" s="2">
        <v>0</v>
      </c>
      <c r="CN140" s="2" t="s">
        <v>3</v>
      </c>
      <c r="CO140" s="2">
        <v>0</v>
      </c>
      <c r="CP140" s="2">
        <f t="shared" si="89"/>
        <v>7490.76</v>
      </c>
      <c r="CQ140" s="2">
        <f>ROUND(AL140*BC140,2)</f>
        <v>624.23</v>
      </c>
      <c r="CR140" s="2">
        <f>ROUND(AM140*BB140,2)</f>
        <v>0</v>
      </c>
      <c r="CS140" s="2">
        <f>ROUND(AN140*BS140,2)</f>
        <v>0</v>
      </c>
      <c r="CT140" s="2">
        <f>ROUND(AO140*BA140,2)</f>
        <v>0</v>
      </c>
      <c r="CU140" s="2">
        <f t="shared" si="90"/>
        <v>0</v>
      </c>
      <c r="CV140" s="2">
        <f>AH140</f>
        <v>0</v>
      </c>
      <c r="CW140" s="2">
        <f>AI140</f>
        <v>0</v>
      </c>
      <c r="CX140" s="2">
        <f t="shared" si="91"/>
        <v>0</v>
      </c>
      <c r="CY140" s="2">
        <f>0</f>
        <v>0</v>
      </c>
      <c r="CZ140" s="2">
        <f>0</f>
        <v>0</v>
      </c>
      <c r="DA140" s="2"/>
      <c r="DB140" s="2"/>
      <c r="DC140" s="2" t="s">
        <v>3</v>
      </c>
      <c r="DD140" s="2" t="s">
        <v>3</v>
      </c>
      <c r="DE140" s="2" t="s">
        <v>3</v>
      </c>
      <c r="DF140" s="2" t="s">
        <v>3</v>
      </c>
      <c r="DG140" s="2" t="s">
        <v>3</v>
      </c>
      <c r="DH140" s="2" t="s">
        <v>3</v>
      </c>
      <c r="DI140" s="2" t="s">
        <v>3</v>
      </c>
      <c r="DJ140" s="2" t="s">
        <v>3</v>
      </c>
      <c r="DK140" s="2" t="s">
        <v>3</v>
      </c>
      <c r="DL140" s="2" t="s">
        <v>3</v>
      </c>
      <c r="DM140" s="2" t="s">
        <v>3</v>
      </c>
      <c r="DN140" s="2">
        <v>0</v>
      </c>
      <c r="DO140" s="2">
        <v>0</v>
      </c>
      <c r="DP140" s="2">
        <v>1</v>
      </c>
      <c r="DQ140" s="2">
        <v>1</v>
      </c>
      <c r="DR140" s="2"/>
      <c r="DS140" s="2"/>
      <c r="DT140" s="2"/>
      <c r="DU140" s="2">
        <v>1013</v>
      </c>
      <c r="DV140" s="2" t="s">
        <v>30</v>
      </c>
      <c r="DW140" s="2" t="s">
        <v>30</v>
      </c>
      <c r="DX140" s="2">
        <v>1</v>
      </c>
      <c r="DY140" s="2"/>
      <c r="DZ140" s="2" t="s">
        <v>3</v>
      </c>
      <c r="EA140" s="2" t="s">
        <v>3</v>
      </c>
      <c r="EB140" s="2" t="s">
        <v>3</v>
      </c>
      <c r="EC140" s="2" t="s">
        <v>3</v>
      </c>
      <c r="ED140" s="2"/>
      <c r="EE140" s="2">
        <v>77313027</v>
      </c>
      <c r="EF140" s="2">
        <v>5</v>
      </c>
      <c r="EG140" s="2" t="s">
        <v>166</v>
      </c>
      <c r="EH140" s="2">
        <v>0</v>
      </c>
      <c r="EI140" s="2" t="s">
        <v>3</v>
      </c>
      <c r="EJ140" s="2">
        <v>3</v>
      </c>
      <c r="EK140" s="2">
        <v>600001</v>
      </c>
      <c r="EL140" s="2" t="s">
        <v>167</v>
      </c>
      <c r="EM140" s="2" t="s">
        <v>168</v>
      </c>
      <c r="EN140" s="2"/>
      <c r="EO140" s="2" t="s">
        <v>3</v>
      </c>
      <c r="EP140" s="2"/>
      <c r="EQ140" s="2">
        <v>0</v>
      </c>
      <c r="ER140" s="2">
        <v>624.23</v>
      </c>
      <c r="ES140" s="2">
        <v>624.23</v>
      </c>
      <c r="ET140" s="2">
        <v>0</v>
      </c>
      <c r="EU140" s="2">
        <v>0</v>
      </c>
      <c r="EV140" s="2">
        <v>0</v>
      </c>
      <c r="EW140" s="2">
        <v>0</v>
      </c>
      <c r="EX140" s="2">
        <v>0</v>
      </c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>
        <v>0</v>
      </c>
      <c r="FR140" s="2">
        <f>P140</f>
        <v>7490.76</v>
      </c>
      <c r="FS140" s="2">
        <v>0</v>
      </c>
      <c r="FT140" s="2"/>
      <c r="FU140" s="2"/>
      <c r="FV140" s="2"/>
      <c r="FW140" s="2"/>
      <c r="FX140" s="2">
        <v>127</v>
      </c>
      <c r="FY140" s="2">
        <v>72</v>
      </c>
      <c r="FZ140" s="2"/>
      <c r="GA140" s="2" t="s">
        <v>3</v>
      </c>
      <c r="GB140" s="2"/>
      <c r="GC140" s="2"/>
      <c r="GD140" s="2">
        <v>1</v>
      </c>
      <c r="GE140" s="2"/>
      <c r="GF140" s="2">
        <v>-1960629749</v>
      </c>
      <c r="GG140" s="2">
        <v>2</v>
      </c>
      <c r="GH140" s="2">
        <v>1</v>
      </c>
      <c r="GI140" s="2">
        <v>2</v>
      </c>
      <c r="GJ140" s="2">
        <v>0</v>
      </c>
      <c r="GK140" s="2">
        <v>0</v>
      </c>
      <c r="GL140" s="2">
        <f t="shared" si="92"/>
        <v>0</v>
      </c>
      <c r="GM140" s="2">
        <f t="shared" si="93"/>
        <v>7490.76</v>
      </c>
      <c r="GN140" s="2">
        <f t="shared" si="94"/>
        <v>0</v>
      </c>
      <c r="GO140" s="2">
        <f t="shared" si="95"/>
        <v>0</v>
      </c>
      <c r="GP140" s="2">
        <f t="shared" si="96"/>
        <v>0</v>
      </c>
      <c r="GQ140" s="2"/>
      <c r="GR140" s="2">
        <v>0</v>
      </c>
      <c r="GS140" s="2">
        <v>3</v>
      </c>
      <c r="GT140" s="2">
        <v>0</v>
      </c>
      <c r="GU140" s="2" t="s">
        <v>3</v>
      </c>
      <c r="GV140" s="2">
        <f t="shared" si="97"/>
        <v>0</v>
      </c>
      <c r="GW140" s="2">
        <v>1</v>
      </c>
      <c r="GX140" s="2">
        <f t="shared" si="98"/>
        <v>0</v>
      </c>
      <c r="GY140" s="2"/>
      <c r="GZ140" s="2"/>
      <c r="HA140" s="2">
        <v>0</v>
      </c>
      <c r="HB140" s="2">
        <v>0</v>
      </c>
      <c r="HC140" s="2">
        <f t="shared" si="99"/>
        <v>0</v>
      </c>
      <c r="HD140" s="2"/>
      <c r="HE140" s="2" t="s">
        <v>3</v>
      </c>
      <c r="HF140" s="2" t="s">
        <v>3</v>
      </c>
      <c r="HG140" s="2"/>
      <c r="HH140" s="2"/>
      <c r="HI140" s="2"/>
      <c r="HJ140" s="2"/>
      <c r="HK140" s="2"/>
      <c r="HL140" s="2"/>
      <c r="HM140" s="2" t="s">
        <v>3</v>
      </c>
      <c r="HN140" s="2" t="s">
        <v>3</v>
      </c>
      <c r="HO140" s="2" t="s">
        <v>3</v>
      </c>
      <c r="HP140" s="2" t="s">
        <v>3</v>
      </c>
      <c r="HQ140" s="2" t="s">
        <v>3</v>
      </c>
      <c r="HR140" s="2"/>
      <c r="HS140" s="2">
        <v>0</v>
      </c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>
        <v>0</v>
      </c>
      <c r="IL140" s="2"/>
      <c r="IM140" s="2"/>
      <c r="IN140" s="2"/>
      <c r="IO140" s="2"/>
      <c r="IP140" s="2"/>
      <c r="IQ140" s="2"/>
      <c r="IR140" s="2"/>
      <c r="IS140" s="2"/>
      <c r="IT140" s="2"/>
      <c r="IU140" s="2"/>
    </row>
    <row r="141" spans="1:255" x14ac:dyDescent="0.2">
      <c r="A141" s="2">
        <v>17</v>
      </c>
      <c r="B141" s="2">
        <v>1</v>
      </c>
      <c r="C141" s="2">
        <f>ROW(SmtRes!A150)</f>
        <v>150</v>
      </c>
      <c r="D141" s="2">
        <f>ROW(EtalonRes!A145)</f>
        <v>145</v>
      </c>
      <c r="E141" s="2" t="s">
        <v>246</v>
      </c>
      <c r="F141" s="2" t="s">
        <v>247</v>
      </c>
      <c r="G141" s="2" t="s">
        <v>248</v>
      </c>
      <c r="H141" s="2" t="s">
        <v>95</v>
      </c>
      <c r="I141" s="2">
        <f>ROUND(12/100,7)</f>
        <v>0.12</v>
      </c>
      <c r="J141" s="2">
        <v>0</v>
      </c>
      <c r="K141" s="2">
        <f>ROUND(12/100,7)</f>
        <v>0.12</v>
      </c>
      <c r="L141" s="2"/>
      <c r="M141" s="2"/>
      <c r="N141" s="2"/>
      <c r="O141" s="2">
        <f t="shared" si="81"/>
        <v>10646.44</v>
      </c>
      <c r="P141" s="2">
        <f>SUMIF(SmtRes!AQ136:'SmtRes'!AQ150,"=1",SmtRes!DF136:'SmtRes'!DF150)</f>
        <v>55.9</v>
      </c>
      <c r="Q141" s="2">
        <f>SUMIF(SmtRes!AQ136:'SmtRes'!AQ150,"=1",SmtRes!DG136:'SmtRes'!DG150)</f>
        <v>37.36</v>
      </c>
      <c r="R141" s="2">
        <f>SUMIF(SmtRes!AQ136:'SmtRes'!AQ150,"=1",SmtRes!DH136:'SmtRes'!DH150)</f>
        <v>34.36</v>
      </c>
      <c r="S141" s="2">
        <f>SUMIF(SmtRes!AQ136:'SmtRes'!AQ150,"=1",SmtRes!DI136:'SmtRes'!DI150)</f>
        <v>10518.82</v>
      </c>
      <c r="T141" s="2">
        <f t="shared" si="82"/>
        <v>0</v>
      </c>
      <c r="U141" s="2">
        <f>SUMIF(SmtRes!AQ136:'SmtRes'!AQ150,"=1",SmtRes!CV136:'SmtRes'!CV150)</f>
        <v>14.568</v>
      </c>
      <c r="V141" s="2">
        <f>SUMIF(SmtRes!AQ136:'SmtRes'!AQ150,"=1",SmtRes!CW136:'SmtRes'!CW150)</f>
        <v>5.04E-2</v>
      </c>
      <c r="W141" s="2">
        <f t="shared" si="83"/>
        <v>0</v>
      </c>
      <c r="X141" s="2">
        <f t="shared" si="84"/>
        <v>10869.78</v>
      </c>
      <c r="Y141" s="2">
        <f t="shared" si="85"/>
        <v>5487.65</v>
      </c>
      <c r="Z141" s="2"/>
      <c r="AA141" s="2">
        <v>80308166</v>
      </c>
      <c r="AB141" s="2">
        <f t="shared" si="86"/>
        <v>88450.515912999996</v>
      </c>
      <c r="AC141" s="2">
        <f>ROUND((SUM(SmtRes!BQ136:'SmtRes'!BQ150)),6)</f>
        <v>489.61251299999998</v>
      </c>
      <c r="AD141" s="2">
        <f>ROUND((((SUM(SmtRes!BR136:'SmtRes'!BR150))-(SUM(SmtRes!BS136:'SmtRes'!BS150)))+AE141),6)</f>
        <v>304.03339999999997</v>
      </c>
      <c r="AE141" s="2">
        <f>ROUND((SUM(SmtRes!BS136:'SmtRes'!BS150)),6)</f>
        <v>286.2867</v>
      </c>
      <c r="AF141" s="2">
        <f>ROUND((SUM(SmtRes!BT136:'SmtRes'!BT150)),6)</f>
        <v>87656.87</v>
      </c>
      <c r="AG141" s="2">
        <f t="shared" si="87"/>
        <v>0</v>
      </c>
      <c r="AH141" s="2">
        <f>(SUM(SmtRes!BU136:'SmtRes'!BU150))</f>
        <v>121.4</v>
      </c>
      <c r="AI141" s="2">
        <f>(SUM(SmtRes!BV136:'SmtRes'!BV150))</f>
        <v>0.42</v>
      </c>
      <c r="AJ141" s="2">
        <f t="shared" si="88"/>
        <v>0</v>
      </c>
      <c r="AK141" s="2">
        <v>88736.802612499989</v>
      </c>
      <c r="AL141" s="2">
        <v>489.61251249999992</v>
      </c>
      <c r="AM141" s="2">
        <v>304.03339999999997</v>
      </c>
      <c r="AN141" s="2">
        <v>286.2867</v>
      </c>
      <c r="AO141" s="2">
        <v>87656.87</v>
      </c>
      <c r="AP141" s="2">
        <v>0</v>
      </c>
      <c r="AQ141" s="2">
        <v>121.4</v>
      </c>
      <c r="AR141" s="2">
        <v>0.42</v>
      </c>
      <c r="AS141" s="2">
        <v>0</v>
      </c>
      <c r="AT141" s="2">
        <v>103</v>
      </c>
      <c r="AU141" s="2">
        <v>52</v>
      </c>
      <c r="AV141" s="2">
        <v>1</v>
      </c>
      <c r="AW141" s="2">
        <v>1</v>
      </c>
      <c r="AX141" s="2"/>
      <c r="AY141" s="2"/>
      <c r="AZ141" s="2">
        <v>1</v>
      </c>
      <c r="BA141" s="2">
        <v>1</v>
      </c>
      <c r="BB141" s="2">
        <v>1</v>
      </c>
      <c r="BC141" s="2">
        <v>1</v>
      </c>
      <c r="BD141" s="2" t="s">
        <v>3</v>
      </c>
      <c r="BE141" s="2" t="s">
        <v>3</v>
      </c>
      <c r="BF141" s="2" t="s">
        <v>3</v>
      </c>
      <c r="BG141" s="2" t="s">
        <v>3</v>
      </c>
      <c r="BH141" s="2">
        <v>0</v>
      </c>
      <c r="BI141" s="2">
        <v>1</v>
      </c>
      <c r="BJ141" s="2" t="s">
        <v>249</v>
      </c>
      <c r="BK141" s="2"/>
      <c r="BL141" s="2"/>
      <c r="BM141" s="2">
        <v>65007</v>
      </c>
      <c r="BN141" s="2">
        <v>0</v>
      </c>
      <c r="BO141" s="2" t="s">
        <v>3</v>
      </c>
      <c r="BP141" s="2">
        <v>0</v>
      </c>
      <c r="BQ141" s="2">
        <v>6</v>
      </c>
      <c r="BR141" s="2">
        <v>0</v>
      </c>
      <c r="BS141" s="2">
        <v>1</v>
      </c>
      <c r="BT141" s="2">
        <v>1</v>
      </c>
      <c r="BU141" s="2">
        <v>1</v>
      </c>
      <c r="BV141" s="2">
        <v>1</v>
      </c>
      <c r="BW141" s="2">
        <v>1</v>
      </c>
      <c r="BX141" s="2">
        <v>1</v>
      </c>
      <c r="BY141" s="2" t="s">
        <v>3</v>
      </c>
      <c r="BZ141" s="2">
        <v>103</v>
      </c>
      <c r="CA141" s="2">
        <v>52</v>
      </c>
      <c r="CB141" s="2" t="s">
        <v>3</v>
      </c>
      <c r="CC141" s="2"/>
      <c r="CD141" s="2"/>
      <c r="CE141" s="2">
        <v>0</v>
      </c>
      <c r="CF141" s="2">
        <v>0</v>
      </c>
      <c r="CG141" s="2">
        <v>0</v>
      </c>
      <c r="CH141" s="2"/>
      <c r="CI141" s="2"/>
      <c r="CJ141" s="2"/>
      <c r="CK141" s="2"/>
      <c r="CL141" s="2"/>
      <c r="CM141" s="2">
        <v>0</v>
      </c>
      <c r="CN141" s="2" t="s">
        <v>3</v>
      </c>
      <c r="CO141" s="2">
        <v>0</v>
      </c>
      <c r="CP141" s="2">
        <f t="shared" si="89"/>
        <v>10646.44</v>
      </c>
      <c r="CQ141" s="2">
        <f>SUMIF(SmtRes!AQ136:'SmtRes'!AQ150,"=1",SmtRes!AA136:'SmtRes'!AA150)</f>
        <v>182805.53</v>
      </c>
      <c r="CR141" s="2">
        <f>SUMIF(SmtRes!AQ136:'SmtRes'!AQ150,"=1",SmtRes!AB136:'SmtRes'!AB150)</f>
        <v>738.37</v>
      </c>
      <c r="CS141" s="2">
        <f>SUMIF(SmtRes!AQ136:'SmtRes'!AQ150,"=1",SmtRes!AC136:'SmtRes'!AC150)</f>
        <v>1363.27</v>
      </c>
      <c r="CT141" s="2">
        <f>SUMIF(SmtRes!AQ136:'SmtRes'!AQ150,"=1",SmtRes!AD136:'SmtRes'!AD150)</f>
        <v>722.05</v>
      </c>
      <c r="CU141" s="2">
        <f t="shared" si="90"/>
        <v>0</v>
      </c>
      <c r="CV141" s="2">
        <f>SUMIF(SmtRes!AQ136:'SmtRes'!AQ150,"=1",SmtRes!BU136:'SmtRes'!BU150)</f>
        <v>121.4</v>
      </c>
      <c r="CW141" s="2">
        <f>SUMIF(SmtRes!AQ136:'SmtRes'!AQ150,"=1",SmtRes!BV136:'SmtRes'!BV150)</f>
        <v>0.42</v>
      </c>
      <c r="CX141" s="2">
        <f t="shared" si="91"/>
        <v>0</v>
      </c>
      <c r="CY141" s="2">
        <f t="shared" ref="CY141:CY154" si="100">(((S141+R141)*AT141)/100)</f>
        <v>10869.7754</v>
      </c>
      <c r="CZ141" s="2">
        <f t="shared" ref="CZ141:CZ154" si="101">(((S141+R141)*AU141)/100)</f>
        <v>5487.6535999999996</v>
      </c>
      <c r="DA141" s="2"/>
      <c r="DB141" s="2"/>
      <c r="DC141" s="2" t="s">
        <v>3</v>
      </c>
      <c r="DD141" s="2" t="s">
        <v>3</v>
      </c>
      <c r="DE141" s="2" t="s">
        <v>3</v>
      </c>
      <c r="DF141" s="2" t="s">
        <v>3</v>
      </c>
      <c r="DG141" s="2" t="s">
        <v>3</v>
      </c>
      <c r="DH141" s="2" t="s">
        <v>3</v>
      </c>
      <c r="DI141" s="2" t="s">
        <v>3</v>
      </c>
      <c r="DJ141" s="2" t="s">
        <v>3</v>
      </c>
      <c r="DK141" s="2" t="s">
        <v>3</v>
      </c>
      <c r="DL141" s="2" t="s">
        <v>3</v>
      </c>
      <c r="DM141" s="2" t="s">
        <v>3</v>
      </c>
      <c r="DN141" s="2">
        <v>0</v>
      </c>
      <c r="DO141" s="2">
        <v>0</v>
      </c>
      <c r="DP141" s="2">
        <v>1</v>
      </c>
      <c r="DQ141" s="2">
        <v>1</v>
      </c>
      <c r="DR141" s="2"/>
      <c r="DS141" s="2"/>
      <c r="DT141" s="2"/>
      <c r="DU141" s="2">
        <v>1003</v>
      </c>
      <c r="DV141" s="2" t="s">
        <v>95</v>
      </c>
      <c r="DW141" s="2" t="s">
        <v>95</v>
      </c>
      <c r="DX141" s="2">
        <v>100</v>
      </c>
      <c r="DY141" s="2"/>
      <c r="DZ141" s="2" t="s">
        <v>3</v>
      </c>
      <c r="EA141" s="2" t="s">
        <v>3</v>
      </c>
      <c r="EB141" s="2" t="s">
        <v>3</v>
      </c>
      <c r="EC141" s="2" t="s">
        <v>3</v>
      </c>
      <c r="ED141" s="2"/>
      <c r="EE141" s="2">
        <v>77313190</v>
      </c>
      <c r="EF141" s="2">
        <v>6</v>
      </c>
      <c r="EG141" s="2" t="s">
        <v>21</v>
      </c>
      <c r="EH141" s="2">
        <v>99</v>
      </c>
      <c r="EI141" s="2" t="s">
        <v>22</v>
      </c>
      <c r="EJ141" s="2">
        <v>1</v>
      </c>
      <c r="EK141" s="2">
        <v>65007</v>
      </c>
      <c r="EL141" s="2" t="s">
        <v>23</v>
      </c>
      <c r="EM141" s="2" t="s">
        <v>24</v>
      </c>
      <c r="EN141" s="2"/>
      <c r="EO141" s="2" t="s">
        <v>3</v>
      </c>
      <c r="EP141" s="2"/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121.4</v>
      </c>
      <c r="EX141" s="2">
        <v>0.42</v>
      </c>
      <c r="EY141" s="2">
        <v>0</v>
      </c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>
        <v>0</v>
      </c>
      <c r="FR141" s="2">
        <v>0</v>
      </c>
      <c r="FS141" s="2">
        <v>0</v>
      </c>
      <c r="FT141" s="2"/>
      <c r="FU141" s="2"/>
      <c r="FV141" s="2"/>
      <c r="FW141" s="2"/>
      <c r="FX141" s="2">
        <v>103</v>
      </c>
      <c r="FY141" s="2">
        <v>52</v>
      </c>
      <c r="FZ141" s="2"/>
      <c r="GA141" s="2" t="s">
        <v>3</v>
      </c>
      <c r="GB141" s="2"/>
      <c r="GC141" s="2"/>
      <c r="GD141" s="2">
        <v>1</v>
      </c>
      <c r="GE141" s="2"/>
      <c r="GF141" s="2">
        <v>1456425051</v>
      </c>
      <c r="GG141" s="2">
        <v>2</v>
      </c>
      <c r="GH141" s="2">
        <v>1</v>
      </c>
      <c r="GI141" s="2">
        <v>-2</v>
      </c>
      <c r="GJ141" s="2">
        <v>0</v>
      </c>
      <c r="GK141" s="2">
        <v>0</v>
      </c>
      <c r="GL141" s="2">
        <f t="shared" si="92"/>
        <v>0</v>
      </c>
      <c r="GM141" s="2">
        <f t="shared" si="93"/>
        <v>27003.87</v>
      </c>
      <c r="GN141" s="2">
        <f t="shared" si="94"/>
        <v>27003.87</v>
      </c>
      <c r="GO141" s="2">
        <f t="shared" si="95"/>
        <v>0</v>
      </c>
      <c r="GP141" s="2">
        <f t="shared" si="96"/>
        <v>0</v>
      </c>
      <c r="GQ141" s="2"/>
      <c r="GR141" s="2">
        <v>0</v>
      </c>
      <c r="GS141" s="2">
        <v>3</v>
      </c>
      <c r="GT141" s="2">
        <v>0</v>
      </c>
      <c r="GU141" s="2" t="s">
        <v>3</v>
      </c>
      <c r="GV141" s="2">
        <f t="shared" si="97"/>
        <v>0</v>
      </c>
      <c r="GW141" s="2">
        <v>1</v>
      </c>
      <c r="GX141" s="2">
        <f t="shared" si="98"/>
        <v>0</v>
      </c>
      <c r="GY141" s="2"/>
      <c r="GZ141" s="2"/>
      <c r="HA141" s="2">
        <v>0</v>
      </c>
      <c r="HB141" s="2">
        <v>0</v>
      </c>
      <c r="HC141" s="2">
        <f t="shared" si="99"/>
        <v>0</v>
      </c>
      <c r="HD141" s="2"/>
      <c r="HE141" s="2" t="s">
        <v>3</v>
      </c>
      <c r="HF141" s="2" t="s">
        <v>3</v>
      </c>
      <c r="HG141" s="2"/>
      <c r="HH141" s="2"/>
      <c r="HI141" s="2"/>
      <c r="HJ141" s="2"/>
      <c r="HK141" s="2"/>
      <c r="HL141" s="2"/>
      <c r="HM141" s="2" t="s">
        <v>3</v>
      </c>
      <c r="HN141" s="2" t="s">
        <v>25</v>
      </c>
      <c r="HO141" s="2" t="s">
        <v>26</v>
      </c>
      <c r="HP141" s="2" t="s">
        <v>23</v>
      </c>
      <c r="HQ141" s="2" t="s">
        <v>23</v>
      </c>
      <c r="HR141" s="2"/>
      <c r="HS141" s="2">
        <v>0</v>
      </c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>
        <v>0</v>
      </c>
      <c r="IL141" s="2"/>
      <c r="IM141" s="2"/>
      <c r="IN141" s="2"/>
      <c r="IO141" s="2"/>
      <c r="IP141" s="2"/>
      <c r="IQ141" s="2"/>
      <c r="IR141" s="2"/>
      <c r="IS141" s="2"/>
      <c r="IT141" s="2"/>
      <c r="IU141" s="2"/>
    </row>
    <row r="142" spans="1:255" x14ac:dyDescent="0.2">
      <c r="A142" s="2">
        <v>18</v>
      </c>
      <c r="B142" s="2">
        <v>1</v>
      </c>
      <c r="C142" s="2">
        <v>149</v>
      </c>
      <c r="D142" s="2"/>
      <c r="E142" s="2" t="s">
        <v>250</v>
      </c>
      <c r="F142" s="2" t="s">
        <v>251</v>
      </c>
      <c r="G142" s="2" t="s">
        <v>252</v>
      </c>
      <c r="H142" s="2" t="s">
        <v>253</v>
      </c>
      <c r="I142" s="2">
        <f>I141*J142</f>
        <v>12</v>
      </c>
      <c r="J142" s="2">
        <v>100</v>
      </c>
      <c r="K142" s="2">
        <v>100</v>
      </c>
      <c r="L142" s="2"/>
      <c r="M142" s="2"/>
      <c r="N142" s="2"/>
      <c r="O142" s="2">
        <f t="shared" si="81"/>
        <v>2285.7600000000002</v>
      </c>
      <c r="P142" s="2">
        <f>ROUND(CQ142*I142,2)</f>
        <v>2285.7600000000002</v>
      </c>
      <c r="Q142" s="2">
        <f>ROUND(CR142*I142,2)</f>
        <v>0</v>
      </c>
      <c r="R142" s="2">
        <f>ROUND(CS142*I142,2)</f>
        <v>0</v>
      </c>
      <c r="S142" s="2">
        <f>ROUND(CT142*I142,2)</f>
        <v>0</v>
      </c>
      <c r="T142" s="2">
        <f t="shared" si="82"/>
        <v>0</v>
      </c>
      <c r="U142" s="2">
        <f>ROUND(CV142*I142,7)</f>
        <v>0</v>
      </c>
      <c r="V142" s="2">
        <f>ROUND(CW142*I142,7)</f>
        <v>0</v>
      </c>
      <c r="W142" s="2">
        <f t="shared" si="83"/>
        <v>0</v>
      </c>
      <c r="X142" s="2">
        <f t="shared" si="84"/>
        <v>0</v>
      </c>
      <c r="Y142" s="2">
        <f t="shared" si="85"/>
        <v>0</v>
      </c>
      <c r="Z142" s="2"/>
      <c r="AA142" s="2">
        <v>80308166</v>
      </c>
      <c r="AB142" s="2">
        <f t="shared" si="86"/>
        <v>238.1</v>
      </c>
      <c r="AC142" s="2">
        <f>ROUND((ES142),6)</f>
        <v>238.1</v>
      </c>
      <c r="AD142" s="2">
        <f>ROUND((((ET142)-(EU142))+AE142),6)</f>
        <v>0</v>
      </c>
      <c r="AE142" s="2">
        <f>ROUND((EU142),6)</f>
        <v>0</v>
      </c>
      <c r="AF142" s="2">
        <f>ROUND((EV142),6)</f>
        <v>0</v>
      </c>
      <c r="AG142" s="2">
        <f t="shared" si="87"/>
        <v>0</v>
      </c>
      <c r="AH142" s="2">
        <f>(EW142)</f>
        <v>0</v>
      </c>
      <c r="AI142" s="2">
        <f>(EX142)</f>
        <v>0</v>
      </c>
      <c r="AJ142" s="2">
        <f t="shared" si="88"/>
        <v>0</v>
      </c>
      <c r="AK142" s="2">
        <v>238.1</v>
      </c>
      <c r="AL142" s="2">
        <v>238.1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103</v>
      </c>
      <c r="AU142" s="2">
        <v>52</v>
      </c>
      <c r="AV142" s="2">
        <v>1</v>
      </c>
      <c r="AW142" s="2">
        <v>1</v>
      </c>
      <c r="AX142" s="2"/>
      <c r="AY142" s="2"/>
      <c r="AZ142" s="2">
        <v>1</v>
      </c>
      <c r="BA142" s="2">
        <v>1</v>
      </c>
      <c r="BB142" s="2">
        <v>1</v>
      </c>
      <c r="BC142" s="2">
        <v>0.8</v>
      </c>
      <c r="BD142" s="2" t="s">
        <v>3</v>
      </c>
      <c r="BE142" s="2" t="s">
        <v>3</v>
      </c>
      <c r="BF142" s="2" t="s">
        <v>3</v>
      </c>
      <c r="BG142" s="2" t="s">
        <v>3</v>
      </c>
      <c r="BH142" s="2">
        <v>3</v>
      </c>
      <c r="BI142" s="2">
        <v>1</v>
      </c>
      <c r="BJ142" s="2" t="s">
        <v>254</v>
      </c>
      <c r="BK142" s="2"/>
      <c r="BL142" s="2"/>
      <c r="BM142" s="2">
        <v>65007</v>
      </c>
      <c r="BN142" s="2">
        <v>0</v>
      </c>
      <c r="BO142" s="2" t="s">
        <v>251</v>
      </c>
      <c r="BP142" s="2">
        <v>1</v>
      </c>
      <c r="BQ142" s="2">
        <v>6</v>
      </c>
      <c r="BR142" s="2">
        <v>0</v>
      </c>
      <c r="BS142" s="2">
        <v>1</v>
      </c>
      <c r="BT142" s="2">
        <v>1</v>
      </c>
      <c r="BU142" s="2">
        <v>1</v>
      </c>
      <c r="BV142" s="2">
        <v>1</v>
      </c>
      <c r="BW142" s="2">
        <v>1</v>
      </c>
      <c r="BX142" s="2">
        <v>1</v>
      </c>
      <c r="BY142" s="2" t="s">
        <v>3</v>
      </c>
      <c r="BZ142" s="2">
        <v>103</v>
      </c>
      <c r="CA142" s="2">
        <v>52</v>
      </c>
      <c r="CB142" s="2" t="s">
        <v>3</v>
      </c>
      <c r="CC142" s="2"/>
      <c r="CD142" s="2"/>
      <c r="CE142" s="2">
        <v>0</v>
      </c>
      <c r="CF142" s="2">
        <v>0</v>
      </c>
      <c r="CG142" s="2">
        <v>0</v>
      </c>
      <c r="CH142" s="2"/>
      <c r="CI142" s="2"/>
      <c r="CJ142" s="2"/>
      <c r="CK142" s="2"/>
      <c r="CL142" s="2"/>
      <c r="CM142" s="2">
        <v>0</v>
      </c>
      <c r="CN142" s="2" t="s">
        <v>3</v>
      </c>
      <c r="CO142" s="2">
        <v>0</v>
      </c>
      <c r="CP142" s="2">
        <f t="shared" si="89"/>
        <v>2285.7600000000002</v>
      </c>
      <c r="CQ142" s="2">
        <f>ROUND(AL142*BC142,2)</f>
        <v>190.48</v>
      </c>
      <c r="CR142" s="2">
        <f>ROUND(AM142*BB142,2)</f>
        <v>0</v>
      </c>
      <c r="CS142" s="2">
        <f>ROUND(AN142*BS142,2)</f>
        <v>0</v>
      </c>
      <c r="CT142" s="2">
        <f>ROUND(AO142*BA142,2)</f>
        <v>0</v>
      </c>
      <c r="CU142" s="2">
        <f t="shared" si="90"/>
        <v>0</v>
      </c>
      <c r="CV142" s="2">
        <f>AH142</f>
        <v>0</v>
      </c>
      <c r="CW142" s="2">
        <f>AI142</f>
        <v>0</v>
      </c>
      <c r="CX142" s="2">
        <f t="shared" si="91"/>
        <v>0</v>
      </c>
      <c r="CY142" s="2">
        <f t="shared" si="100"/>
        <v>0</v>
      </c>
      <c r="CZ142" s="2">
        <f t="shared" si="101"/>
        <v>0</v>
      </c>
      <c r="DA142" s="2"/>
      <c r="DB142" s="2"/>
      <c r="DC142" s="2" t="s">
        <v>3</v>
      </c>
      <c r="DD142" s="2" t="s">
        <v>3</v>
      </c>
      <c r="DE142" s="2" t="s">
        <v>3</v>
      </c>
      <c r="DF142" s="2" t="s">
        <v>3</v>
      </c>
      <c r="DG142" s="2" t="s">
        <v>3</v>
      </c>
      <c r="DH142" s="2" t="s">
        <v>3</v>
      </c>
      <c r="DI142" s="2" t="s">
        <v>3</v>
      </c>
      <c r="DJ142" s="2" t="s">
        <v>3</v>
      </c>
      <c r="DK142" s="2" t="s">
        <v>3</v>
      </c>
      <c r="DL142" s="2" t="s">
        <v>3</v>
      </c>
      <c r="DM142" s="2" t="s">
        <v>3</v>
      </c>
      <c r="DN142" s="2">
        <v>0</v>
      </c>
      <c r="DO142" s="2">
        <v>0</v>
      </c>
      <c r="DP142" s="2">
        <v>1</v>
      </c>
      <c r="DQ142" s="2">
        <v>1</v>
      </c>
      <c r="DR142" s="2"/>
      <c r="DS142" s="2"/>
      <c r="DT142" s="2"/>
      <c r="DU142" s="2">
        <v>1003</v>
      </c>
      <c r="DV142" s="2" t="s">
        <v>253</v>
      </c>
      <c r="DW142" s="2" t="s">
        <v>253</v>
      </c>
      <c r="DX142" s="2">
        <v>1</v>
      </c>
      <c r="DY142" s="2"/>
      <c r="DZ142" s="2" t="s">
        <v>3</v>
      </c>
      <c r="EA142" s="2" t="s">
        <v>3</v>
      </c>
      <c r="EB142" s="2" t="s">
        <v>3</v>
      </c>
      <c r="EC142" s="2" t="s">
        <v>3</v>
      </c>
      <c r="ED142" s="2"/>
      <c r="EE142" s="2">
        <v>77313190</v>
      </c>
      <c r="EF142" s="2">
        <v>6</v>
      </c>
      <c r="EG142" s="2" t="s">
        <v>21</v>
      </c>
      <c r="EH142" s="2">
        <v>99</v>
      </c>
      <c r="EI142" s="2" t="s">
        <v>22</v>
      </c>
      <c r="EJ142" s="2">
        <v>1</v>
      </c>
      <c r="EK142" s="2">
        <v>65007</v>
      </c>
      <c r="EL142" s="2" t="s">
        <v>23</v>
      </c>
      <c r="EM142" s="2" t="s">
        <v>24</v>
      </c>
      <c r="EN142" s="2"/>
      <c r="EO142" s="2" t="s">
        <v>3</v>
      </c>
      <c r="EP142" s="2"/>
      <c r="EQ142" s="2">
        <v>0</v>
      </c>
      <c r="ER142" s="2">
        <v>238.1</v>
      </c>
      <c r="ES142" s="2">
        <v>238.1</v>
      </c>
      <c r="ET142" s="2">
        <v>0</v>
      </c>
      <c r="EU142" s="2">
        <v>0</v>
      </c>
      <c r="EV142" s="2">
        <v>0</v>
      </c>
      <c r="EW142" s="2">
        <v>0</v>
      </c>
      <c r="EX142" s="2">
        <v>0</v>
      </c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>
        <v>0</v>
      </c>
      <c r="FR142" s="2">
        <v>0</v>
      </c>
      <c r="FS142" s="2">
        <v>0</v>
      </c>
      <c r="FT142" s="2"/>
      <c r="FU142" s="2"/>
      <c r="FV142" s="2"/>
      <c r="FW142" s="2"/>
      <c r="FX142" s="2">
        <v>103</v>
      </c>
      <c r="FY142" s="2">
        <v>52</v>
      </c>
      <c r="FZ142" s="2"/>
      <c r="GA142" s="2" t="s">
        <v>3</v>
      </c>
      <c r="GB142" s="2"/>
      <c r="GC142" s="2"/>
      <c r="GD142" s="2">
        <v>1</v>
      </c>
      <c r="GE142" s="2"/>
      <c r="GF142" s="2">
        <v>-660025337</v>
      </c>
      <c r="GG142" s="2">
        <v>2</v>
      </c>
      <c r="GH142" s="2">
        <v>1</v>
      </c>
      <c r="GI142" s="2">
        <v>2</v>
      </c>
      <c r="GJ142" s="2">
        <v>0</v>
      </c>
      <c r="GK142" s="2">
        <v>0</v>
      </c>
      <c r="GL142" s="2">
        <f t="shared" si="92"/>
        <v>0</v>
      </c>
      <c r="GM142" s="2">
        <f t="shared" si="93"/>
        <v>2285.7600000000002</v>
      </c>
      <c r="GN142" s="2">
        <f t="shared" si="94"/>
        <v>2285.7600000000002</v>
      </c>
      <c r="GO142" s="2">
        <f t="shared" si="95"/>
        <v>0</v>
      </c>
      <c r="GP142" s="2">
        <f t="shared" si="96"/>
        <v>0</v>
      </c>
      <c r="GQ142" s="2"/>
      <c r="GR142" s="2">
        <v>0</v>
      </c>
      <c r="GS142" s="2">
        <v>3</v>
      </c>
      <c r="GT142" s="2">
        <v>0</v>
      </c>
      <c r="GU142" s="2" t="s">
        <v>3</v>
      </c>
      <c r="GV142" s="2">
        <f t="shared" si="97"/>
        <v>0</v>
      </c>
      <c r="GW142" s="2">
        <v>1</v>
      </c>
      <c r="GX142" s="2">
        <f t="shared" si="98"/>
        <v>0</v>
      </c>
      <c r="GY142" s="2"/>
      <c r="GZ142" s="2"/>
      <c r="HA142" s="2">
        <v>0</v>
      </c>
      <c r="HB142" s="2">
        <v>0</v>
      </c>
      <c r="HC142" s="2">
        <f t="shared" si="99"/>
        <v>0</v>
      </c>
      <c r="HD142" s="2"/>
      <c r="HE142" s="2" t="s">
        <v>3</v>
      </c>
      <c r="HF142" s="2" t="s">
        <v>3</v>
      </c>
      <c r="HG142" s="2"/>
      <c r="HH142" s="2"/>
      <c r="HI142" s="2"/>
      <c r="HJ142" s="2"/>
      <c r="HK142" s="2"/>
      <c r="HL142" s="2"/>
      <c r="HM142" s="2" t="s">
        <v>3</v>
      </c>
      <c r="HN142" s="2" t="s">
        <v>25</v>
      </c>
      <c r="HO142" s="2" t="s">
        <v>26</v>
      </c>
      <c r="HP142" s="2" t="s">
        <v>23</v>
      </c>
      <c r="HQ142" s="2" t="s">
        <v>23</v>
      </c>
      <c r="HR142" s="2"/>
      <c r="HS142" s="2">
        <v>0</v>
      </c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>
        <v>0</v>
      </c>
      <c r="IL142" s="2"/>
      <c r="IM142" s="2"/>
      <c r="IN142" s="2"/>
      <c r="IO142" s="2"/>
      <c r="IP142" s="2"/>
      <c r="IQ142" s="2"/>
      <c r="IR142" s="2"/>
      <c r="IS142" s="2"/>
      <c r="IT142" s="2"/>
      <c r="IU142" s="2"/>
    </row>
    <row r="143" spans="1:255" x14ac:dyDescent="0.2">
      <c r="A143" s="2">
        <v>18</v>
      </c>
      <c r="B143" s="2">
        <v>1</v>
      </c>
      <c r="C143" s="2">
        <v>150</v>
      </c>
      <c r="D143" s="2"/>
      <c r="E143" s="2" t="s">
        <v>255</v>
      </c>
      <c r="F143" s="2" t="s">
        <v>256</v>
      </c>
      <c r="G143" s="2" t="s">
        <v>257</v>
      </c>
      <c r="H143" s="2" t="s">
        <v>30</v>
      </c>
      <c r="I143" s="2">
        <f>I141*J143</f>
        <v>12</v>
      </c>
      <c r="J143" s="2">
        <v>100</v>
      </c>
      <c r="K143" s="2">
        <v>100</v>
      </c>
      <c r="L143" s="2"/>
      <c r="M143" s="2"/>
      <c r="N143" s="2"/>
      <c r="O143" s="2">
        <f t="shared" si="81"/>
        <v>836.28</v>
      </c>
      <c r="P143" s="2">
        <f>ROUND(CQ143*I143,2)</f>
        <v>836.28</v>
      </c>
      <c r="Q143" s="2">
        <f>ROUND(CR143*I143,2)</f>
        <v>0</v>
      </c>
      <c r="R143" s="2">
        <f>ROUND(CS143*I143,2)</f>
        <v>0</v>
      </c>
      <c r="S143" s="2">
        <f>ROUND(CT143*I143,2)</f>
        <v>0</v>
      </c>
      <c r="T143" s="2">
        <f t="shared" si="82"/>
        <v>0</v>
      </c>
      <c r="U143" s="2">
        <f>ROUND(CV143*I143,7)</f>
        <v>0</v>
      </c>
      <c r="V143" s="2">
        <f>ROUND(CW143*I143,7)</f>
        <v>0</v>
      </c>
      <c r="W143" s="2">
        <f t="shared" si="83"/>
        <v>0</v>
      </c>
      <c r="X143" s="2">
        <f t="shared" si="84"/>
        <v>0</v>
      </c>
      <c r="Y143" s="2">
        <f t="shared" si="85"/>
        <v>0</v>
      </c>
      <c r="Z143" s="2"/>
      <c r="AA143" s="2">
        <v>80308166</v>
      </c>
      <c r="AB143" s="2">
        <f t="shared" si="86"/>
        <v>56.2</v>
      </c>
      <c r="AC143" s="2">
        <f>ROUND((ES143),6)</f>
        <v>56.2</v>
      </c>
      <c r="AD143" s="2">
        <f>ROUND((((ET143)-(EU143))+AE143),6)</f>
        <v>0</v>
      </c>
      <c r="AE143" s="2">
        <f>ROUND((EU143),6)</f>
        <v>0</v>
      </c>
      <c r="AF143" s="2">
        <f>ROUND((EV143),6)</f>
        <v>0</v>
      </c>
      <c r="AG143" s="2">
        <f t="shared" si="87"/>
        <v>0</v>
      </c>
      <c r="AH143" s="2">
        <f>(EW143)</f>
        <v>0</v>
      </c>
      <c r="AI143" s="2">
        <f>(EX143)</f>
        <v>0</v>
      </c>
      <c r="AJ143" s="2">
        <f t="shared" si="88"/>
        <v>0</v>
      </c>
      <c r="AK143" s="2">
        <v>56.2</v>
      </c>
      <c r="AL143" s="2">
        <v>56.2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103</v>
      </c>
      <c r="AU143" s="2">
        <v>52</v>
      </c>
      <c r="AV143" s="2">
        <v>1</v>
      </c>
      <c r="AW143" s="2">
        <v>1</v>
      </c>
      <c r="AX143" s="2"/>
      <c r="AY143" s="2"/>
      <c r="AZ143" s="2">
        <v>1</v>
      </c>
      <c r="BA143" s="2">
        <v>1</v>
      </c>
      <c r="BB143" s="2">
        <v>1</v>
      </c>
      <c r="BC143" s="2">
        <v>1.24</v>
      </c>
      <c r="BD143" s="2" t="s">
        <v>3</v>
      </c>
      <c r="BE143" s="2" t="s">
        <v>3</v>
      </c>
      <c r="BF143" s="2" t="s">
        <v>3</v>
      </c>
      <c r="BG143" s="2" t="s">
        <v>3</v>
      </c>
      <c r="BH143" s="2">
        <v>3</v>
      </c>
      <c r="BI143" s="2">
        <v>1</v>
      </c>
      <c r="BJ143" s="2" t="s">
        <v>258</v>
      </c>
      <c r="BK143" s="2"/>
      <c r="BL143" s="2"/>
      <c r="BM143" s="2">
        <v>65007</v>
      </c>
      <c r="BN143" s="2">
        <v>0</v>
      </c>
      <c r="BO143" s="2" t="s">
        <v>256</v>
      </c>
      <c r="BP143" s="2">
        <v>1</v>
      </c>
      <c r="BQ143" s="2">
        <v>6</v>
      </c>
      <c r="BR143" s="2">
        <v>0</v>
      </c>
      <c r="BS143" s="2">
        <v>1</v>
      </c>
      <c r="BT143" s="2">
        <v>1</v>
      </c>
      <c r="BU143" s="2">
        <v>1</v>
      </c>
      <c r="BV143" s="2">
        <v>1</v>
      </c>
      <c r="BW143" s="2">
        <v>1</v>
      </c>
      <c r="BX143" s="2">
        <v>1</v>
      </c>
      <c r="BY143" s="2" t="s">
        <v>3</v>
      </c>
      <c r="BZ143" s="2">
        <v>103</v>
      </c>
      <c r="CA143" s="2">
        <v>52</v>
      </c>
      <c r="CB143" s="2" t="s">
        <v>3</v>
      </c>
      <c r="CC143" s="2"/>
      <c r="CD143" s="2"/>
      <c r="CE143" s="2">
        <v>0</v>
      </c>
      <c r="CF143" s="2">
        <v>0</v>
      </c>
      <c r="CG143" s="2">
        <v>0</v>
      </c>
      <c r="CH143" s="2"/>
      <c r="CI143" s="2"/>
      <c r="CJ143" s="2"/>
      <c r="CK143" s="2"/>
      <c r="CL143" s="2"/>
      <c r="CM143" s="2">
        <v>0</v>
      </c>
      <c r="CN143" s="2" t="s">
        <v>3</v>
      </c>
      <c r="CO143" s="2">
        <v>0</v>
      </c>
      <c r="CP143" s="2">
        <f t="shared" si="89"/>
        <v>836.28</v>
      </c>
      <c r="CQ143" s="2">
        <f>ROUND(AL143*BC143,2)</f>
        <v>69.69</v>
      </c>
      <c r="CR143" s="2">
        <f>ROUND(AM143*BB143,2)</f>
        <v>0</v>
      </c>
      <c r="CS143" s="2">
        <f>ROUND(AN143*BS143,2)</f>
        <v>0</v>
      </c>
      <c r="CT143" s="2">
        <f>ROUND(AO143*BA143,2)</f>
        <v>0</v>
      </c>
      <c r="CU143" s="2">
        <f t="shared" si="90"/>
        <v>0</v>
      </c>
      <c r="CV143" s="2">
        <f>AH143</f>
        <v>0</v>
      </c>
      <c r="CW143" s="2">
        <f>AI143</f>
        <v>0</v>
      </c>
      <c r="CX143" s="2">
        <f t="shared" si="91"/>
        <v>0</v>
      </c>
      <c r="CY143" s="2">
        <f t="shared" si="100"/>
        <v>0</v>
      </c>
      <c r="CZ143" s="2">
        <f t="shared" si="101"/>
        <v>0</v>
      </c>
      <c r="DA143" s="2"/>
      <c r="DB143" s="2"/>
      <c r="DC143" s="2" t="s">
        <v>3</v>
      </c>
      <c r="DD143" s="2" t="s">
        <v>3</v>
      </c>
      <c r="DE143" s="2" t="s">
        <v>3</v>
      </c>
      <c r="DF143" s="2" t="s">
        <v>3</v>
      </c>
      <c r="DG143" s="2" t="s">
        <v>3</v>
      </c>
      <c r="DH143" s="2" t="s">
        <v>3</v>
      </c>
      <c r="DI143" s="2" t="s">
        <v>3</v>
      </c>
      <c r="DJ143" s="2" t="s">
        <v>3</v>
      </c>
      <c r="DK143" s="2" t="s">
        <v>3</v>
      </c>
      <c r="DL143" s="2" t="s">
        <v>3</v>
      </c>
      <c r="DM143" s="2" t="s">
        <v>3</v>
      </c>
      <c r="DN143" s="2">
        <v>0</v>
      </c>
      <c r="DO143" s="2">
        <v>0</v>
      </c>
      <c r="DP143" s="2">
        <v>1</v>
      </c>
      <c r="DQ143" s="2">
        <v>1</v>
      </c>
      <c r="DR143" s="2"/>
      <c r="DS143" s="2"/>
      <c r="DT143" s="2"/>
      <c r="DU143" s="2">
        <v>1013</v>
      </c>
      <c r="DV143" s="2" t="s">
        <v>30</v>
      </c>
      <c r="DW143" s="2" t="s">
        <v>30</v>
      </c>
      <c r="DX143" s="2">
        <v>1</v>
      </c>
      <c r="DY143" s="2"/>
      <c r="DZ143" s="2" t="s">
        <v>3</v>
      </c>
      <c r="EA143" s="2" t="s">
        <v>3</v>
      </c>
      <c r="EB143" s="2" t="s">
        <v>3</v>
      </c>
      <c r="EC143" s="2" t="s">
        <v>3</v>
      </c>
      <c r="ED143" s="2"/>
      <c r="EE143" s="2">
        <v>77313190</v>
      </c>
      <c r="EF143" s="2">
        <v>6</v>
      </c>
      <c r="EG143" s="2" t="s">
        <v>21</v>
      </c>
      <c r="EH143" s="2">
        <v>99</v>
      </c>
      <c r="EI143" s="2" t="s">
        <v>22</v>
      </c>
      <c r="EJ143" s="2">
        <v>1</v>
      </c>
      <c r="EK143" s="2">
        <v>65007</v>
      </c>
      <c r="EL143" s="2" t="s">
        <v>23</v>
      </c>
      <c r="EM143" s="2" t="s">
        <v>24</v>
      </c>
      <c r="EN143" s="2"/>
      <c r="EO143" s="2" t="s">
        <v>3</v>
      </c>
      <c r="EP143" s="2"/>
      <c r="EQ143" s="2">
        <v>0</v>
      </c>
      <c r="ER143" s="2">
        <v>56.2</v>
      </c>
      <c r="ES143" s="2">
        <v>56.2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>
        <v>0</v>
      </c>
      <c r="FR143" s="2">
        <v>0</v>
      </c>
      <c r="FS143" s="2">
        <v>0</v>
      </c>
      <c r="FT143" s="2"/>
      <c r="FU143" s="2"/>
      <c r="FV143" s="2"/>
      <c r="FW143" s="2"/>
      <c r="FX143" s="2">
        <v>103</v>
      </c>
      <c r="FY143" s="2">
        <v>52</v>
      </c>
      <c r="FZ143" s="2"/>
      <c r="GA143" s="2" t="s">
        <v>3</v>
      </c>
      <c r="GB143" s="2"/>
      <c r="GC143" s="2"/>
      <c r="GD143" s="2">
        <v>1</v>
      </c>
      <c r="GE143" s="2"/>
      <c r="GF143" s="2">
        <v>-1838620483</v>
      </c>
      <c r="GG143" s="2">
        <v>2</v>
      </c>
      <c r="GH143" s="2">
        <v>1</v>
      </c>
      <c r="GI143" s="2">
        <v>2</v>
      </c>
      <c r="GJ143" s="2">
        <v>0</v>
      </c>
      <c r="GK143" s="2">
        <v>0</v>
      </c>
      <c r="GL143" s="2">
        <f t="shared" si="92"/>
        <v>0</v>
      </c>
      <c r="GM143" s="2">
        <f t="shared" si="93"/>
        <v>836.28</v>
      </c>
      <c r="GN143" s="2">
        <f t="shared" si="94"/>
        <v>836.28</v>
      </c>
      <c r="GO143" s="2">
        <f t="shared" si="95"/>
        <v>0</v>
      </c>
      <c r="GP143" s="2">
        <f t="shared" si="96"/>
        <v>0</v>
      </c>
      <c r="GQ143" s="2"/>
      <c r="GR143" s="2">
        <v>0</v>
      </c>
      <c r="GS143" s="2">
        <v>3</v>
      </c>
      <c r="GT143" s="2">
        <v>0</v>
      </c>
      <c r="GU143" s="2" t="s">
        <v>3</v>
      </c>
      <c r="GV143" s="2">
        <f t="shared" si="97"/>
        <v>0</v>
      </c>
      <c r="GW143" s="2">
        <v>1</v>
      </c>
      <c r="GX143" s="2">
        <f t="shared" si="98"/>
        <v>0</v>
      </c>
      <c r="GY143" s="2"/>
      <c r="GZ143" s="2"/>
      <c r="HA143" s="2">
        <v>0</v>
      </c>
      <c r="HB143" s="2">
        <v>0</v>
      </c>
      <c r="HC143" s="2">
        <f t="shared" si="99"/>
        <v>0</v>
      </c>
      <c r="HD143" s="2"/>
      <c r="HE143" s="2" t="s">
        <v>3</v>
      </c>
      <c r="HF143" s="2" t="s">
        <v>3</v>
      </c>
      <c r="HG143" s="2"/>
      <c r="HH143" s="2"/>
      <c r="HI143" s="2"/>
      <c r="HJ143" s="2"/>
      <c r="HK143" s="2"/>
      <c r="HL143" s="2"/>
      <c r="HM143" s="2" t="s">
        <v>3</v>
      </c>
      <c r="HN143" s="2" t="s">
        <v>25</v>
      </c>
      <c r="HO143" s="2" t="s">
        <v>26</v>
      </c>
      <c r="HP143" s="2" t="s">
        <v>23</v>
      </c>
      <c r="HQ143" s="2" t="s">
        <v>23</v>
      </c>
      <c r="HR143" s="2"/>
      <c r="HS143" s="2">
        <v>0</v>
      </c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>
        <v>0</v>
      </c>
      <c r="IL143" s="2"/>
      <c r="IM143" s="2"/>
      <c r="IN143" s="2"/>
      <c r="IO143" s="2"/>
      <c r="IP143" s="2"/>
      <c r="IQ143" s="2"/>
      <c r="IR143" s="2"/>
      <c r="IS143" s="2"/>
      <c r="IT143" s="2"/>
      <c r="IU143" s="2"/>
    </row>
    <row r="144" spans="1:255" x14ac:dyDescent="0.2">
      <c r="A144" s="2">
        <v>17</v>
      </c>
      <c r="B144" s="2">
        <v>1</v>
      </c>
      <c r="C144" s="2">
        <f>ROW(SmtRes!A162)</f>
        <v>162</v>
      </c>
      <c r="D144" s="2">
        <f>ROW(EtalonRes!A158)</f>
        <v>158</v>
      </c>
      <c r="E144" s="2" t="s">
        <v>259</v>
      </c>
      <c r="F144" s="2" t="s">
        <v>260</v>
      </c>
      <c r="G144" s="2" t="s">
        <v>261</v>
      </c>
      <c r="H144" s="2" t="s">
        <v>95</v>
      </c>
      <c r="I144" s="2">
        <f>ROUND(9/100,7)</f>
        <v>0.09</v>
      </c>
      <c r="J144" s="2">
        <v>0</v>
      </c>
      <c r="K144" s="2">
        <f>ROUND(9/100,7)</f>
        <v>0.09</v>
      </c>
      <c r="L144" s="2"/>
      <c r="M144" s="2"/>
      <c r="N144" s="2"/>
      <c r="O144" s="2">
        <f t="shared" si="81"/>
        <v>14787.6</v>
      </c>
      <c r="P144" s="2">
        <f>SUMIF(SmtRes!AQ151:'SmtRes'!AQ162,"=1",SmtRes!DF151:'SmtRes'!DF162)</f>
        <v>247</v>
      </c>
      <c r="Q144" s="2">
        <f>SUMIF(SmtRes!AQ151:'SmtRes'!AQ162,"=1",SmtRes!DG151:'SmtRes'!DG162)</f>
        <v>135.81</v>
      </c>
      <c r="R144" s="2">
        <f>SUMIF(SmtRes!AQ151:'SmtRes'!AQ162,"=1",SmtRes!DH151:'SmtRes'!DH162)</f>
        <v>82.210000000000008</v>
      </c>
      <c r="S144" s="2">
        <f>SUMIF(SmtRes!AQ151:'SmtRes'!AQ162,"=1",SmtRes!DI151:'SmtRes'!DI162)</f>
        <v>14322.58</v>
      </c>
      <c r="T144" s="2">
        <f t="shared" si="82"/>
        <v>0</v>
      </c>
      <c r="U144" s="2">
        <f>SUMIF(SmtRes!AQ151:'SmtRes'!AQ162,"=1",SmtRes!CV151:'SmtRes'!CV162)</f>
        <v>19.835999999999999</v>
      </c>
      <c r="V144" s="2">
        <f>SUMIF(SmtRes!AQ151:'SmtRes'!AQ162,"=1",SmtRes!CW151:'SmtRes'!CW162)</f>
        <v>0.1206</v>
      </c>
      <c r="W144" s="2">
        <f t="shared" si="83"/>
        <v>0</v>
      </c>
      <c r="X144" s="2">
        <f t="shared" si="84"/>
        <v>14836.93</v>
      </c>
      <c r="Y144" s="2">
        <f t="shared" si="85"/>
        <v>7490.49</v>
      </c>
      <c r="Z144" s="2"/>
      <c r="AA144" s="2">
        <v>80308166</v>
      </c>
      <c r="AB144" s="2">
        <f t="shared" si="86"/>
        <v>163174.49314400001</v>
      </c>
      <c r="AC144" s="2">
        <f>ROUND((SUM(SmtRes!BQ151:'SmtRes'!BQ162)),6)</f>
        <v>2551.9584439999999</v>
      </c>
      <c r="AD144" s="2">
        <f>ROUND((((SUM(SmtRes!BR151:'SmtRes'!BR162))-(SUM(SmtRes!BS151:'SmtRes'!BS162)))+AE144),6)</f>
        <v>1482.7147</v>
      </c>
      <c r="AE144" s="2">
        <f>ROUND((SUM(SmtRes!BS151:'SmtRes'!BS162)),6)</f>
        <v>913.39089999999999</v>
      </c>
      <c r="AF144" s="2">
        <f>ROUND((SUM(SmtRes!BT151:'SmtRes'!BT162)),6)</f>
        <v>159139.82</v>
      </c>
      <c r="AG144" s="2">
        <f t="shared" si="87"/>
        <v>0</v>
      </c>
      <c r="AH144" s="2">
        <f>(SUM(SmtRes!BU151:'SmtRes'!BU162))</f>
        <v>220.4</v>
      </c>
      <c r="AI144" s="2">
        <f>(SUM(SmtRes!BV151:'SmtRes'!BV162))</f>
        <v>1.34</v>
      </c>
      <c r="AJ144" s="2">
        <f t="shared" si="88"/>
        <v>0</v>
      </c>
      <c r="AK144" s="2">
        <v>164087.88404400001</v>
      </c>
      <c r="AL144" s="2">
        <v>2551.9584439999999</v>
      </c>
      <c r="AM144" s="2">
        <v>1482.7147</v>
      </c>
      <c r="AN144" s="2">
        <v>913.3909000000001</v>
      </c>
      <c r="AO144" s="2">
        <v>159139.82</v>
      </c>
      <c r="AP144" s="2">
        <v>0</v>
      </c>
      <c r="AQ144" s="2">
        <v>220.4</v>
      </c>
      <c r="AR144" s="2">
        <v>1.34</v>
      </c>
      <c r="AS144" s="2">
        <v>0</v>
      </c>
      <c r="AT144" s="2">
        <v>103</v>
      </c>
      <c r="AU144" s="2">
        <v>52</v>
      </c>
      <c r="AV144" s="2">
        <v>1</v>
      </c>
      <c r="AW144" s="2">
        <v>1</v>
      </c>
      <c r="AX144" s="2"/>
      <c r="AY144" s="2"/>
      <c r="AZ144" s="2">
        <v>1</v>
      </c>
      <c r="BA144" s="2">
        <v>1</v>
      </c>
      <c r="BB144" s="2">
        <v>1</v>
      </c>
      <c r="BC144" s="2">
        <v>1</v>
      </c>
      <c r="BD144" s="2" t="s">
        <v>3</v>
      </c>
      <c r="BE144" s="2" t="s">
        <v>3</v>
      </c>
      <c r="BF144" s="2" t="s">
        <v>3</v>
      </c>
      <c r="BG144" s="2" t="s">
        <v>3</v>
      </c>
      <c r="BH144" s="2">
        <v>0</v>
      </c>
      <c r="BI144" s="2">
        <v>1</v>
      </c>
      <c r="BJ144" s="2" t="s">
        <v>262</v>
      </c>
      <c r="BK144" s="2"/>
      <c r="BL144" s="2"/>
      <c r="BM144" s="2">
        <v>65007</v>
      </c>
      <c r="BN144" s="2">
        <v>0</v>
      </c>
      <c r="BO144" s="2" t="s">
        <v>3</v>
      </c>
      <c r="BP144" s="2">
        <v>0</v>
      </c>
      <c r="BQ144" s="2">
        <v>6</v>
      </c>
      <c r="BR144" s="2">
        <v>0</v>
      </c>
      <c r="BS144" s="2">
        <v>1</v>
      </c>
      <c r="BT144" s="2">
        <v>1</v>
      </c>
      <c r="BU144" s="2">
        <v>1</v>
      </c>
      <c r="BV144" s="2">
        <v>1</v>
      </c>
      <c r="BW144" s="2">
        <v>1</v>
      </c>
      <c r="BX144" s="2">
        <v>1</v>
      </c>
      <c r="BY144" s="2" t="s">
        <v>3</v>
      </c>
      <c r="BZ144" s="2">
        <v>103</v>
      </c>
      <c r="CA144" s="2">
        <v>52</v>
      </c>
      <c r="CB144" s="2" t="s">
        <v>3</v>
      </c>
      <c r="CC144" s="2"/>
      <c r="CD144" s="2"/>
      <c r="CE144" s="2">
        <v>0</v>
      </c>
      <c r="CF144" s="2">
        <v>0</v>
      </c>
      <c r="CG144" s="2">
        <v>0</v>
      </c>
      <c r="CH144" s="2"/>
      <c r="CI144" s="2"/>
      <c r="CJ144" s="2"/>
      <c r="CK144" s="2"/>
      <c r="CL144" s="2"/>
      <c r="CM144" s="2">
        <v>0</v>
      </c>
      <c r="CN144" s="2" t="s">
        <v>3</v>
      </c>
      <c r="CO144" s="2">
        <v>0</v>
      </c>
      <c r="CP144" s="2">
        <f t="shared" si="89"/>
        <v>14787.599999999999</v>
      </c>
      <c r="CQ144" s="2">
        <f>SUMIF(SmtRes!AQ151:'SmtRes'!AQ162,"=1",SmtRes!AA151:'SmtRes'!AA162)</f>
        <v>109686.28</v>
      </c>
      <c r="CR144" s="2">
        <f>SUMIF(SmtRes!AQ151:'SmtRes'!AQ162,"=1",SmtRes!AB151:'SmtRes'!AB162)</f>
        <v>738.37</v>
      </c>
      <c r="CS144" s="2">
        <f>SUMIF(SmtRes!AQ151:'SmtRes'!AQ162,"=1",SmtRes!AC151:'SmtRes'!AC162)</f>
        <v>1363.27</v>
      </c>
      <c r="CT144" s="2">
        <f>SUMIF(SmtRes!AQ151:'SmtRes'!AQ162,"=1",SmtRes!AD151:'SmtRes'!AD162)</f>
        <v>722.05</v>
      </c>
      <c r="CU144" s="2">
        <f t="shared" si="90"/>
        <v>0</v>
      </c>
      <c r="CV144" s="2">
        <f>SUMIF(SmtRes!AQ151:'SmtRes'!AQ162,"=1",SmtRes!BU151:'SmtRes'!BU162)</f>
        <v>220.4</v>
      </c>
      <c r="CW144" s="2">
        <f>SUMIF(SmtRes!AQ151:'SmtRes'!AQ162,"=1",SmtRes!BV151:'SmtRes'!BV162)</f>
        <v>1.34</v>
      </c>
      <c r="CX144" s="2">
        <f t="shared" si="91"/>
        <v>0</v>
      </c>
      <c r="CY144" s="2">
        <f t="shared" si="100"/>
        <v>14836.9337</v>
      </c>
      <c r="CZ144" s="2">
        <f t="shared" si="101"/>
        <v>7490.4907999999996</v>
      </c>
      <c r="DA144" s="2"/>
      <c r="DB144" s="2"/>
      <c r="DC144" s="2" t="s">
        <v>3</v>
      </c>
      <c r="DD144" s="2" t="s">
        <v>3</v>
      </c>
      <c r="DE144" s="2" t="s">
        <v>3</v>
      </c>
      <c r="DF144" s="2" t="s">
        <v>3</v>
      </c>
      <c r="DG144" s="2" t="s">
        <v>3</v>
      </c>
      <c r="DH144" s="2" t="s">
        <v>3</v>
      </c>
      <c r="DI144" s="2" t="s">
        <v>3</v>
      </c>
      <c r="DJ144" s="2" t="s">
        <v>3</v>
      </c>
      <c r="DK144" s="2" t="s">
        <v>3</v>
      </c>
      <c r="DL144" s="2" t="s">
        <v>3</v>
      </c>
      <c r="DM144" s="2" t="s">
        <v>3</v>
      </c>
      <c r="DN144" s="2">
        <v>0</v>
      </c>
      <c r="DO144" s="2">
        <v>0</v>
      </c>
      <c r="DP144" s="2">
        <v>1</v>
      </c>
      <c r="DQ144" s="2">
        <v>1</v>
      </c>
      <c r="DR144" s="2"/>
      <c r="DS144" s="2"/>
      <c r="DT144" s="2"/>
      <c r="DU144" s="2">
        <v>1003</v>
      </c>
      <c r="DV144" s="2" t="s">
        <v>95</v>
      </c>
      <c r="DW144" s="2" t="s">
        <v>95</v>
      </c>
      <c r="DX144" s="2">
        <v>100</v>
      </c>
      <c r="DY144" s="2"/>
      <c r="DZ144" s="2" t="s">
        <v>3</v>
      </c>
      <c r="EA144" s="2" t="s">
        <v>3</v>
      </c>
      <c r="EB144" s="2" t="s">
        <v>3</v>
      </c>
      <c r="EC144" s="2" t="s">
        <v>3</v>
      </c>
      <c r="ED144" s="2"/>
      <c r="EE144" s="2">
        <v>77313190</v>
      </c>
      <c r="EF144" s="2">
        <v>6</v>
      </c>
      <c r="EG144" s="2" t="s">
        <v>21</v>
      </c>
      <c r="EH144" s="2">
        <v>99</v>
      </c>
      <c r="EI144" s="2" t="s">
        <v>22</v>
      </c>
      <c r="EJ144" s="2">
        <v>1</v>
      </c>
      <c r="EK144" s="2">
        <v>65007</v>
      </c>
      <c r="EL144" s="2" t="s">
        <v>23</v>
      </c>
      <c r="EM144" s="2" t="s">
        <v>24</v>
      </c>
      <c r="EN144" s="2"/>
      <c r="EO144" s="2" t="s">
        <v>3</v>
      </c>
      <c r="EP144" s="2"/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220.4</v>
      </c>
      <c r="EX144" s="2">
        <v>1.34</v>
      </c>
      <c r="EY144" s="2">
        <v>0</v>
      </c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>
        <v>0</v>
      </c>
      <c r="FR144" s="2">
        <v>0</v>
      </c>
      <c r="FS144" s="2">
        <v>0</v>
      </c>
      <c r="FT144" s="2"/>
      <c r="FU144" s="2"/>
      <c r="FV144" s="2"/>
      <c r="FW144" s="2"/>
      <c r="FX144" s="2">
        <v>103</v>
      </c>
      <c r="FY144" s="2">
        <v>52</v>
      </c>
      <c r="FZ144" s="2"/>
      <c r="GA144" s="2" t="s">
        <v>3</v>
      </c>
      <c r="GB144" s="2"/>
      <c r="GC144" s="2"/>
      <c r="GD144" s="2">
        <v>1</v>
      </c>
      <c r="GE144" s="2"/>
      <c r="GF144" s="2">
        <v>-1850863414</v>
      </c>
      <c r="GG144" s="2">
        <v>2</v>
      </c>
      <c r="GH144" s="2">
        <v>1</v>
      </c>
      <c r="GI144" s="2">
        <v>-2</v>
      </c>
      <c r="GJ144" s="2">
        <v>0</v>
      </c>
      <c r="GK144" s="2">
        <v>0</v>
      </c>
      <c r="GL144" s="2">
        <f t="shared" si="92"/>
        <v>0</v>
      </c>
      <c r="GM144" s="2">
        <f t="shared" si="93"/>
        <v>37115.019999999997</v>
      </c>
      <c r="GN144" s="2">
        <f t="shared" si="94"/>
        <v>37115.019999999997</v>
      </c>
      <c r="GO144" s="2">
        <f t="shared" si="95"/>
        <v>0</v>
      </c>
      <c r="GP144" s="2">
        <f t="shared" si="96"/>
        <v>0</v>
      </c>
      <c r="GQ144" s="2"/>
      <c r="GR144" s="2">
        <v>0</v>
      </c>
      <c r="GS144" s="2">
        <v>3</v>
      </c>
      <c r="GT144" s="2">
        <v>0</v>
      </c>
      <c r="GU144" s="2" t="s">
        <v>3</v>
      </c>
      <c r="GV144" s="2">
        <f t="shared" si="97"/>
        <v>0</v>
      </c>
      <c r="GW144" s="2">
        <v>1</v>
      </c>
      <c r="GX144" s="2">
        <f t="shared" si="98"/>
        <v>0</v>
      </c>
      <c r="GY144" s="2"/>
      <c r="GZ144" s="2"/>
      <c r="HA144" s="2">
        <v>0</v>
      </c>
      <c r="HB144" s="2">
        <v>0</v>
      </c>
      <c r="HC144" s="2">
        <f t="shared" si="99"/>
        <v>0</v>
      </c>
      <c r="HD144" s="2"/>
      <c r="HE144" s="2" t="s">
        <v>3</v>
      </c>
      <c r="HF144" s="2" t="s">
        <v>3</v>
      </c>
      <c r="HG144" s="2"/>
      <c r="HH144" s="2"/>
      <c r="HI144" s="2"/>
      <c r="HJ144" s="2"/>
      <c r="HK144" s="2"/>
      <c r="HL144" s="2"/>
      <c r="HM144" s="2" t="s">
        <v>3</v>
      </c>
      <c r="HN144" s="2" t="s">
        <v>25</v>
      </c>
      <c r="HO144" s="2" t="s">
        <v>26</v>
      </c>
      <c r="HP144" s="2" t="s">
        <v>23</v>
      </c>
      <c r="HQ144" s="2" t="s">
        <v>23</v>
      </c>
      <c r="HR144" s="2"/>
      <c r="HS144" s="2">
        <v>0</v>
      </c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>
        <v>0</v>
      </c>
      <c r="IL144" s="2"/>
      <c r="IM144" s="2"/>
      <c r="IN144" s="2"/>
      <c r="IO144" s="2"/>
      <c r="IP144" s="2"/>
      <c r="IQ144" s="2"/>
      <c r="IR144" s="2"/>
      <c r="IS144" s="2"/>
      <c r="IT144" s="2"/>
      <c r="IU144" s="2"/>
    </row>
    <row r="145" spans="1:255" x14ac:dyDescent="0.2">
      <c r="A145" s="2">
        <v>18</v>
      </c>
      <c r="B145" s="2">
        <v>1</v>
      </c>
      <c r="C145" s="2">
        <v>161</v>
      </c>
      <c r="D145" s="2"/>
      <c r="E145" s="2" t="s">
        <v>263</v>
      </c>
      <c r="F145" s="2" t="s">
        <v>264</v>
      </c>
      <c r="G145" s="2" t="s">
        <v>265</v>
      </c>
      <c r="H145" s="2" t="s">
        <v>253</v>
      </c>
      <c r="I145" s="2">
        <f>I144*J145</f>
        <v>9</v>
      </c>
      <c r="J145" s="2">
        <v>100</v>
      </c>
      <c r="K145" s="2">
        <v>100</v>
      </c>
      <c r="L145" s="2"/>
      <c r="M145" s="2"/>
      <c r="N145" s="2"/>
      <c r="O145" s="2">
        <f t="shared" si="81"/>
        <v>5175.8100000000004</v>
      </c>
      <c r="P145" s="2">
        <f>ROUND(CQ145*I145,2)</f>
        <v>5175.8100000000004</v>
      </c>
      <c r="Q145" s="2">
        <f>ROUND(CR145*I145,2)</f>
        <v>0</v>
      </c>
      <c r="R145" s="2">
        <f>ROUND(CS145*I145,2)</f>
        <v>0</v>
      </c>
      <c r="S145" s="2">
        <f>ROUND(CT145*I145,2)</f>
        <v>0</v>
      </c>
      <c r="T145" s="2">
        <f t="shared" si="82"/>
        <v>0</v>
      </c>
      <c r="U145" s="2">
        <f>ROUND(CV145*I145,7)</f>
        <v>0</v>
      </c>
      <c r="V145" s="2">
        <f>ROUND(CW145*I145,7)</f>
        <v>0</v>
      </c>
      <c r="W145" s="2">
        <f t="shared" si="83"/>
        <v>0</v>
      </c>
      <c r="X145" s="2">
        <f t="shared" si="84"/>
        <v>0</v>
      </c>
      <c r="Y145" s="2">
        <f t="shared" si="85"/>
        <v>0</v>
      </c>
      <c r="Z145" s="2"/>
      <c r="AA145" s="2">
        <v>80308166</v>
      </c>
      <c r="AB145" s="2">
        <f t="shared" si="86"/>
        <v>718.86</v>
      </c>
      <c r="AC145" s="2">
        <f>ROUND((ES145),6)</f>
        <v>718.86</v>
      </c>
      <c r="AD145" s="2">
        <f>ROUND((((ET145)-(EU145))+AE145),6)</f>
        <v>0</v>
      </c>
      <c r="AE145" s="2">
        <f>ROUND((EU145),6)</f>
        <v>0</v>
      </c>
      <c r="AF145" s="2">
        <f>ROUND((EV145),6)</f>
        <v>0</v>
      </c>
      <c r="AG145" s="2">
        <f t="shared" si="87"/>
        <v>0</v>
      </c>
      <c r="AH145" s="2">
        <f>(EW145)</f>
        <v>0</v>
      </c>
      <c r="AI145" s="2">
        <f>(EX145)</f>
        <v>0</v>
      </c>
      <c r="AJ145" s="2">
        <f t="shared" si="88"/>
        <v>0</v>
      </c>
      <c r="AK145" s="2">
        <v>718.86</v>
      </c>
      <c r="AL145" s="2">
        <v>718.86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103</v>
      </c>
      <c r="AU145" s="2">
        <v>52</v>
      </c>
      <c r="AV145" s="2">
        <v>1</v>
      </c>
      <c r="AW145" s="2">
        <v>1</v>
      </c>
      <c r="AX145" s="2"/>
      <c r="AY145" s="2"/>
      <c r="AZ145" s="2">
        <v>1</v>
      </c>
      <c r="BA145" s="2">
        <v>1</v>
      </c>
      <c r="BB145" s="2">
        <v>1</v>
      </c>
      <c r="BC145" s="2">
        <v>0.8</v>
      </c>
      <c r="BD145" s="2" t="s">
        <v>3</v>
      </c>
      <c r="BE145" s="2" t="s">
        <v>3</v>
      </c>
      <c r="BF145" s="2" t="s">
        <v>3</v>
      </c>
      <c r="BG145" s="2" t="s">
        <v>3</v>
      </c>
      <c r="BH145" s="2">
        <v>3</v>
      </c>
      <c r="BI145" s="2">
        <v>1</v>
      </c>
      <c r="BJ145" s="2" t="s">
        <v>266</v>
      </c>
      <c r="BK145" s="2"/>
      <c r="BL145" s="2"/>
      <c r="BM145" s="2">
        <v>65007</v>
      </c>
      <c r="BN145" s="2">
        <v>0</v>
      </c>
      <c r="BO145" s="2" t="s">
        <v>264</v>
      </c>
      <c r="BP145" s="2">
        <v>1</v>
      </c>
      <c r="BQ145" s="2">
        <v>6</v>
      </c>
      <c r="BR145" s="2">
        <v>0</v>
      </c>
      <c r="BS145" s="2">
        <v>1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 t="s">
        <v>3</v>
      </c>
      <c r="BZ145" s="2">
        <v>103</v>
      </c>
      <c r="CA145" s="2">
        <v>52</v>
      </c>
      <c r="CB145" s="2" t="s">
        <v>3</v>
      </c>
      <c r="CC145" s="2"/>
      <c r="CD145" s="2"/>
      <c r="CE145" s="2">
        <v>0</v>
      </c>
      <c r="CF145" s="2">
        <v>0</v>
      </c>
      <c r="CG145" s="2">
        <v>0</v>
      </c>
      <c r="CH145" s="2"/>
      <c r="CI145" s="2"/>
      <c r="CJ145" s="2"/>
      <c r="CK145" s="2"/>
      <c r="CL145" s="2"/>
      <c r="CM145" s="2">
        <v>0</v>
      </c>
      <c r="CN145" s="2" t="s">
        <v>3</v>
      </c>
      <c r="CO145" s="2">
        <v>0</v>
      </c>
      <c r="CP145" s="2">
        <f t="shared" si="89"/>
        <v>5175.8100000000004</v>
      </c>
      <c r="CQ145" s="2">
        <f>ROUND(AL145*BC145,2)</f>
        <v>575.09</v>
      </c>
      <c r="CR145" s="2">
        <f>ROUND(AM145*BB145,2)</f>
        <v>0</v>
      </c>
      <c r="CS145" s="2">
        <f>ROUND(AN145*BS145,2)</f>
        <v>0</v>
      </c>
      <c r="CT145" s="2">
        <f>ROUND(AO145*BA145,2)</f>
        <v>0</v>
      </c>
      <c r="CU145" s="2">
        <f t="shared" si="90"/>
        <v>0</v>
      </c>
      <c r="CV145" s="2">
        <f>AH145</f>
        <v>0</v>
      </c>
      <c r="CW145" s="2">
        <f>AI145</f>
        <v>0</v>
      </c>
      <c r="CX145" s="2">
        <f t="shared" si="91"/>
        <v>0</v>
      </c>
      <c r="CY145" s="2">
        <f t="shared" si="100"/>
        <v>0</v>
      </c>
      <c r="CZ145" s="2">
        <f t="shared" si="101"/>
        <v>0</v>
      </c>
      <c r="DA145" s="2"/>
      <c r="DB145" s="2"/>
      <c r="DC145" s="2" t="s">
        <v>3</v>
      </c>
      <c r="DD145" s="2" t="s">
        <v>3</v>
      </c>
      <c r="DE145" s="2" t="s">
        <v>3</v>
      </c>
      <c r="DF145" s="2" t="s">
        <v>3</v>
      </c>
      <c r="DG145" s="2" t="s">
        <v>3</v>
      </c>
      <c r="DH145" s="2" t="s">
        <v>3</v>
      </c>
      <c r="DI145" s="2" t="s">
        <v>3</v>
      </c>
      <c r="DJ145" s="2" t="s">
        <v>3</v>
      </c>
      <c r="DK145" s="2" t="s">
        <v>3</v>
      </c>
      <c r="DL145" s="2" t="s">
        <v>3</v>
      </c>
      <c r="DM145" s="2" t="s">
        <v>3</v>
      </c>
      <c r="DN145" s="2">
        <v>0</v>
      </c>
      <c r="DO145" s="2">
        <v>0</v>
      </c>
      <c r="DP145" s="2">
        <v>1</v>
      </c>
      <c r="DQ145" s="2">
        <v>1</v>
      </c>
      <c r="DR145" s="2"/>
      <c r="DS145" s="2"/>
      <c r="DT145" s="2"/>
      <c r="DU145" s="2">
        <v>1003</v>
      </c>
      <c r="DV145" s="2" t="s">
        <v>253</v>
      </c>
      <c r="DW145" s="2" t="s">
        <v>253</v>
      </c>
      <c r="DX145" s="2">
        <v>1</v>
      </c>
      <c r="DY145" s="2"/>
      <c r="DZ145" s="2" t="s">
        <v>3</v>
      </c>
      <c r="EA145" s="2" t="s">
        <v>3</v>
      </c>
      <c r="EB145" s="2" t="s">
        <v>3</v>
      </c>
      <c r="EC145" s="2" t="s">
        <v>3</v>
      </c>
      <c r="ED145" s="2"/>
      <c r="EE145" s="2">
        <v>77313190</v>
      </c>
      <c r="EF145" s="2">
        <v>6</v>
      </c>
      <c r="EG145" s="2" t="s">
        <v>21</v>
      </c>
      <c r="EH145" s="2">
        <v>99</v>
      </c>
      <c r="EI145" s="2" t="s">
        <v>22</v>
      </c>
      <c r="EJ145" s="2">
        <v>1</v>
      </c>
      <c r="EK145" s="2">
        <v>65007</v>
      </c>
      <c r="EL145" s="2" t="s">
        <v>23</v>
      </c>
      <c r="EM145" s="2" t="s">
        <v>24</v>
      </c>
      <c r="EN145" s="2"/>
      <c r="EO145" s="2" t="s">
        <v>3</v>
      </c>
      <c r="EP145" s="2"/>
      <c r="EQ145" s="2">
        <v>0</v>
      </c>
      <c r="ER145" s="2">
        <v>718.86</v>
      </c>
      <c r="ES145" s="2">
        <v>718.86</v>
      </c>
      <c r="ET145" s="2">
        <v>0</v>
      </c>
      <c r="EU145" s="2">
        <v>0</v>
      </c>
      <c r="EV145" s="2">
        <v>0</v>
      </c>
      <c r="EW145" s="2">
        <v>0</v>
      </c>
      <c r="EX145" s="2">
        <v>0</v>
      </c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>
        <v>0</v>
      </c>
      <c r="FR145" s="2">
        <v>0</v>
      </c>
      <c r="FS145" s="2">
        <v>0</v>
      </c>
      <c r="FT145" s="2"/>
      <c r="FU145" s="2"/>
      <c r="FV145" s="2"/>
      <c r="FW145" s="2"/>
      <c r="FX145" s="2">
        <v>103</v>
      </c>
      <c r="FY145" s="2">
        <v>52</v>
      </c>
      <c r="FZ145" s="2"/>
      <c r="GA145" s="2" t="s">
        <v>3</v>
      </c>
      <c r="GB145" s="2"/>
      <c r="GC145" s="2"/>
      <c r="GD145" s="2">
        <v>1</v>
      </c>
      <c r="GE145" s="2"/>
      <c r="GF145" s="2">
        <v>-1964333642</v>
      </c>
      <c r="GG145" s="2">
        <v>2</v>
      </c>
      <c r="GH145" s="2">
        <v>1</v>
      </c>
      <c r="GI145" s="2">
        <v>2</v>
      </c>
      <c r="GJ145" s="2">
        <v>0</v>
      </c>
      <c r="GK145" s="2">
        <v>0</v>
      </c>
      <c r="GL145" s="2">
        <f t="shared" si="92"/>
        <v>0</v>
      </c>
      <c r="GM145" s="2">
        <f t="shared" si="93"/>
        <v>5175.8100000000004</v>
      </c>
      <c r="GN145" s="2">
        <f t="shared" si="94"/>
        <v>5175.8100000000004</v>
      </c>
      <c r="GO145" s="2">
        <f t="shared" si="95"/>
        <v>0</v>
      </c>
      <c r="GP145" s="2">
        <f t="shared" si="96"/>
        <v>0</v>
      </c>
      <c r="GQ145" s="2"/>
      <c r="GR145" s="2">
        <v>0</v>
      </c>
      <c r="GS145" s="2">
        <v>3</v>
      </c>
      <c r="GT145" s="2">
        <v>0</v>
      </c>
      <c r="GU145" s="2" t="s">
        <v>3</v>
      </c>
      <c r="GV145" s="2">
        <f t="shared" si="97"/>
        <v>0</v>
      </c>
      <c r="GW145" s="2">
        <v>1</v>
      </c>
      <c r="GX145" s="2">
        <f t="shared" si="98"/>
        <v>0</v>
      </c>
      <c r="GY145" s="2"/>
      <c r="GZ145" s="2"/>
      <c r="HA145" s="2">
        <v>0</v>
      </c>
      <c r="HB145" s="2">
        <v>0</v>
      </c>
      <c r="HC145" s="2">
        <f t="shared" si="99"/>
        <v>0</v>
      </c>
      <c r="HD145" s="2"/>
      <c r="HE145" s="2" t="s">
        <v>3</v>
      </c>
      <c r="HF145" s="2" t="s">
        <v>3</v>
      </c>
      <c r="HG145" s="2"/>
      <c r="HH145" s="2"/>
      <c r="HI145" s="2"/>
      <c r="HJ145" s="2"/>
      <c r="HK145" s="2"/>
      <c r="HL145" s="2"/>
      <c r="HM145" s="2" t="s">
        <v>3</v>
      </c>
      <c r="HN145" s="2" t="s">
        <v>25</v>
      </c>
      <c r="HO145" s="2" t="s">
        <v>26</v>
      </c>
      <c r="HP145" s="2" t="s">
        <v>23</v>
      </c>
      <c r="HQ145" s="2" t="s">
        <v>23</v>
      </c>
      <c r="HR145" s="2"/>
      <c r="HS145" s="2">
        <v>0</v>
      </c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>
        <v>0</v>
      </c>
      <c r="IL145" s="2"/>
      <c r="IM145" s="2"/>
      <c r="IN145" s="2"/>
      <c r="IO145" s="2"/>
      <c r="IP145" s="2"/>
      <c r="IQ145" s="2"/>
      <c r="IR145" s="2"/>
      <c r="IS145" s="2"/>
      <c r="IT145" s="2"/>
      <c r="IU145" s="2"/>
    </row>
    <row r="146" spans="1:255" x14ac:dyDescent="0.2">
      <c r="A146" s="2">
        <v>18</v>
      </c>
      <c r="B146" s="2">
        <v>1</v>
      </c>
      <c r="C146" s="2">
        <v>162</v>
      </c>
      <c r="D146" s="2"/>
      <c r="E146" s="2" t="s">
        <v>267</v>
      </c>
      <c r="F146" s="2" t="s">
        <v>268</v>
      </c>
      <c r="G146" s="2" t="s">
        <v>269</v>
      </c>
      <c r="H146" s="2" t="s">
        <v>30</v>
      </c>
      <c r="I146" s="2">
        <f>I144*J146</f>
        <v>9</v>
      </c>
      <c r="J146" s="2">
        <v>100</v>
      </c>
      <c r="K146" s="2">
        <v>100</v>
      </c>
      <c r="L146" s="2"/>
      <c r="M146" s="2"/>
      <c r="N146" s="2"/>
      <c r="O146" s="2">
        <f t="shared" si="81"/>
        <v>1618.74</v>
      </c>
      <c r="P146" s="2">
        <f>ROUND(CQ146*I146,2)</f>
        <v>1618.74</v>
      </c>
      <c r="Q146" s="2">
        <f>ROUND(CR146*I146,2)</f>
        <v>0</v>
      </c>
      <c r="R146" s="2">
        <f>ROUND(CS146*I146,2)</f>
        <v>0</v>
      </c>
      <c r="S146" s="2">
        <f>ROUND(CT146*I146,2)</f>
        <v>0</v>
      </c>
      <c r="T146" s="2">
        <f t="shared" si="82"/>
        <v>0</v>
      </c>
      <c r="U146" s="2">
        <f>ROUND(CV146*I146,7)</f>
        <v>0</v>
      </c>
      <c r="V146" s="2">
        <f>ROUND(CW146*I146,7)</f>
        <v>0</v>
      </c>
      <c r="W146" s="2">
        <f t="shared" si="83"/>
        <v>0</v>
      </c>
      <c r="X146" s="2">
        <f t="shared" si="84"/>
        <v>0</v>
      </c>
      <c r="Y146" s="2">
        <f t="shared" si="85"/>
        <v>0</v>
      </c>
      <c r="Z146" s="2"/>
      <c r="AA146" s="2">
        <v>80308166</v>
      </c>
      <c r="AB146" s="2">
        <f t="shared" si="86"/>
        <v>145.05000000000001</v>
      </c>
      <c r="AC146" s="2">
        <f>ROUND((ES146),6)</f>
        <v>145.05000000000001</v>
      </c>
      <c r="AD146" s="2">
        <f>ROUND((((ET146)-(EU146))+AE146),6)</f>
        <v>0</v>
      </c>
      <c r="AE146" s="2">
        <f>ROUND((EU146),6)</f>
        <v>0</v>
      </c>
      <c r="AF146" s="2">
        <f>ROUND((EV146),6)</f>
        <v>0</v>
      </c>
      <c r="AG146" s="2">
        <f t="shared" si="87"/>
        <v>0</v>
      </c>
      <c r="AH146" s="2">
        <f>(EW146)</f>
        <v>0</v>
      </c>
      <c r="AI146" s="2">
        <f>(EX146)</f>
        <v>0</v>
      </c>
      <c r="AJ146" s="2">
        <f t="shared" si="88"/>
        <v>0</v>
      </c>
      <c r="AK146" s="2">
        <v>145.05000000000001</v>
      </c>
      <c r="AL146" s="2">
        <v>145.05000000000001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103</v>
      </c>
      <c r="AU146" s="2">
        <v>52</v>
      </c>
      <c r="AV146" s="2">
        <v>1</v>
      </c>
      <c r="AW146" s="2">
        <v>1</v>
      </c>
      <c r="AX146" s="2"/>
      <c r="AY146" s="2"/>
      <c r="AZ146" s="2">
        <v>1</v>
      </c>
      <c r="BA146" s="2">
        <v>1</v>
      </c>
      <c r="BB146" s="2">
        <v>1</v>
      </c>
      <c r="BC146" s="2">
        <v>1.24</v>
      </c>
      <c r="BD146" s="2" t="s">
        <v>3</v>
      </c>
      <c r="BE146" s="2" t="s">
        <v>3</v>
      </c>
      <c r="BF146" s="2" t="s">
        <v>3</v>
      </c>
      <c r="BG146" s="2" t="s">
        <v>3</v>
      </c>
      <c r="BH146" s="2">
        <v>3</v>
      </c>
      <c r="BI146" s="2">
        <v>1</v>
      </c>
      <c r="BJ146" s="2" t="s">
        <v>270</v>
      </c>
      <c r="BK146" s="2"/>
      <c r="BL146" s="2"/>
      <c r="BM146" s="2">
        <v>65007</v>
      </c>
      <c r="BN146" s="2">
        <v>0</v>
      </c>
      <c r="BO146" s="2" t="s">
        <v>268</v>
      </c>
      <c r="BP146" s="2">
        <v>1</v>
      </c>
      <c r="BQ146" s="2">
        <v>6</v>
      </c>
      <c r="BR146" s="2">
        <v>0</v>
      </c>
      <c r="BS146" s="2">
        <v>1</v>
      </c>
      <c r="BT146" s="2">
        <v>1</v>
      </c>
      <c r="BU146" s="2">
        <v>1</v>
      </c>
      <c r="BV146" s="2">
        <v>1</v>
      </c>
      <c r="BW146" s="2">
        <v>1</v>
      </c>
      <c r="BX146" s="2">
        <v>1</v>
      </c>
      <c r="BY146" s="2" t="s">
        <v>3</v>
      </c>
      <c r="BZ146" s="2">
        <v>103</v>
      </c>
      <c r="CA146" s="2">
        <v>52</v>
      </c>
      <c r="CB146" s="2" t="s">
        <v>3</v>
      </c>
      <c r="CC146" s="2"/>
      <c r="CD146" s="2"/>
      <c r="CE146" s="2">
        <v>0</v>
      </c>
      <c r="CF146" s="2">
        <v>0</v>
      </c>
      <c r="CG146" s="2">
        <v>0</v>
      </c>
      <c r="CH146" s="2"/>
      <c r="CI146" s="2"/>
      <c r="CJ146" s="2"/>
      <c r="CK146" s="2"/>
      <c r="CL146" s="2"/>
      <c r="CM146" s="2">
        <v>0</v>
      </c>
      <c r="CN146" s="2" t="s">
        <v>3</v>
      </c>
      <c r="CO146" s="2">
        <v>0</v>
      </c>
      <c r="CP146" s="2">
        <f t="shared" si="89"/>
        <v>1618.74</v>
      </c>
      <c r="CQ146" s="2">
        <f>ROUND(AL146*BC146,2)</f>
        <v>179.86</v>
      </c>
      <c r="CR146" s="2">
        <f>ROUND(AM146*BB146,2)</f>
        <v>0</v>
      </c>
      <c r="CS146" s="2">
        <f>ROUND(AN146*BS146,2)</f>
        <v>0</v>
      </c>
      <c r="CT146" s="2">
        <f>ROUND(AO146*BA146,2)</f>
        <v>0</v>
      </c>
      <c r="CU146" s="2">
        <f t="shared" si="90"/>
        <v>0</v>
      </c>
      <c r="CV146" s="2">
        <f>AH146</f>
        <v>0</v>
      </c>
      <c r="CW146" s="2">
        <f>AI146</f>
        <v>0</v>
      </c>
      <c r="CX146" s="2">
        <f t="shared" si="91"/>
        <v>0</v>
      </c>
      <c r="CY146" s="2">
        <f t="shared" si="100"/>
        <v>0</v>
      </c>
      <c r="CZ146" s="2">
        <f t="shared" si="101"/>
        <v>0</v>
      </c>
      <c r="DA146" s="2"/>
      <c r="DB146" s="2"/>
      <c r="DC146" s="2" t="s">
        <v>3</v>
      </c>
      <c r="DD146" s="2" t="s">
        <v>3</v>
      </c>
      <c r="DE146" s="2" t="s">
        <v>3</v>
      </c>
      <c r="DF146" s="2" t="s">
        <v>3</v>
      </c>
      <c r="DG146" s="2" t="s">
        <v>3</v>
      </c>
      <c r="DH146" s="2" t="s">
        <v>3</v>
      </c>
      <c r="DI146" s="2" t="s">
        <v>3</v>
      </c>
      <c r="DJ146" s="2" t="s">
        <v>3</v>
      </c>
      <c r="DK146" s="2" t="s">
        <v>3</v>
      </c>
      <c r="DL146" s="2" t="s">
        <v>3</v>
      </c>
      <c r="DM146" s="2" t="s">
        <v>3</v>
      </c>
      <c r="DN146" s="2">
        <v>0</v>
      </c>
      <c r="DO146" s="2">
        <v>0</v>
      </c>
      <c r="DP146" s="2">
        <v>1</v>
      </c>
      <c r="DQ146" s="2">
        <v>1</v>
      </c>
      <c r="DR146" s="2"/>
      <c r="DS146" s="2"/>
      <c r="DT146" s="2"/>
      <c r="DU146" s="2">
        <v>1013</v>
      </c>
      <c r="DV146" s="2" t="s">
        <v>30</v>
      </c>
      <c r="DW146" s="2" t="s">
        <v>30</v>
      </c>
      <c r="DX146" s="2">
        <v>1</v>
      </c>
      <c r="DY146" s="2"/>
      <c r="DZ146" s="2" t="s">
        <v>3</v>
      </c>
      <c r="EA146" s="2" t="s">
        <v>3</v>
      </c>
      <c r="EB146" s="2" t="s">
        <v>3</v>
      </c>
      <c r="EC146" s="2" t="s">
        <v>3</v>
      </c>
      <c r="ED146" s="2"/>
      <c r="EE146" s="2">
        <v>77313190</v>
      </c>
      <c r="EF146" s="2">
        <v>6</v>
      </c>
      <c r="EG146" s="2" t="s">
        <v>21</v>
      </c>
      <c r="EH146" s="2">
        <v>99</v>
      </c>
      <c r="EI146" s="2" t="s">
        <v>22</v>
      </c>
      <c r="EJ146" s="2">
        <v>1</v>
      </c>
      <c r="EK146" s="2">
        <v>65007</v>
      </c>
      <c r="EL146" s="2" t="s">
        <v>23</v>
      </c>
      <c r="EM146" s="2" t="s">
        <v>24</v>
      </c>
      <c r="EN146" s="2"/>
      <c r="EO146" s="2" t="s">
        <v>3</v>
      </c>
      <c r="EP146" s="2"/>
      <c r="EQ146" s="2">
        <v>0</v>
      </c>
      <c r="ER146" s="2">
        <v>145.05000000000001</v>
      </c>
      <c r="ES146" s="2">
        <v>145.05000000000001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>
        <v>0</v>
      </c>
      <c r="FR146" s="2">
        <v>0</v>
      </c>
      <c r="FS146" s="2">
        <v>0</v>
      </c>
      <c r="FT146" s="2"/>
      <c r="FU146" s="2"/>
      <c r="FV146" s="2"/>
      <c r="FW146" s="2"/>
      <c r="FX146" s="2">
        <v>103</v>
      </c>
      <c r="FY146" s="2">
        <v>52</v>
      </c>
      <c r="FZ146" s="2"/>
      <c r="GA146" s="2" t="s">
        <v>3</v>
      </c>
      <c r="GB146" s="2"/>
      <c r="GC146" s="2"/>
      <c r="GD146" s="2">
        <v>1</v>
      </c>
      <c r="GE146" s="2"/>
      <c r="GF146" s="2">
        <v>-2097274236</v>
      </c>
      <c r="GG146" s="2">
        <v>2</v>
      </c>
      <c r="GH146" s="2">
        <v>1</v>
      </c>
      <c r="GI146" s="2">
        <v>2</v>
      </c>
      <c r="GJ146" s="2">
        <v>0</v>
      </c>
      <c r="GK146" s="2">
        <v>0</v>
      </c>
      <c r="GL146" s="2">
        <f t="shared" si="92"/>
        <v>0</v>
      </c>
      <c r="GM146" s="2">
        <f t="shared" si="93"/>
        <v>1618.74</v>
      </c>
      <c r="GN146" s="2">
        <f t="shared" si="94"/>
        <v>1618.74</v>
      </c>
      <c r="GO146" s="2">
        <f t="shared" si="95"/>
        <v>0</v>
      </c>
      <c r="GP146" s="2">
        <f t="shared" si="96"/>
        <v>0</v>
      </c>
      <c r="GQ146" s="2"/>
      <c r="GR146" s="2">
        <v>0</v>
      </c>
      <c r="GS146" s="2">
        <v>3</v>
      </c>
      <c r="GT146" s="2">
        <v>0</v>
      </c>
      <c r="GU146" s="2" t="s">
        <v>3</v>
      </c>
      <c r="GV146" s="2">
        <f t="shared" si="97"/>
        <v>0</v>
      </c>
      <c r="GW146" s="2">
        <v>1</v>
      </c>
      <c r="GX146" s="2">
        <f t="shared" si="98"/>
        <v>0</v>
      </c>
      <c r="GY146" s="2"/>
      <c r="GZ146" s="2"/>
      <c r="HA146" s="2">
        <v>0</v>
      </c>
      <c r="HB146" s="2">
        <v>0</v>
      </c>
      <c r="HC146" s="2">
        <f t="shared" si="99"/>
        <v>0</v>
      </c>
      <c r="HD146" s="2"/>
      <c r="HE146" s="2" t="s">
        <v>3</v>
      </c>
      <c r="HF146" s="2" t="s">
        <v>3</v>
      </c>
      <c r="HG146" s="2"/>
      <c r="HH146" s="2"/>
      <c r="HI146" s="2"/>
      <c r="HJ146" s="2"/>
      <c r="HK146" s="2"/>
      <c r="HL146" s="2"/>
      <c r="HM146" s="2" t="s">
        <v>3</v>
      </c>
      <c r="HN146" s="2" t="s">
        <v>25</v>
      </c>
      <c r="HO146" s="2" t="s">
        <v>26</v>
      </c>
      <c r="HP146" s="2" t="s">
        <v>23</v>
      </c>
      <c r="HQ146" s="2" t="s">
        <v>23</v>
      </c>
      <c r="HR146" s="2"/>
      <c r="HS146" s="2">
        <v>0</v>
      </c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>
        <v>0</v>
      </c>
      <c r="IL146" s="2"/>
      <c r="IM146" s="2"/>
      <c r="IN146" s="2"/>
      <c r="IO146" s="2"/>
      <c r="IP146" s="2"/>
      <c r="IQ146" s="2"/>
      <c r="IR146" s="2"/>
      <c r="IS146" s="2"/>
      <c r="IT146" s="2"/>
      <c r="IU146" s="2"/>
    </row>
    <row r="147" spans="1:255" ht="409.5" x14ac:dyDescent="0.2">
      <c r="A147" s="2">
        <v>17</v>
      </c>
      <c r="B147" s="2">
        <v>1</v>
      </c>
      <c r="C147" s="2">
        <f>ROW(SmtRes!A170)</f>
        <v>170</v>
      </c>
      <c r="D147" s="2">
        <f>ROW(EtalonRes!A166)</f>
        <v>166</v>
      </c>
      <c r="E147" s="2" t="s">
        <v>271</v>
      </c>
      <c r="F147" s="2" t="s">
        <v>272</v>
      </c>
      <c r="G147" s="2" t="s">
        <v>273</v>
      </c>
      <c r="H147" s="2" t="s">
        <v>274</v>
      </c>
      <c r="I147" s="2">
        <f>ROUND(4.34/100,7)</f>
        <v>4.3400000000000001E-2</v>
      </c>
      <c r="J147" s="2">
        <v>0</v>
      </c>
      <c r="K147" s="2">
        <f>ROUND(4.34/100,7)</f>
        <v>4.3400000000000001E-2</v>
      </c>
      <c r="L147" s="2"/>
      <c r="M147" s="2"/>
      <c r="N147" s="2"/>
      <c r="O147" s="2">
        <f t="shared" si="81"/>
        <v>503.45</v>
      </c>
      <c r="P147" s="2">
        <f>SUMIF(SmtRes!AQ163:'SmtRes'!AQ170,"=1",SmtRes!DF163:'SmtRes'!DF170)</f>
        <v>75.92</v>
      </c>
      <c r="Q147" s="2">
        <f>SUMIF(SmtRes!AQ163:'SmtRes'!AQ170,"=1",SmtRes!DG163:'SmtRes'!DG170)</f>
        <v>3.15</v>
      </c>
      <c r="R147" s="2">
        <f>SUMIF(SmtRes!AQ163:'SmtRes'!AQ170,"=1",SmtRes!DH163:'SmtRes'!DH170)</f>
        <v>1.6800000000000002</v>
      </c>
      <c r="S147" s="2">
        <f>SUMIF(SmtRes!AQ163:'SmtRes'!AQ170,"=1",SmtRes!DI163:'SmtRes'!DI170)</f>
        <v>422.7</v>
      </c>
      <c r="T147" s="2">
        <f t="shared" si="82"/>
        <v>0</v>
      </c>
      <c r="U147" s="2">
        <f>SUMIF(SmtRes!AQ163:'SmtRes'!AQ170,"=1",SmtRes!CV163:'SmtRes'!CV170)</f>
        <v>0.53004419999999997</v>
      </c>
      <c r="V147" s="2">
        <f>SUMIF(SmtRes!AQ163:'SmtRes'!AQ170,"=1",SmtRes!CW163:'SmtRes'!CW170)</f>
        <v>2.1700000000000001E-3</v>
      </c>
      <c r="W147" s="2">
        <f t="shared" si="83"/>
        <v>0</v>
      </c>
      <c r="X147" s="2">
        <f t="shared" si="84"/>
        <v>359.03</v>
      </c>
      <c r="Y147" s="2">
        <f t="shared" si="85"/>
        <v>183.97</v>
      </c>
      <c r="Z147" s="2"/>
      <c r="AA147" s="2">
        <v>80308166</v>
      </c>
      <c r="AB147" s="2">
        <f t="shared" si="86"/>
        <v>10959.06933</v>
      </c>
      <c r="AC147" s="2">
        <f>ROUND((SUM(SmtRes!BQ163:'SmtRes'!BQ170)),6)</f>
        <v>1150.6995899999999</v>
      </c>
      <c r="AD147" s="2">
        <f>ROUND((((SUM(SmtRes!BR163:'SmtRes'!BR170))-(SUM(SmtRes!BS163:'SmtRes'!BS170)))+AE147),6)</f>
        <v>68.746499999999997</v>
      </c>
      <c r="AE147" s="2">
        <f>ROUND((SUM(SmtRes!BS163:'SmtRes'!BS170)),6)</f>
        <v>38.796500000000002</v>
      </c>
      <c r="AF147" s="2">
        <f>ROUND((SUM(SmtRes!BT163:'SmtRes'!BT170)),6)</f>
        <v>9739.6232400000008</v>
      </c>
      <c r="AG147" s="2">
        <f t="shared" si="87"/>
        <v>0</v>
      </c>
      <c r="AH147" s="2">
        <f>(SUM(SmtRes!BU163:'SmtRes'!BU170))</f>
        <v>12.212999999999997</v>
      </c>
      <c r="AI147" s="2">
        <f>(SUM(SmtRes!BV163:'SmtRes'!BV170))</f>
        <v>0.05</v>
      </c>
      <c r="AJ147" s="2">
        <f t="shared" si="88"/>
        <v>0</v>
      </c>
      <c r="AK147" s="2">
        <v>4852.9857950000005</v>
      </c>
      <c r="AL147" s="2">
        <v>575.34979499999997</v>
      </c>
      <c r="AM147" s="2">
        <v>27.4986</v>
      </c>
      <c r="AN147" s="2">
        <v>15.518599999999999</v>
      </c>
      <c r="AO147" s="2">
        <v>4234.6188000000002</v>
      </c>
      <c r="AP147" s="2">
        <v>0</v>
      </c>
      <c r="AQ147" s="2">
        <v>5.31</v>
      </c>
      <c r="AR147" s="2">
        <v>0.02</v>
      </c>
      <c r="AS147" s="2">
        <v>0</v>
      </c>
      <c r="AT147" s="2">
        <v>84.6</v>
      </c>
      <c r="AU147" s="2">
        <v>43.35</v>
      </c>
      <c r="AV147" s="2">
        <v>1</v>
      </c>
      <c r="AW147" s="2">
        <v>1</v>
      </c>
      <c r="AX147" s="2"/>
      <c r="AY147" s="2"/>
      <c r="AZ147" s="2">
        <v>1</v>
      </c>
      <c r="BA147" s="2">
        <v>1</v>
      </c>
      <c r="BB147" s="2">
        <v>1</v>
      </c>
      <c r="BC147" s="2">
        <v>1</v>
      </c>
      <c r="BD147" s="2" t="s">
        <v>3</v>
      </c>
      <c r="BE147" s="2" t="s">
        <v>3</v>
      </c>
      <c r="BF147" s="2" t="s">
        <v>3</v>
      </c>
      <c r="BG147" s="2" t="s">
        <v>3</v>
      </c>
      <c r="BH147" s="2">
        <v>0</v>
      </c>
      <c r="BI147" s="2">
        <v>1</v>
      </c>
      <c r="BJ147" s="2" t="s">
        <v>275</v>
      </c>
      <c r="BK147" s="2"/>
      <c r="BL147" s="2"/>
      <c r="BM147" s="2">
        <v>13001</v>
      </c>
      <c r="BN147" s="2">
        <v>0</v>
      </c>
      <c r="BO147" s="2" t="s">
        <v>3</v>
      </c>
      <c r="BP147" s="2">
        <v>0</v>
      </c>
      <c r="BQ147" s="2">
        <v>2</v>
      </c>
      <c r="BR147" s="2">
        <v>0</v>
      </c>
      <c r="BS147" s="2">
        <v>1</v>
      </c>
      <c r="BT147" s="2">
        <v>1</v>
      </c>
      <c r="BU147" s="2">
        <v>1</v>
      </c>
      <c r="BV147" s="2">
        <v>1</v>
      </c>
      <c r="BW147" s="2">
        <v>1</v>
      </c>
      <c r="BX147" s="2">
        <v>1</v>
      </c>
      <c r="BY147" s="2" t="s">
        <v>3</v>
      </c>
      <c r="BZ147" s="2">
        <v>94</v>
      </c>
      <c r="CA147" s="2">
        <v>51</v>
      </c>
      <c r="CB147" s="2" t="s">
        <v>3</v>
      </c>
      <c r="CC147" s="2"/>
      <c r="CD147" s="2"/>
      <c r="CE147" s="2">
        <v>0</v>
      </c>
      <c r="CF147" s="2">
        <v>0</v>
      </c>
      <c r="CG147" s="2">
        <v>0</v>
      </c>
      <c r="CH147" s="2"/>
      <c r="CI147" s="2"/>
      <c r="CJ147" s="2"/>
      <c r="CK147" s="2"/>
      <c r="CL147" s="2"/>
      <c r="CM147" s="2">
        <v>0</v>
      </c>
      <c r="CN147" s="7" t="s">
        <v>651</v>
      </c>
      <c r="CO147" s="2">
        <v>0</v>
      </c>
      <c r="CP147" s="2">
        <f t="shared" si="89"/>
        <v>503.45</v>
      </c>
      <c r="CQ147" s="2">
        <f>SUMIF(SmtRes!AQ163:'SmtRes'!AQ170,"=1",SmtRes!AA163:'SmtRes'!AA170)</f>
        <v>188246.74</v>
      </c>
      <c r="CR147" s="2">
        <f>SUMIF(SmtRes!AQ163:'SmtRes'!AQ170,"=1",SmtRes!AB163:'SmtRes'!AB170)</f>
        <v>2252.63</v>
      </c>
      <c r="CS147" s="2">
        <f>SUMIF(SmtRes!AQ163:'SmtRes'!AQ170,"=1",SmtRes!AC163:'SmtRes'!AC170)</f>
        <v>1551.86</v>
      </c>
      <c r="CT147" s="2">
        <f>SUMIF(SmtRes!AQ163:'SmtRes'!AQ170,"=1",SmtRes!AD163:'SmtRes'!AD170)</f>
        <v>797.48</v>
      </c>
      <c r="CU147" s="2">
        <f t="shared" si="90"/>
        <v>0</v>
      </c>
      <c r="CV147" s="2">
        <f>SUMIF(SmtRes!AQ163:'SmtRes'!AQ170,"=1",SmtRes!BU163:'SmtRes'!BU170)</f>
        <v>12.212999999999997</v>
      </c>
      <c r="CW147" s="2">
        <f>SUMIF(SmtRes!AQ163:'SmtRes'!AQ170,"=1",SmtRes!BV163:'SmtRes'!BV170)</f>
        <v>0.05</v>
      </c>
      <c r="CX147" s="2">
        <f t="shared" si="91"/>
        <v>0</v>
      </c>
      <c r="CY147" s="2">
        <f t="shared" si="100"/>
        <v>359.02547999999996</v>
      </c>
      <c r="CZ147" s="2">
        <f t="shared" si="101"/>
        <v>183.96872999999999</v>
      </c>
      <c r="DA147" s="2"/>
      <c r="DB147" s="2"/>
      <c r="DC147" s="2" t="s">
        <v>3</v>
      </c>
      <c r="DD147" s="2" t="s">
        <v>276</v>
      </c>
      <c r="DE147" s="2" t="s">
        <v>277</v>
      </c>
      <c r="DF147" s="2" t="s">
        <v>277</v>
      </c>
      <c r="DG147" s="2" t="s">
        <v>278</v>
      </c>
      <c r="DH147" s="2" t="s">
        <v>3</v>
      </c>
      <c r="DI147" s="2" t="s">
        <v>278</v>
      </c>
      <c r="DJ147" s="2" t="s">
        <v>277</v>
      </c>
      <c r="DK147" s="2" t="s">
        <v>3</v>
      </c>
      <c r="DL147" s="2" t="s">
        <v>50</v>
      </c>
      <c r="DM147" s="2" t="s">
        <v>51</v>
      </c>
      <c r="DN147" s="2">
        <v>0</v>
      </c>
      <c r="DO147" s="2">
        <v>0</v>
      </c>
      <c r="DP147" s="2">
        <v>1</v>
      </c>
      <c r="DQ147" s="2">
        <v>1</v>
      </c>
      <c r="DR147" s="2"/>
      <c r="DS147" s="2"/>
      <c r="DT147" s="2"/>
      <c r="DU147" s="2">
        <v>1005</v>
      </c>
      <c r="DV147" s="2" t="s">
        <v>274</v>
      </c>
      <c r="DW147" s="2" t="s">
        <v>274</v>
      </c>
      <c r="DX147" s="2">
        <v>100</v>
      </c>
      <c r="DY147" s="2"/>
      <c r="DZ147" s="2" t="s">
        <v>3</v>
      </c>
      <c r="EA147" s="2" t="s">
        <v>3</v>
      </c>
      <c r="EB147" s="2" t="s">
        <v>3</v>
      </c>
      <c r="EC147" s="2" t="s">
        <v>3</v>
      </c>
      <c r="ED147" s="2"/>
      <c r="EE147" s="2">
        <v>77313095</v>
      </c>
      <c r="EF147" s="2">
        <v>2</v>
      </c>
      <c r="EG147" s="2" t="s">
        <v>52</v>
      </c>
      <c r="EH147" s="2">
        <v>13</v>
      </c>
      <c r="EI147" s="2" t="s">
        <v>279</v>
      </c>
      <c r="EJ147" s="2">
        <v>1</v>
      </c>
      <c r="EK147" s="2">
        <v>13001</v>
      </c>
      <c r="EL147" s="2" t="s">
        <v>280</v>
      </c>
      <c r="EM147" s="2" t="s">
        <v>281</v>
      </c>
      <c r="EN147" s="2"/>
      <c r="EO147" s="2" t="s">
        <v>56</v>
      </c>
      <c r="EP147" s="2"/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5.31</v>
      </c>
      <c r="EX147" s="2">
        <v>0.02</v>
      </c>
      <c r="EY147" s="2">
        <v>0</v>
      </c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>
        <v>0</v>
      </c>
      <c r="FR147" s="2">
        <v>0</v>
      </c>
      <c r="FS147" s="2">
        <v>0</v>
      </c>
      <c r="FT147" s="2"/>
      <c r="FU147" s="2"/>
      <c r="FV147" s="2"/>
      <c r="FW147" s="2"/>
      <c r="FX147" s="2">
        <v>84.6</v>
      </c>
      <c r="FY147" s="2">
        <v>43.35</v>
      </c>
      <c r="FZ147" s="2"/>
      <c r="GA147" s="2" t="s">
        <v>3</v>
      </c>
      <c r="GB147" s="2"/>
      <c r="GC147" s="2"/>
      <c r="GD147" s="2">
        <v>1</v>
      </c>
      <c r="GE147" s="2"/>
      <c r="GF147" s="2">
        <v>-2142071275</v>
      </c>
      <c r="GG147" s="2">
        <v>2</v>
      </c>
      <c r="GH147" s="2">
        <v>1</v>
      </c>
      <c r="GI147" s="2">
        <v>-2</v>
      </c>
      <c r="GJ147" s="2">
        <v>0</v>
      </c>
      <c r="GK147" s="2">
        <v>0</v>
      </c>
      <c r="GL147" s="2">
        <f t="shared" si="92"/>
        <v>0</v>
      </c>
      <c r="GM147" s="2">
        <f t="shared" si="93"/>
        <v>1046.45</v>
      </c>
      <c r="GN147" s="2">
        <f t="shared" si="94"/>
        <v>1046.45</v>
      </c>
      <c r="GO147" s="2">
        <f t="shared" si="95"/>
        <v>0</v>
      </c>
      <c r="GP147" s="2">
        <f t="shared" si="96"/>
        <v>0</v>
      </c>
      <c r="GQ147" s="2"/>
      <c r="GR147" s="2">
        <v>0</v>
      </c>
      <c r="GS147" s="2">
        <v>3</v>
      </c>
      <c r="GT147" s="2">
        <v>0</v>
      </c>
      <c r="GU147" s="2" t="s">
        <v>3</v>
      </c>
      <c r="GV147" s="2">
        <f t="shared" si="97"/>
        <v>0</v>
      </c>
      <c r="GW147" s="2">
        <v>1</v>
      </c>
      <c r="GX147" s="2">
        <f t="shared" si="98"/>
        <v>0</v>
      </c>
      <c r="GY147" s="2"/>
      <c r="GZ147" s="2"/>
      <c r="HA147" s="2">
        <v>0</v>
      </c>
      <c r="HB147" s="2">
        <v>0</v>
      </c>
      <c r="HC147" s="2">
        <f t="shared" si="99"/>
        <v>0</v>
      </c>
      <c r="HD147" s="2"/>
      <c r="HE147" s="2" t="s">
        <v>3</v>
      </c>
      <c r="HF147" s="2" t="s">
        <v>3</v>
      </c>
      <c r="HG147" s="2"/>
      <c r="HH147" s="2"/>
      <c r="HI147" s="2"/>
      <c r="HJ147" s="2"/>
      <c r="HK147" s="2"/>
      <c r="HL147" s="2"/>
      <c r="HM147" s="2" t="s">
        <v>3</v>
      </c>
      <c r="HN147" s="2" t="s">
        <v>282</v>
      </c>
      <c r="HO147" s="2" t="s">
        <v>283</v>
      </c>
      <c r="HP147" s="2" t="s">
        <v>279</v>
      </c>
      <c r="HQ147" s="2" t="s">
        <v>279</v>
      </c>
      <c r="HR147" s="2"/>
      <c r="HS147" s="2">
        <v>0</v>
      </c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>
        <v>0</v>
      </c>
      <c r="IL147" s="2"/>
      <c r="IM147" s="2"/>
      <c r="IN147" s="2"/>
      <c r="IO147" s="2"/>
      <c r="IP147" s="2"/>
      <c r="IQ147" s="2"/>
      <c r="IR147" s="2"/>
      <c r="IS147" s="2"/>
      <c r="IT147" s="2"/>
      <c r="IU147" s="2"/>
    </row>
    <row r="148" spans="1:255" ht="409.5" x14ac:dyDescent="0.2">
      <c r="A148" s="2">
        <v>17</v>
      </c>
      <c r="B148" s="2">
        <v>1</v>
      </c>
      <c r="C148" s="2">
        <f>ROW(SmtRes!A177)</f>
        <v>177</v>
      </c>
      <c r="D148" s="2">
        <f>ROW(EtalonRes!A173)</f>
        <v>173</v>
      </c>
      <c r="E148" s="2" t="s">
        <v>284</v>
      </c>
      <c r="F148" s="2" t="s">
        <v>285</v>
      </c>
      <c r="G148" s="2" t="s">
        <v>286</v>
      </c>
      <c r="H148" s="2" t="s">
        <v>274</v>
      </c>
      <c r="I148" s="2">
        <f>ROUND(4.34/100,7)</f>
        <v>4.3400000000000001E-2</v>
      </c>
      <c r="J148" s="2">
        <v>0</v>
      </c>
      <c r="K148" s="2">
        <f>ROUND(4.34/100,7)</f>
        <v>4.3400000000000001E-2</v>
      </c>
      <c r="L148" s="2"/>
      <c r="M148" s="2"/>
      <c r="N148" s="2"/>
      <c r="O148" s="2">
        <f t="shared" si="81"/>
        <v>1248.07</v>
      </c>
      <c r="P148" s="2">
        <f>SUMIF(SmtRes!AQ171:'SmtRes'!AQ177,"=1",SmtRes!DF171:'SmtRes'!DF177)</f>
        <v>19.88</v>
      </c>
      <c r="Q148" s="2">
        <f>SUMIF(SmtRes!AQ171:'SmtRes'!AQ177,"=1",SmtRes!DG171:'SmtRes'!DG177)</f>
        <v>1.08</v>
      </c>
      <c r="R148" s="2">
        <f>SUMIF(SmtRes!AQ171:'SmtRes'!AQ177,"=1",SmtRes!DH171:'SmtRes'!DH177)</f>
        <v>1.5299999999999998</v>
      </c>
      <c r="S148" s="2">
        <f>SUMIF(SmtRes!AQ171:'SmtRes'!AQ177,"=1",SmtRes!DI171:'SmtRes'!DI177)</f>
        <v>1225.58</v>
      </c>
      <c r="T148" s="2">
        <f t="shared" si="82"/>
        <v>0</v>
      </c>
      <c r="U148" s="2">
        <f>SUMIF(SmtRes!AQ171:'SmtRes'!AQ177,"=1",SmtRes!CV171:'SmtRes'!CV177)</f>
        <v>1.8416790000000001</v>
      </c>
      <c r="V148" s="2">
        <f>SUMIF(SmtRes!AQ171:'SmtRes'!AQ177,"=1",SmtRes!CW171:'SmtRes'!CW177)</f>
        <v>2.1700000000000001E-3</v>
      </c>
      <c r="W148" s="2">
        <f t="shared" si="83"/>
        <v>0</v>
      </c>
      <c r="X148" s="2">
        <f t="shared" si="84"/>
        <v>1104.4000000000001</v>
      </c>
      <c r="Y148" s="2">
        <f t="shared" si="85"/>
        <v>511.09</v>
      </c>
      <c r="Z148" s="2"/>
      <c r="AA148" s="2">
        <v>80308166</v>
      </c>
      <c r="AB148" s="2">
        <f t="shared" si="86"/>
        <v>28640.579324999999</v>
      </c>
      <c r="AC148" s="2">
        <f>ROUND((SUM(SmtRes!BQ171:'SmtRes'!BQ177)),6)</f>
        <v>376.77</v>
      </c>
      <c r="AD148" s="2">
        <f>ROUND((((SUM(SmtRes!BR171:'SmtRes'!BR177))-(SUM(SmtRes!BS171:'SmtRes'!BS177)))+AE148),6)</f>
        <v>24.589874999999999</v>
      </c>
      <c r="AE148" s="2">
        <f>ROUND((SUM(SmtRes!BS171:'SmtRes'!BS177)),6)</f>
        <v>35.092125000000003</v>
      </c>
      <c r="AF148" s="2">
        <f>ROUND((SUM(SmtRes!BT171:'SmtRes'!BT177)),6)</f>
        <v>28239.219450000001</v>
      </c>
      <c r="AG148" s="2">
        <f t="shared" si="87"/>
        <v>0</v>
      </c>
      <c r="AH148" s="2">
        <f>(SUM(SmtRes!BU171:'SmtRes'!BU177))</f>
        <v>42.434999999999995</v>
      </c>
      <c r="AI148" s="2">
        <f>(SUM(SmtRes!BV171:'SmtRes'!BV177))</f>
        <v>0.05</v>
      </c>
      <c r="AJ148" s="2">
        <f t="shared" si="88"/>
        <v>0</v>
      </c>
      <c r="AK148" s="2">
        <v>24980.358600000003</v>
      </c>
      <c r="AL148" s="2">
        <v>376.77</v>
      </c>
      <c r="AM148" s="2">
        <v>19.671899999999997</v>
      </c>
      <c r="AN148" s="2">
        <v>28.073699999999995</v>
      </c>
      <c r="AO148" s="2">
        <v>24555.843000000001</v>
      </c>
      <c r="AP148" s="2">
        <v>0</v>
      </c>
      <c r="AQ148" s="2">
        <v>36.9</v>
      </c>
      <c r="AR148" s="2">
        <v>0.04</v>
      </c>
      <c r="AS148" s="2">
        <v>0</v>
      </c>
      <c r="AT148" s="2">
        <v>90</v>
      </c>
      <c r="AU148" s="2">
        <v>41.65</v>
      </c>
      <c r="AV148" s="2">
        <v>1</v>
      </c>
      <c r="AW148" s="2">
        <v>1</v>
      </c>
      <c r="AX148" s="2"/>
      <c r="AY148" s="2"/>
      <c r="AZ148" s="2">
        <v>1</v>
      </c>
      <c r="BA148" s="2">
        <v>1</v>
      </c>
      <c r="BB148" s="2">
        <v>1</v>
      </c>
      <c r="BC148" s="2">
        <v>1</v>
      </c>
      <c r="BD148" s="2" t="s">
        <v>3</v>
      </c>
      <c r="BE148" s="2" t="s">
        <v>3</v>
      </c>
      <c r="BF148" s="2" t="s">
        <v>3</v>
      </c>
      <c r="BG148" s="2" t="s">
        <v>3</v>
      </c>
      <c r="BH148" s="2">
        <v>0</v>
      </c>
      <c r="BI148" s="2">
        <v>1</v>
      </c>
      <c r="BJ148" s="2" t="s">
        <v>287</v>
      </c>
      <c r="BK148" s="2"/>
      <c r="BL148" s="2"/>
      <c r="BM148" s="2">
        <v>15001</v>
      </c>
      <c r="BN148" s="2">
        <v>0</v>
      </c>
      <c r="BO148" s="2" t="s">
        <v>3</v>
      </c>
      <c r="BP148" s="2">
        <v>0</v>
      </c>
      <c r="BQ148" s="2">
        <v>2</v>
      </c>
      <c r="BR148" s="2">
        <v>0</v>
      </c>
      <c r="BS148" s="2">
        <v>1</v>
      </c>
      <c r="BT148" s="2">
        <v>1</v>
      </c>
      <c r="BU148" s="2">
        <v>1</v>
      </c>
      <c r="BV148" s="2">
        <v>1</v>
      </c>
      <c r="BW148" s="2">
        <v>1</v>
      </c>
      <c r="BX148" s="2">
        <v>1</v>
      </c>
      <c r="BY148" s="2" t="s">
        <v>3</v>
      </c>
      <c r="BZ148" s="2">
        <v>100</v>
      </c>
      <c r="CA148" s="2">
        <v>49</v>
      </c>
      <c r="CB148" s="2" t="s">
        <v>3</v>
      </c>
      <c r="CC148" s="2"/>
      <c r="CD148" s="2"/>
      <c r="CE148" s="2">
        <v>0</v>
      </c>
      <c r="CF148" s="2">
        <v>0</v>
      </c>
      <c r="CG148" s="2">
        <v>0</v>
      </c>
      <c r="CH148" s="2"/>
      <c r="CI148" s="2"/>
      <c r="CJ148" s="2"/>
      <c r="CK148" s="2"/>
      <c r="CL148" s="2"/>
      <c r="CM148" s="2">
        <v>0</v>
      </c>
      <c r="CN148" s="7" t="s">
        <v>651</v>
      </c>
      <c r="CO148" s="2">
        <v>0</v>
      </c>
      <c r="CP148" s="2">
        <f t="shared" si="89"/>
        <v>1248.07</v>
      </c>
      <c r="CQ148" s="2">
        <f>SUMIF(SmtRes!AQ171:'SmtRes'!AQ177,"=1",SmtRes!AA171:'SmtRes'!AA177)</f>
        <v>246.38</v>
      </c>
      <c r="CR148" s="2">
        <f>SUMIF(SmtRes!AQ171:'SmtRes'!AQ177,"=1",SmtRes!AB171:'SmtRes'!AB177)</f>
        <v>700.76</v>
      </c>
      <c r="CS148" s="2">
        <f>SUMIF(SmtRes!AQ171:'SmtRes'!AQ177,"=1",SmtRes!AC171:'SmtRes'!AC177)</f>
        <v>1363.27</v>
      </c>
      <c r="CT148" s="2">
        <f>SUMIF(SmtRes!AQ171:'SmtRes'!AQ177,"=1",SmtRes!AD171:'SmtRes'!AD177)</f>
        <v>665.47</v>
      </c>
      <c r="CU148" s="2">
        <f t="shared" si="90"/>
        <v>0</v>
      </c>
      <c r="CV148" s="2">
        <f>SUMIF(SmtRes!AQ171:'SmtRes'!AQ177,"=1",SmtRes!BU171:'SmtRes'!BU177)</f>
        <v>42.434999999999995</v>
      </c>
      <c r="CW148" s="2">
        <f>SUMIF(SmtRes!AQ171:'SmtRes'!AQ177,"=1",SmtRes!BV171:'SmtRes'!BV177)</f>
        <v>0.05</v>
      </c>
      <c r="CX148" s="2">
        <f t="shared" si="91"/>
        <v>0</v>
      </c>
      <c r="CY148" s="2">
        <f t="shared" si="100"/>
        <v>1104.3989999999999</v>
      </c>
      <c r="CZ148" s="2">
        <f t="shared" si="101"/>
        <v>511.09131499999995</v>
      </c>
      <c r="DA148" s="2"/>
      <c r="DB148" s="2">
        <v>13</v>
      </c>
      <c r="DC148" s="2" t="s">
        <v>3</v>
      </c>
      <c r="DD148" s="2" t="s">
        <v>3</v>
      </c>
      <c r="DE148" s="2" t="s">
        <v>48</v>
      </c>
      <c r="DF148" s="2" t="s">
        <v>48</v>
      </c>
      <c r="DG148" s="2" t="s">
        <v>49</v>
      </c>
      <c r="DH148" s="2" t="s">
        <v>3</v>
      </c>
      <c r="DI148" s="2" t="s">
        <v>49</v>
      </c>
      <c r="DJ148" s="2" t="s">
        <v>48</v>
      </c>
      <c r="DK148" s="2" t="s">
        <v>3</v>
      </c>
      <c r="DL148" s="2" t="s">
        <v>50</v>
      </c>
      <c r="DM148" s="2" t="s">
        <v>51</v>
      </c>
      <c r="DN148" s="2">
        <v>0</v>
      </c>
      <c r="DO148" s="2">
        <v>0</v>
      </c>
      <c r="DP148" s="2">
        <v>1</v>
      </c>
      <c r="DQ148" s="2">
        <v>1</v>
      </c>
      <c r="DR148" s="2"/>
      <c r="DS148" s="2"/>
      <c r="DT148" s="2"/>
      <c r="DU148" s="2">
        <v>1005</v>
      </c>
      <c r="DV148" s="2" t="s">
        <v>274</v>
      </c>
      <c r="DW148" s="2" t="s">
        <v>274</v>
      </c>
      <c r="DX148" s="2">
        <v>100</v>
      </c>
      <c r="DY148" s="2"/>
      <c r="DZ148" s="2" t="s">
        <v>3</v>
      </c>
      <c r="EA148" s="2" t="s">
        <v>3</v>
      </c>
      <c r="EB148" s="2" t="s">
        <v>3</v>
      </c>
      <c r="EC148" s="2" t="s">
        <v>3</v>
      </c>
      <c r="ED148" s="2"/>
      <c r="EE148" s="2">
        <v>77313118</v>
      </c>
      <c r="EF148" s="2">
        <v>2</v>
      </c>
      <c r="EG148" s="2" t="s">
        <v>52</v>
      </c>
      <c r="EH148" s="2">
        <v>15</v>
      </c>
      <c r="EI148" s="2" t="s">
        <v>288</v>
      </c>
      <c r="EJ148" s="2">
        <v>1</v>
      </c>
      <c r="EK148" s="2">
        <v>15001</v>
      </c>
      <c r="EL148" s="2" t="s">
        <v>288</v>
      </c>
      <c r="EM148" s="2" t="s">
        <v>289</v>
      </c>
      <c r="EN148" s="2"/>
      <c r="EO148" s="2" t="s">
        <v>56</v>
      </c>
      <c r="EP148" s="2"/>
      <c r="EQ148" s="2">
        <v>0</v>
      </c>
      <c r="ER148" s="2">
        <v>0</v>
      </c>
      <c r="ES148" s="2">
        <v>0</v>
      </c>
      <c r="ET148" s="2">
        <v>0</v>
      </c>
      <c r="EU148" s="2">
        <v>0</v>
      </c>
      <c r="EV148" s="2">
        <v>0</v>
      </c>
      <c r="EW148" s="2">
        <v>36.9</v>
      </c>
      <c r="EX148" s="2">
        <v>0.04</v>
      </c>
      <c r="EY148" s="2">
        <v>0</v>
      </c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>
        <v>0</v>
      </c>
      <c r="FR148" s="2">
        <v>0</v>
      </c>
      <c r="FS148" s="2">
        <v>0</v>
      </c>
      <c r="FT148" s="2"/>
      <c r="FU148" s="2"/>
      <c r="FV148" s="2"/>
      <c r="FW148" s="2"/>
      <c r="FX148" s="2">
        <v>90</v>
      </c>
      <c r="FY148" s="2">
        <v>41.65</v>
      </c>
      <c r="FZ148" s="2"/>
      <c r="GA148" s="2" t="s">
        <v>3</v>
      </c>
      <c r="GB148" s="2"/>
      <c r="GC148" s="2"/>
      <c r="GD148" s="2">
        <v>1</v>
      </c>
      <c r="GE148" s="2"/>
      <c r="GF148" s="2">
        <v>1845832054</v>
      </c>
      <c r="GG148" s="2">
        <v>2</v>
      </c>
      <c r="GH148" s="2">
        <v>1</v>
      </c>
      <c r="GI148" s="2">
        <v>-2</v>
      </c>
      <c r="GJ148" s="2">
        <v>0</v>
      </c>
      <c r="GK148" s="2">
        <v>0</v>
      </c>
      <c r="GL148" s="2">
        <f t="shared" si="92"/>
        <v>0</v>
      </c>
      <c r="GM148" s="2">
        <f t="shared" si="93"/>
        <v>2863.56</v>
      </c>
      <c r="GN148" s="2">
        <f t="shared" si="94"/>
        <v>2863.56</v>
      </c>
      <c r="GO148" s="2">
        <f t="shared" si="95"/>
        <v>0</v>
      </c>
      <c r="GP148" s="2">
        <f t="shared" si="96"/>
        <v>0</v>
      </c>
      <c r="GQ148" s="2"/>
      <c r="GR148" s="2">
        <v>0</v>
      </c>
      <c r="GS148" s="2">
        <v>3</v>
      </c>
      <c r="GT148" s="2">
        <v>0</v>
      </c>
      <c r="GU148" s="2" t="s">
        <v>3</v>
      </c>
      <c r="GV148" s="2">
        <f t="shared" si="97"/>
        <v>0</v>
      </c>
      <c r="GW148" s="2">
        <v>1</v>
      </c>
      <c r="GX148" s="2">
        <f t="shared" si="98"/>
        <v>0</v>
      </c>
      <c r="GY148" s="2"/>
      <c r="GZ148" s="2"/>
      <c r="HA148" s="2">
        <v>0</v>
      </c>
      <c r="HB148" s="2">
        <v>0</v>
      </c>
      <c r="HC148" s="2">
        <f t="shared" si="99"/>
        <v>0</v>
      </c>
      <c r="HD148" s="2"/>
      <c r="HE148" s="2" t="s">
        <v>3</v>
      </c>
      <c r="HF148" s="2" t="s">
        <v>3</v>
      </c>
      <c r="HG148" s="2"/>
      <c r="HH148" s="2"/>
      <c r="HI148" s="2"/>
      <c r="HJ148" s="2"/>
      <c r="HK148" s="2"/>
      <c r="HL148" s="2"/>
      <c r="HM148" s="2" t="s">
        <v>3</v>
      </c>
      <c r="HN148" s="2" t="s">
        <v>290</v>
      </c>
      <c r="HO148" s="2" t="s">
        <v>291</v>
      </c>
      <c r="HP148" s="2" t="s">
        <v>288</v>
      </c>
      <c r="HQ148" s="2" t="s">
        <v>288</v>
      </c>
      <c r="HR148" s="2"/>
      <c r="HS148" s="2">
        <v>0</v>
      </c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>
        <v>0</v>
      </c>
      <c r="IL148" s="2"/>
      <c r="IM148" s="2"/>
      <c r="IN148" s="2"/>
      <c r="IO148" s="2"/>
      <c r="IP148" s="2"/>
      <c r="IQ148" s="2"/>
      <c r="IR148" s="2"/>
      <c r="IS148" s="2"/>
      <c r="IT148" s="2"/>
      <c r="IU148" s="2"/>
    </row>
    <row r="149" spans="1:255" x14ac:dyDescent="0.2">
      <c r="A149" s="2">
        <v>18</v>
      </c>
      <c r="B149" s="2">
        <v>1</v>
      </c>
      <c r="C149" s="2">
        <v>176</v>
      </c>
      <c r="D149" s="2"/>
      <c r="E149" s="2" t="s">
        <v>292</v>
      </c>
      <c r="F149" s="2" t="s">
        <v>293</v>
      </c>
      <c r="G149" s="2" t="s">
        <v>294</v>
      </c>
      <c r="H149" s="2" t="s">
        <v>295</v>
      </c>
      <c r="I149" s="2">
        <f>I148*J149</f>
        <v>1.0676399999999999</v>
      </c>
      <c r="J149" s="2">
        <v>24.599999999999998</v>
      </c>
      <c r="K149" s="2">
        <v>24.6</v>
      </c>
      <c r="L149" s="2"/>
      <c r="M149" s="2"/>
      <c r="N149" s="2"/>
      <c r="O149" s="2">
        <f t="shared" si="81"/>
        <v>92.4</v>
      </c>
      <c r="P149" s="2">
        <f>ROUND(CQ149*I149,2)</f>
        <v>92.4</v>
      </c>
      <c r="Q149" s="2">
        <f>ROUND(CR149*I149,2)</f>
        <v>0</v>
      </c>
      <c r="R149" s="2">
        <f>ROUND(CS149*I149,2)</f>
        <v>0</v>
      </c>
      <c r="S149" s="2">
        <f>ROUND(CT149*I149,2)</f>
        <v>0</v>
      </c>
      <c r="T149" s="2">
        <f t="shared" si="82"/>
        <v>0</v>
      </c>
      <c r="U149" s="2">
        <f>ROUND(CV149*I149,7)</f>
        <v>0</v>
      </c>
      <c r="V149" s="2">
        <f>ROUND(CW149*I149,7)</f>
        <v>0</v>
      </c>
      <c r="W149" s="2">
        <f t="shared" si="83"/>
        <v>0</v>
      </c>
      <c r="X149" s="2">
        <f t="shared" si="84"/>
        <v>0</v>
      </c>
      <c r="Y149" s="2">
        <f t="shared" si="85"/>
        <v>0</v>
      </c>
      <c r="Z149" s="2"/>
      <c r="AA149" s="2">
        <v>80308166</v>
      </c>
      <c r="AB149" s="2">
        <f t="shared" si="86"/>
        <v>61.82</v>
      </c>
      <c r="AC149" s="2">
        <f>ROUND((ES149),6)</f>
        <v>61.82</v>
      </c>
      <c r="AD149" s="2">
        <f>ROUND((((ET149)-(EU149))+AE149),6)</f>
        <v>0</v>
      </c>
      <c r="AE149" s="2">
        <f>ROUND((EU149),6)</f>
        <v>0</v>
      </c>
      <c r="AF149" s="2">
        <f>ROUND((EV149),6)</f>
        <v>0</v>
      </c>
      <c r="AG149" s="2">
        <f t="shared" si="87"/>
        <v>0</v>
      </c>
      <c r="AH149" s="2">
        <f>(EW149)</f>
        <v>0</v>
      </c>
      <c r="AI149" s="2">
        <f>(EX149)</f>
        <v>0</v>
      </c>
      <c r="AJ149" s="2">
        <f t="shared" si="88"/>
        <v>0</v>
      </c>
      <c r="AK149" s="2">
        <v>61.82</v>
      </c>
      <c r="AL149" s="2">
        <v>61.82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100</v>
      </c>
      <c r="AU149" s="2">
        <v>49</v>
      </c>
      <c r="AV149" s="2">
        <v>1</v>
      </c>
      <c r="AW149" s="2">
        <v>1</v>
      </c>
      <c r="AX149" s="2"/>
      <c r="AY149" s="2"/>
      <c r="AZ149" s="2">
        <v>1</v>
      </c>
      <c r="BA149" s="2">
        <v>1</v>
      </c>
      <c r="BB149" s="2">
        <v>1</v>
      </c>
      <c r="BC149" s="2">
        <v>1.4</v>
      </c>
      <c r="BD149" s="2" t="s">
        <v>3</v>
      </c>
      <c r="BE149" s="2" t="s">
        <v>3</v>
      </c>
      <c r="BF149" s="2" t="s">
        <v>3</v>
      </c>
      <c r="BG149" s="2" t="s">
        <v>3</v>
      </c>
      <c r="BH149" s="2">
        <v>3</v>
      </c>
      <c r="BI149" s="2">
        <v>1</v>
      </c>
      <c r="BJ149" s="2" t="s">
        <v>296</v>
      </c>
      <c r="BK149" s="2"/>
      <c r="BL149" s="2"/>
      <c r="BM149" s="2">
        <v>15001</v>
      </c>
      <c r="BN149" s="2">
        <v>0</v>
      </c>
      <c r="BO149" s="2" t="s">
        <v>293</v>
      </c>
      <c r="BP149" s="2">
        <v>1</v>
      </c>
      <c r="BQ149" s="2">
        <v>2</v>
      </c>
      <c r="BR149" s="2">
        <v>0</v>
      </c>
      <c r="BS149" s="2">
        <v>1</v>
      </c>
      <c r="BT149" s="2">
        <v>1</v>
      </c>
      <c r="BU149" s="2">
        <v>1</v>
      </c>
      <c r="BV149" s="2">
        <v>1</v>
      </c>
      <c r="BW149" s="2">
        <v>1</v>
      </c>
      <c r="BX149" s="2">
        <v>1</v>
      </c>
      <c r="BY149" s="2" t="s">
        <v>3</v>
      </c>
      <c r="BZ149" s="2">
        <v>100</v>
      </c>
      <c r="CA149" s="2">
        <v>49</v>
      </c>
      <c r="CB149" s="2" t="s">
        <v>3</v>
      </c>
      <c r="CC149" s="2"/>
      <c r="CD149" s="2"/>
      <c r="CE149" s="2">
        <v>0</v>
      </c>
      <c r="CF149" s="2">
        <v>0</v>
      </c>
      <c r="CG149" s="2">
        <v>0</v>
      </c>
      <c r="CH149" s="2"/>
      <c r="CI149" s="2"/>
      <c r="CJ149" s="2"/>
      <c r="CK149" s="2"/>
      <c r="CL149" s="2"/>
      <c r="CM149" s="2">
        <v>0</v>
      </c>
      <c r="CN149" s="2" t="s">
        <v>3</v>
      </c>
      <c r="CO149" s="2">
        <v>0</v>
      </c>
      <c r="CP149" s="2">
        <f t="shared" si="89"/>
        <v>92.4</v>
      </c>
      <c r="CQ149" s="2">
        <f>ROUND(AL149*BC149,2)</f>
        <v>86.55</v>
      </c>
      <c r="CR149" s="2">
        <f>ROUND(AM149*BB149,2)</f>
        <v>0</v>
      </c>
      <c r="CS149" s="2">
        <f>ROUND(AN149*BS149,2)</f>
        <v>0</v>
      </c>
      <c r="CT149" s="2">
        <f>ROUND(AO149*BA149,2)</f>
        <v>0</v>
      </c>
      <c r="CU149" s="2">
        <f t="shared" si="90"/>
        <v>0</v>
      </c>
      <c r="CV149" s="2">
        <f>AH149</f>
        <v>0</v>
      </c>
      <c r="CW149" s="2">
        <f>AI149</f>
        <v>0</v>
      </c>
      <c r="CX149" s="2">
        <f t="shared" si="91"/>
        <v>0</v>
      </c>
      <c r="CY149" s="2">
        <f t="shared" si="100"/>
        <v>0</v>
      </c>
      <c r="CZ149" s="2">
        <f t="shared" si="101"/>
        <v>0</v>
      </c>
      <c r="DA149" s="2"/>
      <c r="DB149" s="2"/>
      <c r="DC149" s="2" t="s">
        <v>3</v>
      </c>
      <c r="DD149" s="2" t="s">
        <v>3</v>
      </c>
      <c r="DE149" s="2" t="s">
        <v>3</v>
      </c>
      <c r="DF149" s="2" t="s">
        <v>3</v>
      </c>
      <c r="DG149" s="2" t="s">
        <v>3</v>
      </c>
      <c r="DH149" s="2" t="s">
        <v>3</v>
      </c>
      <c r="DI149" s="2" t="s">
        <v>3</v>
      </c>
      <c r="DJ149" s="2" t="s">
        <v>3</v>
      </c>
      <c r="DK149" s="2" t="s">
        <v>3</v>
      </c>
      <c r="DL149" s="2" t="s">
        <v>3</v>
      </c>
      <c r="DM149" s="2" t="s">
        <v>3</v>
      </c>
      <c r="DN149" s="2">
        <v>0</v>
      </c>
      <c r="DO149" s="2">
        <v>0</v>
      </c>
      <c r="DP149" s="2">
        <v>1</v>
      </c>
      <c r="DQ149" s="2">
        <v>1</v>
      </c>
      <c r="DR149" s="2"/>
      <c r="DS149" s="2"/>
      <c r="DT149" s="2"/>
      <c r="DU149" s="2">
        <v>1009</v>
      </c>
      <c r="DV149" s="2" t="s">
        <v>295</v>
      </c>
      <c r="DW149" s="2" t="s">
        <v>295</v>
      </c>
      <c r="DX149" s="2">
        <v>1</v>
      </c>
      <c r="DY149" s="2"/>
      <c r="DZ149" s="2" t="s">
        <v>3</v>
      </c>
      <c r="EA149" s="2" t="s">
        <v>3</v>
      </c>
      <c r="EB149" s="2" t="s">
        <v>3</v>
      </c>
      <c r="EC149" s="2" t="s">
        <v>3</v>
      </c>
      <c r="ED149" s="2"/>
      <c r="EE149" s="2">
        <v>77313118</v>
      </c>
      <c r="EF149" s="2">
        <v>2</v>
      </c>
      <c r="EG149" s="2" t="s">
        <v>52</v>
      </c>
      <c r="EH149" s="2">
        <v>15</v>
      </c>
      <c r="EI149" s="2" t="s">
        <v>288</v>
      </c>
      <c r="EJ149" s="2">
        <v>1</v>
      </c>
      <c r="EK149" s="2">
        <v>15001</v>
      </c>
      <c r="EL149" s="2" t="s">
        <v>288</v>
      </c>
      <c r="EM149" s="2" t="s">
        <v>289</v>
      </c>
      <c r="EN149" s="2"/>
      <c r="EO149" s="2" t="s">
        <v>3</v>
      </c>
      <c r="EP149" s="2"/>
      <c r="EQ149" s="2">
        <v>0</v>
      </c>
      <c r="ER149" s="2">
        <v>61.82</v>
      </c>
      <c r="ES149" s="2">
        <v>61.82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>
        <v>0</v>
      </c>
      <c r="FR149" s="2">
        <v>0</v>
      </c>
      <c r="FS149" s="2">
        <v>0</v>
      </c>
      <c r="FT149" s="2"/>
      <c r="FU149" s="2"/>
      <c r="FV149" s="2"/>
      <c r="FW149" s="2"/>
      <c r="FX149" s="2">
        <v>100</v>
      </c>
      <c r="FY149" s="2">
        <v>49</v>
      </c>
      <c r="FZ149" s="2"/>
      <c r="GA149" s="2" t="s">
        <v>3</v>
      </c>
      <c r="GB149" s="2"/>
      <c r="GC149" s="2"/>
      <c r="GD149" s="2">
        <v>1</v>
      </c>
      <c r="GE149" s="2"/>
      <c r="GF149" s="2">
        <v>1612743121</v>
      </c>
      <c r="GG149" s="2">
        <v>2</v>
      </c>
      <c r="GH149" s="2">
        <v>1</v>
      </c>
      <c r="GI149" s="2">
        <v>2</v>
      </c>
      <c r="GJ149" s="2">
        <v>0</v>
      </c>
      <c r="GK149" s="2">
        <v>0</v>
      </c>
      <c r="GL149" s="2">
        <f t="shared" si="92"/>
        <v>0</v>
      </c>
      <c r="GM149" s="2">
        <f t="shared" si="93"/>
        <v>92.4</v>
      </c>
      <c r="GN149" s="2">
        <f t="shared" si="94"/>
        <v>92.4</v>
      </c>
      <c r="GO149" s="2">
        <f t="shared" si="95"/>
        <v>0</v>
      </c>
      <c r="GP149" s="2">
        <f t="shared" si="96"/>
        <v>0</v>
      </c>
      <c r="GQ149" s="2"/>
      <c r="GR149" s="2">
        <v>0</v>
      </c>
      <c r="GS149" s="2">
        <v>3</v>
      </c>
      <c r="GT149" s="2">
        <v>0</v>
      </c>
      <c r="GU149" s="2" t="s">
        <v>3</v>
      </c>
      <c r="GV149" s="2">
        <f t="shared" si="97"/>
        <v>0</v>
      </c>
      <c r="GW149" s="2">
        <v>1</v>
      </c>
      <c r="GX149" s="2">
        <f t="shared" si="98"/>
        <v>0</v>
      </c>
      <c r="GY149" s="2"/>
      <c r="GZ149" s="2"/>
      <c r="HA149" s="2">
        <v>0</v>
      </c>
      <c r="HB149" s="2">
        <v>0</v>
      </c>
      <c r="HC149" s="2">
        <f t="shared" si="99"/>
        <v>0</v>
      </c>
      <c r="HD149" s="2"/>
      <c r="HE149" s="2" t="s">
        <v>3</v>
      </c>
      <c r="HF149" s="2" t="s">
        <v>3</v>
      </c>
      <c r="HG149" s="2"/>
      <c r="HH149" s="2"/>
      <c r="HI149" s="2"/>
      <c r="HJ149" s="2"/>
      <c r="HK149" s="2"/>
      <c r="HL149" s="2"/>
      <c r="HM149" s="2" t="s">
        <v>3</v>
      </c>
      <c r="HN149" s="2" t="s">
        <v>290</v>
      </c>
      <c r="HO149" s="2" t="s">
        <v>291</v>
      </c>
      <c r="HP149" s="2" t="s">
        <v>288</v>
      </c>
      <c r="HQ149" s="2" t="s">
        <v>288</v>
      </c>
      <c r="HR149" s="2"/>
      <c r="HS149" s="2">
        <v>0</v>
      </c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>
        <v>0</v>
      </c>
      <c r="IL149" s="2"/>
      <c r="IM149" s="2"/>
      <c r="IN149" s="2"/>
      <c r="IO149" s="2"/>
      <c r="IP149" s="2"/>
      <c r="IQ149" s="2"/>
      <c r="IR149" s="2"/>
      <c r="IS149" s="2"/>
      <c r="IT149" s="2"/>
      <c r="IU149" s="2"/>
    </row>
    <row r="150" spans="1:255" x14ac:dyDescent="0.2">
      <c r="A150" s="2">
        <v>17</v>
      </c>
      <c r="B150" s="2">
        <v>1</v>
      </c>
      <c r="C150" s="2">
        <f>ROW(SmtRes!A178)</f>
        <v>178</v>
      </c>
      <c r="D150" s="2">
        <f>ROW(EtalonRes!A174)</f>
        <v>174</v>
      </c>
      <c r="E150" s="2" t="s">
        <v>297</v>
      </c>
      <c r="F150" s="2" t="s">
        <v>298</v>
      </c>
      <c r="G150" s="2" t="s">
        <v>299</v>
      </c>
      <c r="H150" s="2" t="s">
        <v>274</v>
      </c>
      <c r="I150" s="2">
        <f>ROUND(2.83/100,7)</f>
        <v>2.8299999999999999E-2</v>
      </c>
      <c r="J150" s="2">
        <v>0</v>
      </c>
      <c r="K150" s="2">
        <f>ROUND(2.83/100,7)</f>
        <v>2.8299999999999999E-2</v>
      </c>
      <c r="L150" s="2"/>
      <c r="M150" s="2"/>
      <c r="N150" s="2"/>
      <c r="O150" s="2">
        <f t="shared" si="81"/>
        <v>337.86</v>
      </c>
      <c r="P150" s="2">
        <f>SUMIF(SmtRes!AQ178:'SmtRes'!AQ178,"=1",SmtRes!DF178:'SmtRes'!DF178)</f>
        <v>0</v>
      </c>
      <c r="Q150" s="2">
        <f>SUMIF(SmtRes!AQ178:'SmtRes'!AQ178,"=1",SmtRes!DG178:'SmtRes'!DG178)</f>
        <v>0</v>
      </c>
      <c r="R150" s="2">
        <f>SUMIF(SmtRes!AQ178:'SmtRes'!AQ178,"=1",SmtRes!DH178:'SmtRes'!DH178)</f>
        <v>0</v>
      </c>
      <c r="S150" s="2">
        <f>SUMIF(SmtRes!AQ178:'SmtRes'!AQ178,"=1",SmtRes!DI178:'SmtRes'!DI178)</f>
        <v>337.86</v>
      </c>
      <c r="T150" s="2">
        <f t="shared" si="82"/>
        <v>0</v>
      </c>
      <c r="U150" s="2">
        <f>SUMIF(SmtRes!AQ178:'SmtRes'!AQ178,"=1",SmtRes!CV178:'SmtRes'!CV178)</f>
        <v>0.54052999999999995</v>
      </c>
      <c r="V150" s="2">
        <f>SUMIF(SmtRes!AQ178:'SmtRes'!AQ178,"=1",SmtRes!CW178:'SmtRes'!CW178)</f>
        <v>0</v>
      </c>
      <c r="W150" s="2">
        <f t="shared" si="83"/>
        <v>0</v>
      </c>
      <c r="X150" s="2">
        <f t="shared" si="84"/>
        <v>300.7</v>
      </c>
      <c r="Y150" s="2">
        <f t="shared" si="85"/>
        <v>148.66</v>
      </c>
      <c r="Z150" s="2"/>
      <c r="AA150" s="2">
        <v>80308166</v>
      </c>
      <c r="AB150" s="2">
        <f t="shared" si="86"/>
        <v>11938.455</v>
      </c>
      <c r="AC150" s="2">
        <f>ROUND((0),6)</f>
        <v>0</v>
      </c>
      <c r="AD150" s="2">
        <f>ROUND((((0)-(0))+AE150),6)</f>
        <v>0</v>
      </c>
      <c r="AE150" s="2">
        <f>ROUND((0),6)</f>
        <v>0</v>
      </c>
      <c r="AF150" s="2">
        <f>ROUND((SUM(SmtRes!BT178:'SmtRes'!BT178)),6)</f>
        <v>11938.455</v>
      </c>
      <c r="AG150" s="2">
        <f t="shared" si="87"/>
        <v>0</v>
      </c>
      <c r="AH150" s="2">
        <f>(SUM(SmtRes!BU178:'SmtRes'!BU178))</f>
        <v>19.100000000000001</v>
      </c>
      <c r="AI150" s="2">
        <f>(0)</f>
        <v>0</v>
      </c>
      <c r="AJ150" s="2">
        <f t="shared" si="88"/>
        <v>0</v>
      </c>
      <c r="AK150" s="2">
        <v>11938.455</v>
      </c>
      <c r="AL150" s="2">
        <v>0</v>
      </c>
      <c r="AM150" s="2">
        <v>0</v>
      </c>
      <c r="AN150" s="2">
        <v>0</v>
      </c>
      <c r="AO150" s="2">
        <v>11938.455</v>
      </c>
      <c r="AP150" s="2">
        <v>0</v>
      </c>
      <c r="AQ150" s="2">
        <v>19.100000000000001</v>
      </c>
      <c r="AR150" s="2">
        <v>0</v>
      </c>
      <c r="AS150" s="2">
        <v>0</v>
      </c>
      <c r="AT150" s="2">
        <v>89</v>
      </c>
      <c r="AU150" s="2">
        <v>44</v>
      </c>
      <c r="AV150" s="2">
        <v>1</v>
      </c>
      <c r="AW150" s="2">
        <v>1</v>
      </c>
      <c r="AX150" s="2"/>
      <c r="AY150" s="2"/>
      <c r="AZ150" s="2">
        <v>1</v>
      </c>
      <c r="BA150" s="2">
        <v>1</v>
      </c>
      <c r="BB150" s="2">
        <v>1</v>
      </c>
      <c r="BC150" s="2">
        <v>1</v>
      </c>
      <c r="BD150" s="2" t="s">
        <v>3</v>
      </c>
      <c r="BE150" s="2" t="s">
        <v>3</v>
      </c>
      <c r="BF150" s="2" t="s">
        <v>3</v>
      </c>
      <c r="BG150" s="2" t="s">
        <v>3</v>
      </c>
      <c r="BH150" s="2">
        <v>0</v>
      </c>
      <c r="BI150" s="2">
        <v>1</v>
      </c>
      <c r="BJ150" s="2" t="s">
        <v>300</v>
      </c>
      <c r="BK150" s="2"/>
      <c r="BL150" s="2"/>
      <c r="BM150" s="2">
        <v>66001</v>
      </c>
      <c r="BN150" s="2">
        <v>0</v>
      </c>
      <c r="BO150" s="2" t="s">
        <v>3</v>
      </c>
      <c r="BP150" s="2">
        <v>0</v>
      </c>
      <c r="BQ150" s="2">
        <v>6</v>
      </c>
      <c r="BR150" s="2">
        <v>0</v>
      </c>
      <c r="BS150" s="2">
        <v>1</v>
      </c>
      <c r="BT150" s="2">
        <v>1</v>
      </c>
      <c r="BU150" s="2">
        <v>1</v>
      </c>
      <c r="BV150" s="2">
        <v>1</v>
      </c>
      <c r="BW150" s="2">
        <v>1</v>
      </c>
      <c r="BX150" s="2">
        <v>1</v>
      </c>
      <c r="BY150" s="2" t="s">
        <v>3</v>
      </c>
      <c r="BZ150" s="2">
        <v>89</v>
      </c>
      <c r="CA150" s="2">
        <v>44</v>
      </c>
      <c r="CB150" s="2" t="s">
        <v>3</v>
      </c>
      <c r="CC150" s="2"/>
      <c r="CD150" s="2"/>
      <c r="CE150" s="2">
        <v>0</v>
      </c>
      <c r="CF150" s="2">
        <v>0</v>
      </c>
      <c r="CG150" s="2">
        <v>0</v>
      </c>
      <c r="CH150" s="2"/>
      <c r="CI150" s="2"/>
      <c r="CJ150" s="2"/>
      <c r="CK150" s="2"/>
      <c r="CL150" s="2"/>
      <c r="CM150" s="2">
        <v>0</v>
      </c>
      <c r="CN150" s="2" t="s">
        <v>3</v>
      </c>
      <c r="CO150" s="2">
        <v>0</v>
      </c>
      <c r="CP150" s="2">
        <f t="shared" si="89"/>
        <v>337.86</v>
      </c>
      <c r="CQ150" s="2">
        <f>SUMIF(SmtRes!AQ178:'SmtRes'!AQ178,"=1",SmtRes!AA178:'SmtRes'!AA178)</f>
        <v>0</v>
      </c>
      <c r="CR150" s="2">
        <f>SUMIF(SmtRes!AQ178:'SmtRes'!AQ178,"=1",SmtRes!AB178:'SmtRes'!AB178)</f>
        <v>0</v>
      </c>
      <c r="CS150" s="2">
        <f>SUMIF(SmtRes!AQ178:'SmtRes'!AQ178,"=1",SmtRes!AC178:'SmtRes'!AC178)</f>
        <v>0</v>
      </c>
      <c r="CT150" s="2">
        <f>SUMIF(SmtRes!AQ178:'SmtRes'!AQ178,"=1",SmtRes!AD178:'SmtRes'!AD178)</f>
        <v>625.04999999999995</v>
      </c>
      <c r="CU150" s="2">
        <f t="shared" si="90"/>
        <v>0</v>
      </c>
      <c r="CV150" s="2">
        <f>SUMIF(SmtRes!AQ178:'SmtRes'!AQ178,"=1",SmtRes!BU178:'SmtRes'!BU178)</f>
        <v>19.100000000000001</v>
      </c>
      <c r="CW150" s="2">
        <f>SUMIF(SmtRes!AQ178:'SmtRes'!AQ178,"=1",SmtRes!BV178:'SmtRes'!BV178)</f>
        <v>0</v>
      </c>
      <c r="CX150" s="2">
        <f t="shared" si="91"/>
        <v>0</v>
      </c>
      <c r="CY150" s="2">
        <f t="shared" si="100"/>
        <v>300.69540000000001</v>
      </c>
      <c r="CZ150" s="2">
        <f t="shared" si="101"/>
        <v>148.6584</v>
      </c>
      <c r="DA150" s="2"/>
      <c r="DB150" s="2"/>
      <c r="DC150" s="2" t="s">
        <v>3</v>
      </c>
      <c r="DD150" s="2" t="s">
        <v>3</v>
      </c>
      <c r="DE150" s="2" t="s">
        <v>3</v>
      </c>
      <c r="DF150" s="2" t="s">
        <v>3</v>
      </c>
      <c r="DG150" s="2" t="s">
        <v>3</v>
      </c>
      <c r="DH150" s="2" t="s">
        <v>3</v>
      </c>
      <c r="DI150" s="2" t="s">
        <v>3</v>
      </c>
      <c r="DJ150" s="2" t="s">
        <v>3</v>
      </c>
      <c r="DK150" s="2" t="s">
        <v>3</v>
      </c>
      <c r="DL150" s="2" t="s">
        <v>3</v>
      </c>
      <c r="DM150" s="2" t="s">
        <v>3</v>
      </c>
      <c r="DN150" s="2">
        <v>0</v>
      </c>
      <c r="DO150" s="2">
        <v>0</v>
      </c>
      <c r="DP150" s="2">
        <v>1</v>
      </c>
      <c r="DQ150" s="2">
        <v>1</v>
      </c>
      <c r="DR150" s="2"/>
      <c r="DS150" s="2"/>
      <c r="DT150" s="2"/>
      <c r="DU150" s="2">
        <v>1005</v>
      </c>
      <c r="DV150" s="2" t="s">
        <v>274</v>
      </c>
      <c r="DW150" s="2" t="s">
        <v>274</v>
      </c>
      <c r="DX150" s="2">
        <v>100</v>
      </c>
      <c r="DY150" s="2"/>
      <c r="DZ150" s="2" t="s">
        <v>3</v>
      </c>
      <c r="EA150" s="2" t="s">
        <v>3</v>
      </c>
      <c r="EB150" s="2" t="s">
        <v>3</v>
      </c>
      <c r="EC150" s="2" t="s">
        <v>3</v>
      </c>
      <c r="ED150" s="2"/>
      <c r="EE150" s="2">
        <v>77313195</v>
      </c>
      <c r="EF150" s="2">
        <v>6</v>
      </c>
      <c r="EG150" s="2" t="s">
        <v>21</v>
      </c>
      <c r="EH150" s="2">
        <v>100</v>
      </c>
      <c r="EI150" s="2" t="s">
        <v>301</v>
      </c>
      <c r="EJ150" s="2">
        <v>1</v>
      </c>
      <c r="EK150" s="2">
        <v>66001</v>
      </c>
      <c r="EL150" s="2" t="s">
        <v>302</v>
      </c>
      <c r="EM150" s="2" t="s">
        <v>303</v>
      </c>
      <c r="EN150" s="2"/>
      <c r="EO150" s="2" t="s">
        <v>3</v>
      </c>
      <c r="EP150" s="2"/>
      <c r="EQ150" s="2">
        <v>0</v>
      </c>
      <c r="ER150" s="2">
        <v>0</v>
      </c>
      <c r="ES150" s="2">
        <v>0</v>
      </c>
      <c r="ET150" s="2">
        <v>0</v>
      </c>
      <c r="EU150" s="2">
        <v>0</v>
      </c>
      <c r="EV150" s="2">
        <v>0</v>
      </c>
      <c r="EW150" s="2">
        <v>19.100000000000001</v>
      </c>
      <c r="EX150" s="2">
        <v>0</v>
      </c>
      <c r="EY150" s="2">
        <v>0</v>
      </c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>
        <v>0</v>
      </c>
      <c r="FR150" s="2">
        <v>0</v>
      </c>
      <c r="FS150" s="2">
        <v>0</v>
      </c>
      <c r="FT150" s="2"/>
      <c r="FU150" s="2"/>
      <c r="FV150" s="2"/>
      <c r="FW150" s="2"/>
      <c r="FX150" s="2">
        <v>89</v>
      </c>
      <c r="FY150" s="2">
        <v>44</v>
      </c>
      <c r="FZ150" s="2"/>
      <c r="GA150" s="2" t="s">
        <v>3</v>
      </c>
      <c r="GB150" s="2"/>
      <c r="GC150" s="2"/>
      <c r="GD150" s="2">
        <v>1</v>
      </c>
      <c r="GE150" s="2"/>
      <c r="GF150" s="2">
        <v>1039068519</v>
      </c>
      <c r="GG150" s="2">
        <v>2</v>
      </c>
      <c r="GH150" s="2">
        <v>1</v>
      </c>
      <c r="GI150" s="2">
        <v>-2</v>
      </c>
      <c r="GJ150" s="2">
        <v>0</v>
      </c>
      <c r="GK150" s="2">
        <v>0</v>
      </c>
      <c r="GL150" s="2">
        <f t="shared" si="92"/>
        <v>0</v>
      </c>
      <c r="GM150" s="2">
        <f t="shared" si="93"/>
        <v>787.22</v>
      </c>
      <c r="GN150" s="2">
        <f t="shared" si="94"/>
        <v>787.22</v>
      </c>
      <c r="GO150" s="2">
        <f t="shared" si="95"/>
        <v>0</v>
      </c>
      <c r="GP150" s="2">
        <f t="shared" si="96"/>
        <v>0</v>
      </c>
      <c r="GQ150" s="2"/>
      <c r="GR150" s="2">
        <v>0</v>
      </c>
      <c r="GS150" s="2">
        <v>3</v>
      </c>
      <c r="GT150" s="2">
        <v>0</v>
      </c>
      <c r="GU150" s="2" t="s">
        <v>3</v>
      </c>
      <c r="GV150" s="2">
        <f t="shared" si="97"/>
        <v>0</v>
      </c>
      <c r="GW150" s="2">
        <v>1</v>
      </c>
      <c r="GX150" s="2">
        <f t="shared" si="98"/>
        <v>0</v>
      </c>
      <c r="GY150" s="2"/>
      <c r="GZ150" s="2"/>
      <c r="HA150" s="2">
        <v>0</v>
      </c>
      <c r="HB150" s="2">
        <v>0</v>
      </c>
      <c r="HC150" s="2">
        <f t="shared" si="99"/>
        <v>0</v>
      </c>
      <c r="HD150" s="2"/>
      <c r="HE150" s="2" t="s">
        <v>3</v>
      </c>
      <c r="HF150" s="2" t="s">
        <v>3</v>
      </c>
      <c r="HG150" s="2"/>
      <c r="HH150" s="2"/>
      <c r="HI150" s="2"/>
      <c r="HJ150" s="2"/>
      <c r="HK150" s="2"/>
      <c r="HL150" s="2"/>
      <c r="HM150" s="2" t="s">
        <v>3</v>
      </c>
      <c r="HN150" s="2" t="s">
        <v>304</v>
      </c>
      <c r="HO150" s="2" t="s">
        <v>305</v>
      </c>
      <c r="HP150" s="2" t="s">
        <v>302</v>
      </c>
      <c r="HQ150" s="2" t="s">
        <v>302</v>
      </c>
      <c r="HR150" s="2"/>
      <c r="HS150" s="2">
        <v>0</v>
      </c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>
        <v>0</v>
      </c>
      <c r="IL150" s="2"/>
      <c r="IM150" s="2"/>
      <c r="IN150" s="2"/>
      <c r="IO150" s="2"/>
      <c r="IP150" s="2"/>
      <c r="IQ150" s="2"/>
      <c r="IR150" s="2"/>
      <c r="IS150" s="2"/>
      <c r="IT150" s="2"/>
      <c r="IU150" s="2"/>
    </row>
    <row r="151" spans="1:255" ht="409.5" x14ac:dyDescent="0.2">
      <c r="A151" s="2">
        <v>17</v>
      </c>
      <c r="B151" s="2">
        <v>1</v>
      </c>
      <c r="C151" s="2">
        <f>ROW(SmtRes!A188)</f>
        <v>188</v>
      </c>
      <c r="D151" s="2">
        <f>ROW(EtalonRes!A184)</f>
        <v>184</v>
      </c>
      <c r="E151" s="2" t="s">
        <v>306</v>
      </c>
      <c r="F151" s="2" t="s">
        <v>307</v>
      </c>
      <c r="G151" s="2" t="s">
        <v>308</v>
      </c>
      <c r="H151" s="2" t="s">
        <v>309</v>
      </c>
      <c r="I151" s="2">
        <v>0.11</v>
      </c>
      <c r="J151" s="2">
        <v>0</v>
      </c>
      <c r="K151" s="2">
        <v>0.11</v>
      </c>
      <c r="L151" s="2"/>
      <c r="M151" s="2"/>
      <c r="N151" s="2"/>
      <c r="O151" s="2">
        <f t="shared" si="81"/>
        <v>2141.09</v>
      </c>
      <c r="P151" s="2">
        <f>SUMIF(SmtRes!AQ179:'SmtRes'!AQ188,"=1",SmtRes!DF179:'SmtRes'!DF188)</f>
        <v>456.84999999999997</v>
      </c>
      <c r="Q151" s="2">
        <f>SUMIF(SmtRes!AQ179:'SmtRes'!AQ188,"=1",SmtRes!DG179:'SmtRes'!DG188)</f>
        <v>37.76</v>
      </c>
      <c r="R151" s="2">
        <f>SUMIF(SmtRes!AQ179:'SmtRes'!AQ188,"=1",SmtRes!DH179:'SmtRes'!DH188)</f>
        <v>36.729999999999997</v>
      </c>
      <c r="S151" s="2">
        <f>SUMIF(SmtRes!AQ179:'SmtRes'!AQ188,"=1",SmtRes!DI179:'SmtRes'!DI188)</f>
        <v>1609.75</v>
      </c>
      <c r="T151" s="2">
        <f t="shared" si="82"/>
        <v>0</v>
      </c>
      <c r="U151" s="2">
        <f>SUMIF(SmtRes!AQ179:'SmtRes'!AQ188,"=1",SmtRes!CV179:'SmtRes'!CV188)</f>
        <v>2.3339249999999998</v>
      </c>
      <c r="V151" s="2">
        <f>SUMIF(SmtRes!AQ179:'SmtRes'!AQ188,"=1",SmtRes!CW179:'SmtRes'!CW188)</f>
        <v>5.0874999999999997E-2</v>
      </c>
      <c r="W151" s="2">
        <f t="shared" si="83"/>
        <v>0</v>
      </c>
      <c r="X151" s="2">
        <f t="shared" si="84"/>
        <v>1437.38</v>
      </c>
      <c r="Y151" s="2">
        <f t="shared" si="85"/>
        <v>769.73</v>
      </c>
      <c r="Z151" s="2"/>
      <c r="AA151" s="2">
        <v>80308166</v>
      </c>
      <c r="AB151" s="2">
        <f t="shared" si="86"/>
        <v>19385.644443000001</v>
      </c>
      <c r="AC151" s="2">
        <f>ROUND((SUM(SmtRes!BQ179:'SmtRes'!BQ188)),6)</f>
        <v>4422.4384680000003</v>
      </c>
      <c r="AD151" s="2">
        <f>ROUND((((SUM(SmtRes!BR179:'SmtRes'!BR188))-(SUM(SmtRes!BS179:'SmtRes'!BS188)))+AE151),6)</f>
        <v>329.07187499999998</v>
      </c>
      <c r="AE151" s="2">
        <f>ROUND((SUM(SmtRes!BS179:'SmtRes'!BS188)),6)</f>
        <v>333.948125</v>
      </c>
      <c r="AF151" s="2">
        <f>ROUND((SUM(SmtRes!BT179:'SmtRes'!BT188)),6)</f>
        <v>14634.134099999999</v>
      </c>
      <c r="AG151" s="2">
        <f t="shared" si="87"/>
        <v>0</v>
      </c>
      <c r="AH151" s="2">
        <f>(SUM(SmtRes!BU179:'SmtRes'!BU188))</f>
        <v>21.217499999999998</v>
      </c>
      <c r="AI151" s="2">
        <f>(SUM(SmtRes!BV179:'SmtRes'!BV188))</f>
        <v>0.46250000000000002</v>
      </c>
      <c r="AJ151" s="2">
        <f t="shared" si="88"/>
        <v>0</v>
      </c>
      <c r="AK151" s="2">
        <v>17678.188468000004</v>
      </c>
      <c r="AL151" s="2">
        <v>4422.4384680000003</v>
      </c>
      <c r="AM151" s="2">
        <v>263.25749999999999</v>
      </c>
      <c r="AN151" s="2">
        <v>267.1585</v>
      </c>
      <c r="AO151" s="2">
        <v>12725.334000000001</v>
      </c>
      <c r="AP151" s="2">
        <v>0</v>
      </c>
      <c r="AQ151" s="2">
        <v>18.45</v>
      </c>
      <c r="AR151" s="2">
        <v>0.37</v>
      </c>
      <c r="AS151" s="2">
        <v>0</v>
      </c>
      <c r="AT151" s="2">
        <v>87.3</v>
      </c>
      <c r="AU151" s="2">
        <v>46.75</v>
      </c>
      <c r="AV151" s="2">
        <v>1</v>
      </c>
      <c r="AW151" s="2">
        <v>1</v>
      </c>
      <c r="AX151" s="2"/>
      <c r="AY151" s="2"/>
      <c r="AZ151" s="2">
        <v>1</v>
      </c>
      <c r="BA151" s="2">
        <v>1</v>
      </c>
      <c r="BB151" s="2">
        <v>1</v>
      </c>
      <c r="BC151" s="2">
        <v>1</v>
      </c>
      <c r="BD151" s="2" t="s">
        <v>3</v>
      </c>
      <c r="BE151" s="2" t="s">
        <v>3</v>
      </c>
      <c r="BF151" s="2" t="s">
        <v>3</v>
      </c>
      <c r="BG151" s="2" t="s">
        <v>3</v>
      </c>
      <c r="BH151" s="2">
        <v>0</v>
      </c>
      <c r="BI151" s="2">
        <v>1</v>
      </c>
      <c r="BJ151" s="2" t="s">
        <v>310</v>
      </c>
      <c r="BK151" s="2"/>
      <c r="BL151" s="2"/>
      <c r="BM151" s="2">
        <v>26001</v>
      </c>
      <c r="BN151" s="2">
        <v>0</v>
      </c>
      <c r="BO151" s="2" t="s">
        <v>3</v>
      </c>
      <c r="BP151" s="2">
        <v>0</v>
      </c>
      <c r="BQ151" s="2">
        <v>2</v>
      </c>
      <c r="BR151" s="2">
        <v>0</v>
      </c>
      <c r="BS151" s="2">
        <v>1</v>
      </c>
      <c r="BT151" s="2">
        <v>1</v>
      </c>
      <c r="BU151" s="2">
        <v>1</v>
      </c>
      <c r="BV151" s="2">
        <v>1</v>
      </c>
      <c r="BW151" s="2">
        <v>1</v>
      </c>
      <c r="BX151" s="2">
        <v>1</v>
      </c>
      <c r="BY151" s="2" t="s">
        <v>3</v>
      </c>
      <c r="BZ151" s="2">
        <v>97</v>
      </c>
      <c r="CA151" s="2">
        <v>55</v>
      </c>
      <c r="CB151" s="2" t="s">
        <v>3</v>
      </c>
      <c r="CC151" s="2"/>
      <c r="CD151" s="2"/>
      <c r="CE151" s="2">
        <v>0</v>
      </c>
      <c r="CF151" s="2">
        <v>0</v>
      </c>
      <c r="CG151" s="2">
        <v>0</v>
      </c>
      <c r="CH151" s="2"/>
      <c r="CI151" s="2"/>
      <c r="CJ151" s="2"/>
      <c r="CK151" s="2"/>
      <c r="CL151" s="2"/>
      <c r="CM151" s="2">
        <v>0</v>
      </c>
      <c r="CN151" s="7" t="s">
        <v>651</v>
      </c>
      <c r="CO151" s="2">
        <v>0</v>
      </c>
      <c r="CP151" s="2">
        <f t="shared" si="89"/>
        <v>2141.09</v>
      </c>
      <c r="CQ151" s="2">
        <f>SUMIF(SmtRes!AQ179:'SmtRes'!AQ188,"=1",SmtRes!AA179:'SmtRes'!AA188)</f>
        <v>685793.04999999993</v>
      </c>
      <c r="CR151" s="2">
        <f>SUMIF(SmtRes!AQ179:'SmtRes'!AQ188,"=1",SmtRes!AB179:'SmtRes'!AB188)</f>
        <v>674.31</v>
      </c>
      <c r="CS151" s="2">
        <f>SUMIF(SmtRes!AQ179:'SmtRes'!AQ188,"=1",SmtRes!AC179:'SmtRes'!AC188)</f>
        <v>722.05</v>
      </c>
      <c r="CT151" s="2">
        <f>SUMIF(SmtRes!AQ179:'SmtRes'!AQ188,"=1",SmtRes!AD179:'SmtRes'!AD188)</f>
        <v>689.72</v>
      </c>
      <c r="CU151" s="2">
        <f t="shared" si="90"/>
        <v>0</v>
      </c>
      <c r="CV151" s="2">
        <f>SUMIF(SmtRes!AQ179:'SmtRes'!AQ188,"=1",SmtRes!BU179:'SmtRes'!BU188)</f>
        <v>21.217499999999998</v>
      </c>
      <c r="CW151" s="2">
        <f>SUMIF(SmtRes!AQ179:'SmtRes'!AQ188,"=1",SmtRes!BV179:'SmtRes'!BV188)</f>
        <v>0.46250000000000002</v>
      </c>
      <c r="CX151" s="2">
        <f t="shared" si="91"/>
        <v>0</v>
      </c>
      <c r="CY151" s="2">
        <f t="shared" si="100"/>
        <v>1437.3770400000001</v>
      </c>
      <c r="CZ151" s="2">
        <f t="shared" si="101"/>
        <v>769.72940000000006</v>
      </c>
      <c r="DA151" s="2"/>
      <c r="DB151" s="2">
        <v>14</v>
      </c>
      <c r="DC151" s="2" t="s">
        <v>3</v>
      </c>
      <c r="DD151" s="2" t="s">
        <v>3</v>
      </c>
      <c r="DE151" s="2" t="s">
        <v>48</v>
      </c>
      <c r="DF151" s="2" t="s">
        <v>48</v>
      </c>
      <c r="DG151" s="2" t="s">
        <v>49</v>
      </c>
      <c r="DH151" s="2" t="s">
        <v>3</v>
      </c>
      <c r="DI151" s="2" t="s">
        <v>49</v>
      </c>
      <c r="DJ151" s="2" t="s">
        <v>48</v>
      </c>
      <c r="DK151" s="2" t="s">
        <v>3</v>
      </c>
      <c r="DL151" s="2" t="s">
        <v>50</v>
      </c>
      <c r="DM151" s="2" t="s">
        <v>51</v>
      </c>
      <c r="DN151" s="2">
        <v>0</v>
      </c>
      <c r="DO151" s="2">
        <v>0</v>
      </c>
      <c r="DP151" s="2">
        <v>1</v>
      </c>
      <c r="DQ151" s="2">
        <v>1</v>
      </c>
      <c r="DR151" s="2"/>
      <c r="DS151" s="2"/>
      <c r="DT151" s="2"/>
      <c r="DU151" s="2">
        <v>1007</v>
      </c>
      <c r="DV151" s="2" t="s">
        <v>309</v>
      </c>
      <c r="DW151" s="2" t="s">
        <v>309</v>
      </c>
      <c r="DX151" s="2">
        <v>1</v>
      </c>
      <c r="DY151" s="2"/>
      <c r="DZ151" s="2" t="s">
        <v>3</v>
      </c>
      <c r="EA151" s="2" t="s">
        <v>3</v>
      </c>
      <c r="EB151" s="2" t="s">
        <v>3</v>
      </c>
      <c r="EC151" s="2" t="s">
        <v>3</v>
      </c>
      <c r="ED151" s="2"/>
      <c r="EE151" s="2">
        <v>77313132</v>
      </c>
      <c r="EF151" s="2">
        <v>2</v>
      </c>
      <c r="EG151" s="2" t="s">
        <v>52</v>
      </c>
      <c r="EH151" s="2">
        <v>20</v>
      </c>
      <c r="EI151" s="2" t="s">
        <v>311</v>
      </c>
      <c r="EJ151" s="2">
        <v>1</v>
      </c>
      <c r="EK151" s="2">
        <v>26001</v>
      </c>
      <c r="EL151" s="2" t="s">
        <v>311</v>
      </c>
      <c r="EM151" s="2" t="s">
        <v>312</v>
      </c>
      <c r="EN151" s="2"/>
      <c r="EO151" s="2" t="s">
        <v>56</v>
      </c>
      <c r="EP151" s="2"/>
      <c r="EQ151" s="2">
        <v>0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18.45</v>
      </c>
      <c r="EX151" s="2">
        <v>0.37</v>
      </c>
      <c r="EY151" s="2">
        <v>0</v>
      </c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>
        <v>0</v>
      </c>
      <c r="FR151" s="2">
        <v>0</v>
      </c>
      <c r="FS151" s="2">
        <v>0</v>
      </c>
      <c r="FT151" s="2"/>
      <c r="FU151" s="2"/>
      <c r="FV151" s="2"/>
      <c r="FW151" s="2"/>
      <c r="FX151" s="2">
        <v>87.3</v>
      </c>
      <c r="FY151" s="2">
        <v>46.75</v>
      </c>
      <c r="FZ151" s="2"/>
      <c r="GA151" s="2" t="s">
        <v>3</v>
      </c>
      <c r="GB151" s="2"/>
      <c r="GC151" s="2"/>
      <c r="GD151" s="2">
        <v>1</v>
      </c>
      <c r="GE151" s="2"/>
      <c r="GF151" s="2">
        <v>364370599</v>
      </c>
      <c r="GG151" s="2">
        <v>2</v>
      </c>
      <c r="GH151" s="2">
        <v>1</v>
      </c>
      <c r="GI151" s="2">
        <v>-2</v>
      </c>
      <c r="GJ151" s="2">
        <v>0</v>
      </c>
      <c r="GK151" s="2">
        <v>0</v>
      </c>
      <c r="GL151" s="2">
        <f t="shared" si="92"/>
        <v>0</v>
      </c>
      <c r="GM151" s="2">
        <f t="shared" si="93"/>
        <v>4348.2</v>
      </c>
      <c r="GN151" s="2">
        <f t="shared" si="94"/>
        <v>4348.2</v>
      </c>
      <c r="GO151" s="2">
        <f t="shared" si="95"/>
        <v>0</v>
      </c>
      <c r="GP151" s="2">
        <f t="shared" si="96"/>
        <v>0</v>
      </c>
      <c r="GQ151" s="2"/>
      <c r="GR151" s="2">
        <v>0</v>
      </c>
      <c r="GS151" s="2">
        <v>3</v>
      </c>
      <c r="GT151" s="2">
        <v>0</v>
      </c>
      <c r="GU151" s="2" t="s">
        <v>3</v>
      </c>
      <c r="GV151" s="2">
        <f t="shared" si="97"/>
        <v>0</v>
      </c>
      <c r="GW151" s="2">
        <v>1</v>
      </c>
      <c r="GX151" s="2">
        <f t="shared" si="98"/>
        <v>0</v>
      </c>
      <c r="GY151" s="2"/>
      <c r="GZ151" s="2"/>
      <c r="HA151" s="2">
        <v>0</v>
      </c>
      <c r="HB151" s="2">
        <v>0</v>
      </c>
      <c r="HC151" s="2">
        <f t="shared" si="99"/>
        <v>0</v>
      </c>
      <c r="HD151" s="2"/>
      <c r="HE151" s="2" t="s">
        <v>3</v>
      </c>
      <c r="HF151" s="2" t="s">
        <v>3</v>
      </c>
      <c r="HG151" s="2"/>
      <c r="HH151" s="2"/>
      <c r="HI151" s="2"/>
      <c r="HJ151" s="2"/>
      <c r="HK151" s="2"/>
      <c r="HL151" s="2"/>
      <c r="HM151" s="2" t="s">
        <v>3</v>
      </c>
      <c r="HN151" s="2" t="s">
        <v>313</v>
      </c>
      <c r="HO151" s="2" t="s">
        <v>314</v>
      </c>
      <c r="HP151" s="2" t="s">
        <v>311</v>
      </c>
      <c r="HQ151" s="2" t="s">
        <v>311</v>
      </c>
      <c r="HR151" s="2"/>
      <c r="HS151" s="2">
        <v>0</v>
      </c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>
        <v>0</v>
      </c>
      <c r="IL151" s="2"/>
      <c r="IM151" s="2"/>
      <c r="IN151" s="2"/>
      <c r="IO151" s="2"/>
      <c r="IP151" s="2"/>
      <c r="IQ151" s="2"/>
      <c r="IR151" s="2"/>
      <c r="IS151" s="2"/>
      <c r="IT151" s="2"/>
      <c r="IU151" s="2"/>
    </row>
    <row r="152" spans="1:255" x14ac:dyDescent="0.2">
      <c r="A152" s="2">
        <v>18</v>
      </c>
      <c r="B152" s="2">
        <v>1</v>
      </c>
      <c r="C152" s="2">
        <v>188</v>
      </c>
      <c r="D152" s="2"/>
      <c r="E152" s="2" t="s">
        <v>315</v>
      </c>
      <c r="F152" s="2" t="s">
        <v>316</v>
      </c>
      <c r="G152" s="2" t="s">
        <v>652</v>
      </c>
      <c r="H152" s="2" t="s">
        <v>253</v>
      </c>
      <c r="I152" s="2">
        <f>I151*J152</f>
        <v>9.27</v>
      </c>
      <c r="J152" s="2">
        <v>84.272727272727266</v>
      </c>
      <c r="K152" s="2">
        <v>84.2727273</v>
      </c>
      <c r="L152" s="2"/>
      <c r="M152" s="2"/>
      <c r="N152" s="2"/>
      <c r="O152" s="2">
        <f t="shared" si="81"/>
        <v>5487.93</v>
      </c>
      <c r="P152" s="2">
        <f>ROUND(CQ152*I152,2)</f>
        <v>5487.93</v>
      </c>
      <c r="Q152" s="2">
        <f>ROUND(CR152*I152,2)</f>
        <v>0</v>
      </c>
      <c r="R152" s="2">
        <f>ROUND(CS152*I152,2)</f>
        <v>0</v>
      </c>
      <c r="S152" s="2">
        <f>ROUND(CT152*I152,2)</f>
        <v>0</v>
      </c>
      <c r="T152" s="2">
        <f t="shared" si="82"/>
        <v>0</v>
      </c>
      <c r="U152" s="2">
        <f>ROUND(CV152*I152,7)</f>
        <v>0</v>
      </c>
      <c r="V152" s="2">
        <f>ROUND(CW152*I152,7)</f>
        <v>0</v>
      </c>
      <c r="W152" s="2">
        <f t="shared" si="83"/>
        <v>0</v>
      </c>
      <c r="X152" s="2">
        <f t="shared" si="84"/>
        <v>0</v>
      </c>
      <c r="Y152" s="2">
        <f t="shared" si="85"/>
        <v>0</v>
      </c>
      <c r="Z152" s="2"/>
      <c r="AA152" s="2">
        <v>80308166</v>
      </c>
      <c r="AB152" s="2">
        <f t="shared" si="86"/>
        <v>428.99</v>
      </c>
      <c r="AC152" s="2">
        <f>ROUND((ES152),6)</f>
        <v>428.99</v>
      </c>
      <c r="AD152" s="2">
        <f>ROUND((((ET152)-(EU152))+AE152),6)</f>
        <v>0</v>
      </c>
      <c r="AE152" s="2">
        <f>ROUND((EU152),6)</f>
        <v>0</v>
      </c>
      <c r="AF152" s="2">
        <f>ROUND((EV152),6)</f>
        <v>0</v>
      </c>
      <c r="AG152" s="2">
        <f t="shared" si="87"/>
        <v>0</v>
      </c>
      <c r="AH152" s="2">
        <f>(EW152)</f>
        <v>0</v>
      </c>
      <c r="AI152" s="2">
        <f>(EX152)</f>
        <v>0</v>
      </c>
      <c r="AJ152" s="2">
        <f t="shared" si="88"/>
        <v>0</v>
      </c>
      <c r="AK152" s="2">
        <v>428.99</v>
      </c>
      <c r="AL152" s="2">
        <v>428.99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97</v>
      </c>
      <c r="AU152" s="2">
        <v>55</v>
      </c>
      <c r="AV152" s="2">
        <v>1</v>
      </c>
      <c r="AW152" s="2">
        <v>1</v>
      </c>
      <c r="AX152" s="2"/>
      <c r="AY152" s="2"/>
      <c r="AZ152" s="2">
        <v>1</v>
      </c>
      <c r="BA152" s="2">
        <v>1</v>
      </c>
      <c r="BB152" s="2">
        <v>1</v>
      </c>
      <c r="BC152" s="2">
        <v>1.38</v>
      </c>
      <c r="BD152" s="2" t="s">
        <v>3</v>
      </c>
      <c r="BE152" s="2" t="s">
        <v>3</v>
      </c>
      <c r="BF152" s="2" t="s">
        <v>3</v>
      </c>
      <c r="BG152" s="2" t="s">
        <v>3</v>
      </c>
      <c r="BH152" s="2">
        <v>3</v>
      </c>
      <c r="BI152" s="2">
        <v>1</v>
      </c>
      <c r="BJ152" s="2" t="s">
        <v>317</v>
      </c>
      <c r="BK152" s="2"/>
      <c r="BL152" s="2"/>
      <c r="BM152" s="2">
        <v>26001</v>
      </c>
      <c r="BN152" s="2">
        <v>0</v>
      </c>
      <c r="BO152" s="2" t="s">
        <v>316</v>
      </c>
      <c r="BP152" s="2">
        <v>1</v>
      </c>
      <c r="BQ152" s="2">
        <v>2</v>
      </c>
      <c r="BR152" s="2">
        <v>0</v>
      </c>
      <c r="BS152" s="2">
        <v>1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 t="s">
        <v>3</v>
      </c>
      <c r="BZ152" s="2">
        <v>97</v>
      </c>
      <c r="CA152" s="2">
        <v>55</v>
      </c>
      <c r="CB152" s="2" t="s">
        <v>3</v>
      </c>
      <c r="CC152" s="2"/>
      <c r="CD152" s="2"/>
      <c r="CE152" s="2">
        <v>0</v>
      </c>
      <c r="CF152" s="2">
        <v>0</v>
      </c>
      <c r="CG152" s="2">
        <v>0</v>
      </c>
      <c r="CH152" s="2"/>
      <c r="CI152" s="2"/>
      <c r="CJ152" s="2"/>
      <c r="CK152" s="2"/>
      <c r="CL152" s="2"/>
      <c r="CM152" s="2">
        <v>0</v>
      </c>
      <c r="CN152" s="2" t="s">
        <v>3</v>
      </c>
      <c r="CO152" s="2">
        <v>0</v>
      </c>
      <c r="CP152" s="2">
        <f t="shared" si="89"/>
        <v>5487.93</v>
      </c>
      <c r="CQ152" s="2">
        <f>ROUND(AL152*BC152,2)</f>
        <v>592.01</v>
      </c>
      <c r="CR152" s="2">
        <f>ROUND(AM152*BB152,2)</f>
        <v>0</v>
      </c>
      <c r="CS152" s="2">
        <f>ROUND(AN152*BS152,2)</f>
        <v>0</v>
      </c>
      <c r="CT152" s="2">
        <f>ROUND(AO152*BA152,2)</f>
        <v>0</v>
      </c>
      <c r="CU152" s="2">
        <f t="shared" si="90"/>
        <v>0</v>
      </c>
      <c r="CV152" s="2">
        <f>AH152</f>
        <v>0</v>
      </c>
      <c r="CW152" s="2">
        <f>AI152</f>
        <v>0</v>
      </c>
      <c r="CX152" s="2">
        <f t="shared" si="91"/>
        <v>0</v>
      </c>
      <c r="CY152" s="2">
        <f t="shared" si="100"/>
        <v>0</v>
      </c>
      <c r="CZ152" s="2">
        <f t="shared" si="101"/>
        <v>0</v>
      </c>
      <c r="DA152" s="2"/>
      <c r="DB152" s="2"/>
      <c r="DC152" s="2" t="s">
        <v>3</v>
      </c>
      <c r="DD152" s="2" t="s">
        <v>3</v>
      </c>
      <c r="DE152" s="2" t="s">
        <v>3</v>
      </c>
      <c r="DF152" s="2" t="s">
        <v>3</v>
      </c>
      <c r="DG152" s="2" t="s">
        <v>3</v>
      </c>
      <c r="DH152" s="2" t="s">
        <v>3</v>
      </c>
      <c r="DI152" s="2" t="s">
        <v>3</v>
      </c>
      <c r="DJ152" s="2" t="s">
        <v>3</v>
      </c>
      <c r="DK152" s="2" t="s">
        <v>3</v>
      </c>
      <c r="DL152" s="2" t="s">
        <v>3</v>
      </c>
      <c r="DM152" s="2" t="s">
        <v>3</v>
      </c>
      <c r="DN152" s="2">
        <v>0</v>
      </c>
      <c r="DO152" s="2">
        <v>0</v>
      </c>
      <c r="DP152" s="2">
        <v>1</v>
      </c>
      <c r="DQ152" s="2">
        <v>1</v>
      </c>
      <c r="DR152" s="2"/>
      <c r="DS152" s="2"/>
      <c r="DT152" s="2"/>
      <c r="DU152" s="2">
        <v>1003</v>
      </c>
      <c r="DV152" s="2" t="s">
        <v>253</v>
      </c>
      <c r="DW152" s="2" t="s">
        <v>253</v>
      </c>
      <c r="DX152" s="2">
        <v>1</v>
      </c>
      <c r="DY152" s="2"/>
      <c r="DZ152" s="2" t="s">
        <v>3</v>
      </c>
      <c r="EA152" s="2" t="s">
        <v>3</v>
      </c>
      <c r="EB152" s="2" t="s">
        <v>3</v>
      </c>
      <c r="EC152" s="2" t="s">
        <v>3</v>
      </c>
      <c r="ED152" s="2"/>
      <c r="EE152" s="2">
        <v>77313132</v>
      </c>
      <c r="EF152" s="2">
        <v>2</v>
      </c>
      <c r="EG152" s="2" t="s">
        <v>52</v>
      </c>
      <c r="EH152" s="2">
        <v>20</v>
      </c>
      <c r="EI152" s="2" t="s">
        <v>311</v>
      </c>
      <c r="EJ152" s="2">
        <v>1</v>
      </c>
      <c r="EK152" s="2">
        <v>26001</v>
      </c>
      <c r="EL152" s="2" t="s">
        <v>311</v>
      </c>
      <c r="EM152" s="2" t="s">
        <v>312</v>
      </c>
      <c r="EN152" s="2"/>
      <c r="EO152" s="2" t="s">
        <v>3</v>
      </c>
      <c r="EP152" s="2"/>
      <c r="EQ152" s="2">
        <v>0</v>
      </c>
      <c r="ER152" s="2">
        <v>428.99</v>
      </c>
      <c r="ES152" s="2">
        <v>428.99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>
        <v>0</v>
      </c>
      <c r="FR152" s="2">
        <v>0</v>
      </c>
      <c r="FS152" s="2">
        <v>0</v>
      </c>
      <c r="FT152" s="2"/>
      <c r="FU152" s="2"/>
      <c r="FV152" s="2"/>
      <c r="FW152" s="2"/>
      <c r="FX152" s="2">
        <v>97</v>
      </c>
      <c r="FY152" s="2">
        <v>55</v>
      </c>
      <c r="FZ152" s="2"/>
      <c r="GA152" s="2" t="s">
        <v>3</v>
      </c>
      <c r="GB152" s="2"/>
      <c r="GC152" s="2"/>
      <c r="GD152" s="2">
        <v>1</v>
      </c>
      <c r="GE152" s="2"/>
      <c r="GF152" s="2">
        <v>882909808</v>
      </c>
      <c r="GG152" s="2">
        <v>2</v>
      </c>
      <c r="GH152" s="2">
        <v>1</v>
      </c>
      <c r="GI152" s="2">
        <v>2</v>
      </c>
      <c r="GJ152" s="2">
        <v>0</v>
      </c>
      <c r="GK152" s="2">
        <v>0</v>
      </c>
      <c r="GL152" s="2">
        <f t="shared" si="92"/>
        <v>0</v>
      </c>
      <c r="GM152" s="2">
        <f t="shared" si="93"/>
        <v>5487.93</v>
      </c>
      <c r="GN152" s="2">
        <f t="shared" si="94"/>
        <v>5487.93</v>
      </c>
      <c r="GO152" s="2">
        <f t="shared" si="95"/>
        <v>0</v>
      </c>
      <c r="GP152" s="2">
        <f t="shared" si="96"/>
        <v>0</v>
      </c>
      <c r="GQ152" s="2"/>
      <c r="GR152" s="2">
        <v>0</v>
      </c>
      <c r="GS152" s="2">
        <v>3</v>
      </c>
      <c r="GT152" s="2">
        <v>0</v>
      </c>
      <c r="GU152" s="2" t="s">
        <v>3</v>
      </c>
      <c r="GV152" s="2">
        <f t="shared" si="97"/>
        <v>0</v>
      </c>
      <c r="GW152" s="2">
        <v>1</v>
      </c>
      <c r="GX152" s="2">
        <f t="shared" si="98"/>
        <v>0</v>
      </c>
      <c r="GY152" s="2"/>
      <c r="GZ152" s="2"/>
      <c r="HA152" s="2">
        <v>0</v>
      </c>
      <c r="HB152" s="2">
        <v>0</v>
      </c>
      <c r="HC152" s="2">
        <f t="shared" si="99"/>
        <v>0</v>
      </c>
      <c r="HD152" s="2"/>
      <c r="HE152" s="2" t="s">
        <v>3</v>
      </c>
      <c r="HF152" s="2" t="s">
        <v>3</v>
      </c>
      <c r="HG152" s="2"/>
      <c r="HH152" s="2"/>
      <c r="HI152" s="2"/>
      <c r="HJ152" s="2"/>
      <c r="HK152" s="2"/>
      <c r="HL152" s="2"/>
      <c r="HM152" s="2" t="s">
        <v>3</v>
      </c>
      <c r="HN152" s="2" t="s">
        <v>313</v>
      </c>
      <c r="HO152" s="2" t="s">
        <v>314</v>
      </c>
      <c r="HP152" s="2" t="s">
        <v>311</v>
      </c>
      <c r="HQ152" s="2" t="s">
        <v>311</v>
      </c>
      <c r="HR152" s="2"/>
      <c r="HS152" s="2">
        <v>0</v>
      </c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>
        <v>0</v>
      </c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x14ac:dyDescent="0.2">
      <c r="A153" s="2">
        <v>17</v>
      </c>
      <c r="B153" s="2">
        <v>1</v>
      </c>
      <c r="C153" s="2">
        <f>ROW(SmtRes!A189)</f>
        <v>189</v>
      </c>
      <c r="D153" s="2">
        <f>ROW(EtalonRes!A185)</f>
        <v>185</v>
      </c>
      <c r="E153" s="2" t="s">
        <v>318</v>
      </c>
      <c r="F153" s="2" t="s">
        <v>319</v>
      </c>
      <c r="G153" s="2" t="s">
        <v>320</v>
      </c>
      <c r="H153" s="2" t="s">
        <v>321</v>
      </c>
      <c r="I153" s="2">
        <f>ROUND(6400/1000,7)</f>
        <v>6.4</v>
      </c>
      <c r="J153" s="2">
        <v>0</v>
      </c>
      <c r="K153" s="2">
        <f>ROUND(6400/1000,7)</f>
        <v>6.4</v>
      </c>
      <c r="L153" s="2"/>
      <c r="M153" s="2"/>
      <c r="N153" s="2"/>
      <c r="O153" s="2">
        <f t="shared" si="81"/>
        <v>5211.84</v>
      </c>
      <c r="P153" s="2">
        <f>SUMIF(SmtRes!AQ189:'SmtRes'!AQ189,"=1",SmtRes!DF189:'SmtRes'!DF189)</f>
        <v>0</v>
      </c>
      <c r="Q153" s="2">
        <f>SUMIF(SmtRes!AQ189:'SmtRes'!AQ189,"=1",SmtRes!DG189:'SmtRes'!DG189)</f>
        <v>0</v>
      </c>
      <c r="R153" s="2">
        <f>SUMIF(SmtRes!AQ189:'SmtRes'!AQ189,"=1",SmtRes!DH189:'SmtRes'!DH189)</f>
        <v>0</v>
      </c>
      <c r="S153" s="2">
        <f>SUMIF(SmtRes!AQ189:'SmtRes'!AQ189,"=1",SmtRes!DI189:'SmtRes'!DI189)</f>
        <v>5211.84</v>
      </c>
      <c r="T153" s="2">
        <f t="shared" si="82"/>
        <v>0</v>
      </c>
      <c r="U153" s="2">
        <f>SUMIF(SmtRes!AQ189:'SmtRes'!AQ189,"=1",SmtRes!CV189:'SmtRes'!CV189)</f>
        <v>8.1280000000000001</v>
      </c>
      <c r="V153" s="2">
        <f>SUMIF(SmtRes!AQ189:'SmtRes'!AQ189,"=1",SmtRes!CW189:'SmtRes'!CW189)</f>
        <v>0</v>
      </c>
      <c r="W153" s="2">
        <f t="shared" si="83"/>
        <v>0</v>
      </c>
      <c r="X153" s="2">
        <f t="shared" si="84"/>
        <v>5368.2</v>
      </c>
      <c r="Y153" s="2">
        <f t="shared" si="85"/>
        <v>2710.16</v>
      </c>
      <c r="Z153" s="2"/>
      <c r="AA153" s="2">
        <v>80308166</v>
      </c>
      <c r="AB153" s="2">
        <f t="shared" si="86"/>
        <v>814.34939999999995</v>
      </c>
      <c r="AC153" s="2">
        <f>ROUND((0),6)</f>
        <v>0</v>
      </c>
      <c r="AD153" s="2">
        <f>ROUND((((0)-(0))+AE153),6)</f>
        <v>0</v>
      </c>
      <c r="AE153" s="2">
        <f>ROUND((0),6)</f>
        <v>0</v>
      </c>
      <c r="AF153" s="2">
        <f>ROUND((SUM(SmtRes!BT189:'SmtRes'!BT189)),6)</f>
        <v>814.34939999999995</v>
      </c>
      <c r="AG153" s="2">
        <f t="shared" si="87"/>
        <v>0</v>
      </c>
      <c r="AH153" s="2">
        <f>(SUM(SmtRes!BU189:'SmtRes'!BU189))</f>
        <v>1.27</v>
      </c>
      <c r="AI153" s="2">
        <f>(0)</f>
        <v>0</v>
      </c>
      <c r="AJ153" s="2">
        <f t="shared" si="88"/>
        <v>0</v>
      </c>
      <c r="AK153" s="2">
        <v>814.34940000000006</v>
      </c>
      <c r="AL153" s="2">
        <v>0</v>
      </c>
      <c r="AM153" s="2">
        <v>0</v>
      </c>
      <c r="AN153" s="2">
        <v>0</v>
      </c>
      <c r="AO153" s="2">
        <v>814.34940000000006</v>
      </c>
      <c r="AP153" s="2">
        <v>0</v>
      </c>
      <c r="AQ153" s="2">
        <v>1.27</v>
      </c>
      <c r="AR153" s="2">
        <v>0</v>
      </c>
      <c r="AS153" s="2">
        <v>0</v>
      </c>
      <c r="AT153" s="2">
        <v>103</v>
      </c>
      <c r="AU153" s="2">
        <v>52</v>
      </c>
      <c r="AV153" s="2">
        <v>1</v>
      </c>
      <c r="AW153" s="2">
        <v>1</v>
      </c>
      <c r="AX153" s="2"/>
      <c r="AY153" s="2"/>
      <c r="AZ153" s="2">
        <v>1</v>
      </c>
      <c r="BA153" s="2">
        <v>1</v>
      </c>
      <c r="BB153" s="2">
        <v>1</v>
      </c>
      <c r="BC153" s="2">
        <v>1</v>
      </c>
      <c r="BD153" s="2" t="s">
        <v>3</v>
      </c>
      <c r="BE153" s="2" t="s">
        <v>3</v>
      </c>
      <c r="BF153" s="2" t="s">
        <v>3</v>
      </c>
      <c r="BG153" s="2" t="s">
        <v>3</v>
      </c>
      <c r="BH153" s="2">
        <v>0</v>
      </c>
      <c r="BI153" s="2">
        <v>1</v>
      </c>
      <c r="BJ153" s="2" t="s">
        <v>322</v>
      </c>
      <c r="BK153" s="2"/>
      <c r="BL153" s="2"/>
      <c r="BM153" s="2">
        <v>65007</v>
      </c>
      <c r="BN153" s="2">
        <v>0</v>
      </c>
      <c r="BO153" s="2" t="s">
        <v>3</v>
      </c>
      <c r="BP153" s="2">
        <v>0</v>
      </c>
      <c r="BQ153" s="2">
        <v>6</v>
      </c>
      <c r="BR153" s="2">
        <v>0</v>
      </c>
      <c r="BS153" s="2">
        <v>1</v>
      </c>
      <c r="BT153" s="2">
        <v>1</v>
      </c>
      <c r="BU153" s="2">
        <v>1</v>
      </c>
      <c r="BV153" s="2">
        <v>1</v>
      </c>
      <c r="BW153" s="2">
        <v>1</v>
      </c>
      <c r="BX153" s="2">
        <v>1</v>
      </c>
      <c r="BY153" s="2" t="s">
        <v>3</v>
      </c>
      <c r="BZ153" s="2">
        <v>103</v>
      </c>
      <c r="CA153" s="2">
        <v>52</v>
      </c>
      <c r="CB153" s="2" t="s">
        <v>3</v>
      </c>
      <c r="CC153" s="2"/>
      <c r="CD153" s="2"/>
      <c r="CE153" s="2">
        <v>0</v>
      </c>
      <c r="CF153" s="2">
        <v>0</v>
      </c>
      <c r="CG153" s="2">
        <v>0</v>
      </c>
      <c r="CH153" s="2"/>
      <c r="CI153" s="2"/>
      <c r="CJ153" s="2"/>
      <c r="CK153" s="2"/>
      <c r="CL153" s="2"/>
      <c r="CM153" s="2">
        <v>0</v>
      </c>
      <c r="CN153" s="2" t="s">
        <v>3</v>
      </c>
      <c r="CO153" s="2">
        <v>0</v>
      </c>
      <c r="CP153" s="2">
        <f t="shared" si="89"/>
        <v>5211.84</v>
      </c>
      <c r="CQ153" s="2">
        <f>SUMIF(SmtRes!AQ189:'SmtRes'!AQ189,"=1",SmtRes!AA189:'SmtRes'!AA189)</f>
        <v>0</v>
      </c>
      <c r="CR153" s="2">
        <f>SUMIF(SmtRes!AQ189:'SmtRes'!AQ189,"=1",SmtRes!AB189:'SmtRes'!AB189)</f>
        <v>0</v>
      </c>
      <c r="CS153" s="2">
        <f>SUMIF(SmtRes!AQ189:'SmtRes'!AQ189,"=1",SmtRes!AC189:'SmtRes'!AC189)</f>
        <v>0</v>
      </c>
      <c r="CT153" s="2">
        <f>SUMIF(SmtRes!AQ189:'SmtRes'!AQ189,"=1",SmtRes!AD189:'SmtRes'!AD189)</f>
        <v>641.22</v>
      </c>
      <c r="CU153" s="2">
        <f t="shared" si="90"/>
        <v>0</v>
      </c>
      <c r="CV153" s="2">
        <f>SUMIF(SmtRes!AQ189:'SmtRes'!AQ189,"=1",SmtRes!BU189:'SmtRes'!BU189)</f>
        <v>1.27</v>
      </c>
      <c r="CW153" s="2">
        <f>SUMIF(SmtRes!AQ189:'SmtRes'!AQ189,"=1",SmtRes!BV189:'SmtRes'!BV189)</f>
        <v>0</v>
      </c>
      <c r="CX153" s="2">
        <f t="shared" si="91"/>
        <v>0</v>
      </c>
      <c r="CY153" s="2">
        <f t="shared" si="100"/>
        <v>5368.1952000000001</v>
      </c>
      <c r="CZ153" s="2">
        <f t="shared" si="101"/>
        <v>2710.1567999999997</v>
      </c>
      <c r="DA153" s="2"/>
      <c r="DB153" s="2"/>
      <c r="DC153" s="2" t="s">
        <v>3</v>
      </c>
      <c r="DD153" s="2" t="s">
        <v>3</v>
      </c>
      <c r="DE153" s="2" t="s">
        <v>3</v>
      </c>
      <c r="DF153" s="2" t="s">
        <v>3</v>
      </c>
      <c r="DG153" s="2" t="s">
        <v>3</v>
      </c>
      <c r="DH153" s="2" t="s">
        <v>3</v>
      </c>
      <c r="DI153" s="2" t="s">
        <v>3</v>
      </c>
      <c r="DJ153" s="2" t="s">
        <v>3</v>
      </c>
      <c r="DK153" s="2" t="s">
        <v>3</v>
      </c>
      <c r="DL153" s="2" t="s">
        <v>3</v>
      </c>
      <c r="DM153" s="2" t="s">
        <v>3</v>
      </c>
      <c r="DN153" s="2">
        <v>0</v>
      </c>
      <c r="DO153" s="2">
        <v>0</v>
      </c>
      <c r="DP153" s="2">
        <v>1</v>
      </c>
      <c r="DQ153" s="2">
        <v>1</v>
      </c>
      <c r="DR153" s="2"/>
      <c r="DS153" s="2"/>
      <c r="DT153" s="2"/>
      <c r="DU153" s="2">
        <v>1007</v>
      </c>
      <c r="DV153" s="2" t="s">
        <v>321</v>
      </c>
      <c r="DW153" s="2" t="s">
        <v>321</v>
      </c>
      <c r="DX153" s="2">
        <v>1000</v>
      </c>
      <c r="DY153" s="2"/>
      <c r="DZ153" s="2" t="s">
        <v>3</v>
      </c>
      <c r="EA153" s="2" t="s">
        <v>3</v>
      </c>
      <c r="EB153" s="2" t="s">
        <v>3</v>
      </c>
      <c r="EC153" s="2" t="s">
        <v>3</v>
      </c>
      <c r="ED153" s="2"/>
      <c r="EE153" s="2">
        <v>77313190</v>
      </c>
      <c r="EF153" s="2">
        <v>6</v>
      </c>
      <c r="EG153" s="2" t="s">
        <v>21</v>
      </c>
      <c r="EH153" s="2">
        <v>99</v>
      </c>
      <c r="EI153" s="2" t="s">
        <v>22</v>
      </c>
      <c r="EJ153" s="2">
        <v>1</v>
      </c>
      <c r="EK153" s="2">
        <v>65007</v>
      </c>
      <c r="EL153" s="2" t="s">
        <v>23</v>
      </c>
      <c r="EM153" s="2" t="s">
        <v>24</v>
      </c>
      <c r="EN153" s="2"/>
      <c r="EO153" s="2" t="s">
        <v>3</v>
      </c>
      <c r="EP153" s="2"/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0</v>
      </c>
      <c r="EW153" s="2">
        <v>1.27</v>
      </c>
      <c r="EX153" s="2">
        <v>0</v>
      </c>
      <c r="EY153" s="2">
        <v>0</v>
      </c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>
        <v>0</v>
      </c>
      <c r="FR153" s="2">
        <v>0</v>
      </c>
      <c r="FS153" s="2">
        <v>0</v>
      </c>
      <c r="FT153" s="2"/>
      <c r="FU153" s="2"/>
      <c r="FV153" s="2"/>
      <c r="FW153" s="2"/>
      <c r="FX153" s="2">
        <v>103</v>
      </c>
      <c r="FY153" s="2">
        <v>52</v>
      </c>
      <c r="FZ153" s="2"/>
      <c r="GA153" s="2" t="s">
        <v>3</v>
      </c>
      <c r="GB153" s="2"/>
      <c r="GC153" s="2"/>
      <c r="GD153" s="2">
        <v>1</v>
      </c>
      <c r="GE153" s="2"/>
      <c r="GF153" s="2">
        <v>264293053</v>
      </c>
      <c r="GG153" s="2">
        <v>2</v>
      </c>
      <c r="GH153" s="2">
        <v>1</v>
      </c>
      <c r="GI153" s="2">
        <v>-2</v>
      </c>
      <c r="GJ153" s="2">
        <v>0</v>
      </c>
      <c r="GK153" s="2">
        <v>0</v>
      </c>
      <c r="GL153" s="2">
        <f t="shared" si="92"/>
        <v>0</v>
      </c>
      <c r="GM153" s="2">
        <f t="shared" si="93"/>
        <v>13290.2</v>
      </c>
      <c r="GN153" s="2">
        <f t="shared" si="94"/>
        <v>13290.2</v>
      </c>
      <c r="GO153" s="2">
        <f t="shared" si="95"/>
        <v>0</v>
      </c>
      <c r="GP153" s="2">
        <f t="shared" si="96"/>
        <v>0</v>
      </c>
      <c r="GQ153" s="2"/>
      <c r="GR153" s="2">
        <v>0</v>
      </c>
      <c r="GS153" s="2">
        <v>3</v>
      </c>
      <c r="GT153" s="2">
        <v>0</v>
      </c>
      <c r="GU153" s="2" t="s">
        <v>3</v>
      </c>
      <c r="GV153" s="2">
        <f t="shared" si="97"/>
        <v>0</v>
      </c>
      <c r="GW153" s="2">
        <v>1</v>
      </c>
      <c r="GX153" s="2">
        <f t="shared" si="98"/>
        <v>0</v>
      </c>
      <c r="GY153" s="2"/>
      <c r="GZ153" s="2"/>
      <c r="HA153" s="2">
        <v>0</v>
      </c>
      <c r="HB153" s="2">
        <v>0</v>
      </c>
      <c r="HC153" s="2">
        <f t="shared" si="99"/>
        <v>0</v>
      </c>
      <c r="HD153" s="2"/>
      <c r="HE153" s="2" t="s">
        <v>3</v>
      </c>
      <c r="HF153" s="2" t="s">
        <v>3</v>
      </c>
      <c r="HG153" s="2"/>
      <c r="HH153" s="2"/>
      <c r="HI153" s="2"/>
      <c r="HJ153" s="2"/>
      <c r="HK153" s="2"/>
      <c r="HL153" s="2"/>
      <c r="HM153" s="2" t="s">
        <v>3</v>
      </c>
      <c r="HN153" s="2" t="s">
        <v>25</v>
      </c>
      <c r="HO153" s="2" t="s">
        <v>26</v>
      </c>
      <c r="HP153" s="2" t="s">
        <v>23</v>
      </c>
      <c r="HQ153" s="2" t="s">
        <v>23</v>
      </c>
      <c r="HR153" s="2"/>
      <c r="HS153" s="2">
        <v>0</v>
      </c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>
        <v>0</v>
      </c>
      <c r="IL153" s="2"/>
      <c r="IM153" s="2"/>
      <c r="IN153" s="2"/>
      <c r="IO153" s="2"/>
      <c r="IP153" s="2"/>
      <c r="IQ153" s="2"/>
      <c r="IR153" s="2"/>
      <c r="IS153" s="2"/>
      <c r="IT153" s="2"/>
      <c r="IU153" s="2"/>
    </row>
    <row r="154" spans="1:255" x14ac:dyDescent="0.2">
      <c r="A154" s="2">
        <v>17</v>
      </c>
      <c r="B154" s="2">
        <v>1</v>
      </c>
      <c r="C154" s="2">
        <f>ROW(SmtRes!A201)</f>
        <v>201</v>
      </c>
      <c r="D154" s="2">
        <f>ROW(EtalonRes!A197)</f>
        <v>197</v>
      </c>
      <c r="E154" s="2" t="s">
        <v>323</v>
      </c>
      <c r="F154" s="2" t="s">
        <v>324</v>
      </c>
      <c r="G154" s="2" t="s">
        <v>325</v>
      </c>
      <c r="H154" s="2" t="s">
        <v>326</v>
      </c>
      <c r="I154" s="2">
        <f>ROUND(2/10,7)</f>
        <v>0.2</v>
      </c>
      <c r="J154" s="2">
        <v>0</v>
      </c>
      <c r="K154" s="2">
        <f>ROUND(2/10,7)</f>
        <v>0.2</v>
      </c>
      <c r="L154" s="2"/>
      <c r="M154" s="2"/>
      <c r="N154" s="2"/>
      <c r="O154" s="2">
        <f t="shared" si="81"/>
        <v>2861.54</v>
      </c>
      <c r="P154" s="2">
        <f>SUMIF(SmtRes!AQ190:'SmtRes'!AQ201,"=1",SmtRes!DF190:'SmtRes'!DF201)</f>
        <v>0</v>
      </c>
      <c r="Q154" s="2">
        <f>SUMIF(SmtRes!AQ190:'SmtRes'!AQ201,"=1",SmtRes!DG190:'SmtRes'!DG201)</f>
        <v>109.52</v>
      </c>
      <c r="R154" s="2">
        <f>SUMIF(SmtRes!AQ190:'SmtRes'!AQ201,"=1",SmtRes!DH190:'SmtRes'!DH201)</f>
        <v>65.989999999999995</v>
      </c>
      <c r="S154" s="2">
        <f>SUMIF(SmtRes!AQ190:'SmtRes'!AQ201,"=1",SmtRes!DI190:'SmtRes'!DI201)</f>
        <v>2686.03</v>
      </c>
      <c r="T154" s="2">
        <f t="shared" si="82"/>
        <v>0</v>
      </c>
      <c r="U154" s="2">
        <f>SUMIF(SmtRes!AQ190:'SmtRes'!AQ201,"=1",SmtRes!CV190:'SmtRes'!CV201)</f>
        <v>3.72</v>
      </c>
      <c r="V154" s="2">
        <f>SUMIF(SmtRes!AQ190:'SmtRes'!AQ201,"=1",SmtRes!CW190:'SmtRes'!CW201)</f>
        <v>7.8E-2</v>
      </c>
      <c r="W154" s="2">
        <f t="shared" si="83"/>
        <v>0</v>
      </c>
      <c r="X154" s="2">
        <f t="shared" si="84"/>
        <v>2476.8200000000002</v>
      </c>
      <c r="Y154" s="2">
        <f t="shared" si="85"/>
        <v>1265.93</v>
      </c>
      <c r="Z154" s="2"/>
      <c r="AA154" s="2">
        <v>80308166</v>
      </c>
      <c r="AB154" s="2">
        <f t="shared" si="86"/>
        <v>13967.397150000001</v>
      </c>
      <c r="AC154" s="2">
        <f>ROUND((0),6)</f>
        <v>0</v>
      </c>
      <c r="AD154" s="2">
        <f>ROUND((((SUM(SmtRes!BR190:'SmtRes'!BR201))-(SUM(SmtRes!BS190:'SmtRes'!BS201)))+AE154),6)</f>
        <v>537.26715000000002</v>
      </c>
      <c r="AE154" s="2">
        <f>ROUND((SUM(SmtRes!BS190:'SmtRes'!BS201)),6)</f>
        <v>329.93220000000002</v>
      </c>
      <c r="AF154" s="2">
        <f>ROUND((SUM(SmtRes!BT190:'SmtRes'!BT201)),6)</f>
        <v>13430.13</v>
      </c>
      <c r="AG154" s="2">
        <f t="shared" si="87"/>
        <v>0</v>
      </c>
      <c r="AH154" s="2">
        <f>(SUM(SmtRes!BU190:'SmtRes'!BU201))</f>
        <v>18.599999999999998</v>
      </c>
      <c r="AI154" s="2">
        <f>(SUM(SmtRes!BV190:'SmtRes'!BV201))</f>
        <v>0.39</v>
      </c>
      <c r="AJ154" s="2">
        <f t="shared" si="88"/>
        <v>0</v>
      </c>
      <c r="AK154" s="2">
        <v>48235.660387799995</v>
      </c>
      <c r="AL154" s="2">
        <v>577.89588779999997</v>
      </c>
      <c r="AM154" s="2">
        <v>1790.8905000000002</v>
      </c>
      <c r="AN154" s="2">
        <v>1099.7739999999999</v>
      </c>
      <c r="AO154" s="2">
        <v>44767.1</v>
      </c>
      <c r="AP154" s="2">
        <v>0</v>
      </c>
      <c r="AQ154" s="2">
        <v>62</v>
      </c>
      <c r="AR154" s="2">
        <v>1.3</v>
      </c>
      <c r="AS154" s="2">
        <v>0</v>
      </c>
      <c r="AT154" s="2">
        <v>90</v>
      </c>
      <c r="AU154" s="2">
        <v>46</v>
      </c>
      <c r="AV154" s="2">
        <v>1</v>
      </c>
      <c r="AW154" s="2">
        <v>1</v>
      </c>
      <c r="AX154" s="2"/>
      <c r="AY154" s="2"/>
      <c r="AZ154" s="2">
        <v>1</v>
      </c>
      <c r="BA154" s="2">
        <v>1</v>
      </c>
      <c r="BB154" s="2">
        <v>1</v>
      </c>
      <c r="BC154" s="2">
        <v>1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>
        <v>0</v>
      </c>
      <c r="BI154" s="2">
        <v>2</v>
      </c>
      <c r="BJ154" s="2" t="s">
        <v>327</v>
      </c>
      <c r="BK154" s="2"/>
      <c r="BL154" s="2"/>
      <c r="BM154" s="2">
        <v>112001</v>
      </c>
      <c r="BN154" s="2">
        <v>0</v>
      </c>
      <c r="BO154" s="2" t="s">
        <v>3</v>
      </c>
      <c r="BP154" s="2">
        <v>0</v>
      </c>
      <c r="BQ154" s="2">
        <v>3</v>
      </c>
      <c r="BR154" s="2">
        <v>0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 t="s">
        <v>3</v>
      </c>
      <c r="BZ154" s="2">
        <v>90</v>
      </c>
      <c r="CA154" s="2">
        <v>46</v>
      </c>
      <c r="CB154" s="2" t="s">
        <v>3</v>
      </c>
      <c r="CC154" s="2"/>
      <c r="CD154" s="2"/>
      <c r="CE154" s="2">
        <v>0</v>
      </c>
      <c r="CF154" s="2">
        <v>0</v>
      </c>
      <c r="CG154" s="2">
        <v>0</v>
      </c>
      <c r="CH154" s="2"/>
      <c r="CI154" s="2"/>
      <c r="CJ154" s="2"/>
      <c r="CK154" s="2"/>
      <c r="CL154" s="2"/>
      <c r="CM154" s="2">
        <v>0</v>
      </c>
      <c r="CN154" s="2" t="s">
        <v>71</v>
      </c>
      <c r="CO154" s="2">
        <v>0</v>
      </c>
      <c r="CP154" s="2">
        <f t="shared" si="89"/>
        <v>2861.54</v>
      </c>
      <c r="CQ154" s="2">
        <f>SUMIF(SmtRes!AQ190:'SmtRes'!AQ201,"=1",SmtRes!AA190:'SmtRes'!AA201)</f>
        <v>124057.23</v>
      </c>
      <c r="CR154" s="2">
        <f>SUMIF(SmtRes!AQ190:'SmtRes'!AQ201,"=1",SmtRes!AB190:'SmtRes'!AB201)</f>
        <v>2330.15</v>
      </c>
      <c r="CS154" s="2">
        <f>SUMIF(SmtRes!AQ190:'SmtRes'!AQ201,"=1",SmtRes!AC190:'SmtRes'!AC201)</f>
        <v>1691.96</v>
      </c>
      <c r="CT154" s="2">
        <f>SUMIF(SmtRes!AQ190:'SmtRes'!AQ201,"=1",SmtRes!AD190:'SmtRes'!AD201)</f>
        <v>722.05</v>
      </c>
      <c r="CU154" s="2">
        <f t="shared" si="90"/>
        <v>0</v>
      </c>
      <c r="CV154" s="2">
        <f>SUMIF(SmtRes!AQ190:'SmtRes'!AQ201,"=1",SmtRes!BU190:'SmtRes'!BU201)</f>
        <v>18.599999999999998</v>
      </c>
      <c r="CW154" s="2">
        <f>SUMIF(SmtRes!AQ190:'SmtRes'!AQ201,"=1",SmtRes!BV190:'SmtRes'!BV201)</f>
        <v>0.39</v>
      </c>
      <c r="CX154" s="2">
        <f t="shared" si="91"/>
        <v>0</v>
      </c>
      <c r="CY154" s="2">
        <f t="shared" si="100"/>
        <v>2476.8179999999998</v>
      </c>
      <c r="CZ154" s="2">
        <f t="shared" si="101"/>
        <v>1265.9292</v>
      </c>
      <c r="DA154" s="2"/>
      <c r="DB154" s="2">
        <v>15</v>
      </c>
      <c r="DC154" s="2" t="s">
        <v>3</v>
      </c>
      <c r="DD154" s="2" t="s">
        <v>72</v>
      </c>
      <c r="DE154" s="2" t="s">
        <v>73</v>
      </c>
      <c r="DF154" s="2" t="s">
        <v>73</v>
      </c>
      <c r="DG154" s="2" t="s">
        <v>73</v>
      </c>
      <c r="DH154" s="2" t="s">
        <v>3</v>
      </c>
      <c r="DI154" s="2" t="s">
        <v>73</v>
      </c>
      <c r="DJ154" s="2" t="s">
        <v>73</v>
      </c>
      <c r="DK154" s="2" t="s">
        <v>3</v>
      </c>
      <c r="DL154" s="2" t="s">
        <v>3</v>
      </c>
      <c r="DM154" s="2" t="s">
        <v>3</v>
      </c>
      <c r="DN154" s="2">
        <v>0</v>
      </c>
      <c r="DO154" s="2">
        <v>0</v>
      </c>
      <c r="DP154" s="2">
        <v>1</v>
      </c>
      <c r="DQ154" s="2">
        <v>1</v>
      </c>
      <c r="DR154" s="2"/>
      <c r="DS154" s="2"/>
      <c r="DT154" s="2"/>
      <c r="DU154" s="2">
        <v>1013</v>
      </c>
      <c r="DV154" s="2" t="s">
        <v>326</v>
      </c>
      <c r="DW154" s="2" t="s">
        <v>326</v>
      </c>
      <c r="DX154" s="2">
        <v>1</v>
      </c>
      <c r="DY154" s="2"/>
      <c r="DZ154" s="2" t="s">
        <v>3</v>
      </c>
      <c r="EA154" s="2" t="s">
        <v>3</v>
      </c>
      <c r="EB154" s="2" t="s">
        <v>3</v>
      </c>
      <c r="EC154" s="2" t="s">
        <v>3</v>
      </c>
      <c r="ED154" s="2"/>
      <c r="EE154" s="2">
        <v>77312978</v>
      </c>
      <c r="EF154" s="2">
        <v>3</v>
      </c>
      <c r="EG154" s="2" t="s">
        <v>74</v>
      </c>
      <c r="EH154" s="2">
        <v>54</v>
      </c>
      <c r="EI154" s="2" t="s">
        <v>75</v>
      </c>
      <c r="EJ154" s="2">
        <v>2</v>
      </c>
      <c r="EK154" s="2">
        <v>112001</v>
      </c>
      <c r="EL154" s="2" t="s">
        <v>75</v>
      </c>
      <c r="EM154" s="2" t="s">
        <v>76</v>
      </c>
      <c r="EN154" s="2"/>
      <c r="EO154" s="2" t="s">
        <v>77</v>
      </c>
      <c r="EP154" s="2"/>
      <c r="EQ154" s="2">
        <v>0</v>
      </c>
      <c r="ER154" s="2">
        <v>0</v>
      </c>
      <c r="ES154" s="2">
        <v>0</v>
      </c>
      <c r="ET154" s="2">
        <v>0</v>
      </c>
      <c r="EU154" s="2">
        <v>0</v>
      </c>
      <c r="EV154" s="2">
        <v>0</v>
      </c>
      <c r="EW154" s="2">
        <v>62</v>
      </c>
      <c r="EX154" s="2">
        <v>1.3</v>
      </c>
      <c r="EY154" s="2">
        <v>0</v>
      </c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>
        <v>0</v>
      </c>
      <c r="FR154" s="2">
        <v>0</v>
      </c>
      <c r="FS154" s="2">
        <v>0</v>
      </c>
      <c r="FT154" s="2"/>
      <c r="FU154" s="2"/>
      <c r="FV154" s="2"/>
      <c r="FW154" s="2"/>
      <c r="FX154" s="2">
        <v>90</v>
      </c>
      <c r="FY154" s="2">
        <v>46</v>
      </c>
      <c r="FZ154" s="2"/>
      <c r="GA154" s="2" t="s">
        <v>3</v>
      </c>
      <c r="GB154" s="2"/>
      <c r="GC154" s="2"/>
      <c r="GD154" s="2">
        <v>1</v>
      </c>
      <c r="GE154" s="2"/>
      <c r="GF154" s="2">
        <v>-645116072</v>
      </c>
      <c r="GG154" s="2">
        <v>2</v>
      </c>
      <c r="GH154" s="2">
        <v>1</v>
      </c>
      <c r="GI154" s="2">
        <v>-2</v>
      </c>
      <c r="GJ154" s="2">
        <v>0</v>
      </c>
      <c r="GK154" s="2">
        <v>0</v>
      </c>
      <c r="GL154" s="2">
        <f t="shared" si="92"/>
        <v>0</v>
      </c>
      <c r="GM154" s="2">
        <f t="shared" si="93"/>
        <v>6604.29</v>
      </c>
      <c r="GN154" s="2">
        <f t="shared" si="94"/>
        <v>0</v>
      </c>
      <c r="GO154" s="2">
        <f t="shared" si="95"/>
        <v>6604.29</v>
      </c>
      <c r="GP154" s="2">
        <f t="shared" si="96"/>
        <v>0</v>
      </c>
      <c r="GQ154" s="2"/>
      <c r="GR154" s="2">
        <v>0</v>
      </c>
      <c r="GS154" s="2">
        <v>3</v>
      </c>
      <c r="GT154" s="2">
        <v>0</v>
      </c>
      <c r="GU154" s="2" t="s">
        <v>3</v>
      </c>
      <c r="GV154" s="2">
        <f t="shared" si="97"/>
        <v>0</v>
      </c>
      <c r="GW154" s="2">
        <v>1</v>
      </c>
      <c r="GX154" s="2">
        <f t="shared" si="98"/>
        <v>0</v>
      </c>
      <c r="GY154" s="2"/>
      <c r="GZ154" s="2"/>
      <c r="HA154" s="2">
        <v>0</v>
      </c>
      <c r="HB154" s="2">
        <v>0</v>
      </c>
      <c r="HC154" s="2">
        <f t="shared" si="99"/>
        <v>0</v>
      </c>
      <c r="HD154" s="2"/>
      <c r="HE154" s="2" t="s">
        <v>3</v>
      </c>
      <c r="HF154" s="2" t="s">
        <v>3</v>
      </c>
      <c r="HG154" s="2"/>
      <c r="HH154" s="2"/>
      <c r="HI154" s="2"/>
      <c r="HJ154" s="2"/>
      <c r="HK154" s="2"/>
      <c r="HL154" s="2"/>
      <c r="HM154" s="2" t="s">
        <v>3</v>
      </c>
      <c r="HN154" s="2" t="s">
        <v>78</v>
      </c>
      <c r="HO154" s="2" t="s">
        <v>79</v>
      </c>
      <c r="HP154" s="2" t="s">
        <v>75</v>
      </c>
      <c r="HQ154" s="2" t="s">
        <v>75</v>
      </c>
      <c r="HR154" s="2"/>
      <c r="HS154" s="2">
        <v>0</v>
      </c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>
        <v>0</v>
      </c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x14ac:dyDescent="0.2">
      <c r="A155" s="2">
        <v>18</v>
      </c>
      <c r="B155" s="2">
        <v>1</v>
      </c>
      <c r="C155" s="2">
        <v>201</v>
      </c>
      <c r="D155" s="2"/>
      <c r="E155" s="2" t="s">
        <v>328</v>
      </c>
      <c r="F155" s="2" t="s">
        <v>81</v>
      </c>
      <c r="G155" s="2" t="s">
        <v>82</v>
      </c>
      <c r="H155" s="2" t="s">
        <v>83</v>
      </c>
      <c r="I155" s="2">
        <f>J155</f>
        <v>2</v>
      </c>
      <c r="J155" s="2">
        <v>2</v>
      </c>
      <c r="K155" s="2">
        <v>2</v>
      </c>
      <c r="L155" s="2"/>
      <c r="M155" s="2"/>
      <c r="N155" s="2"/>
      <c r="O155" s="2">
        <f>ROUND(P155,2)</f>
        <v>179.07</v>
      </c>
      <c r="P155" s="2">
        <f>ROUND(ROUND(ROUND(SUMIF(SmtRes!AQ190:'SmtRes'!AQ201,"=1",SmtRes!CU190:'SmtRes'!CU201),2),2)*I155/100,2)</f>
        <v>179.07</v>
      </c>
      <c r="Q155" s="2">
        <f>ROUND(CR155*I155,2)</f>
        <v>0</v>
      </c>
      <c r="R155" s="2">
        <f>ROUND(CS155*I155,2)</f>
        <v>0</v>
      </c>
      <c r="S155" s="2">
        <f>ROUND(CT155*I155,2)</f>
        <v>0</v>
      </c>
      <c r="T155" s="2">
        <f t="shared" si="82"/>
        <v>0</v>
      </c>
      <c r="U155" s="2">
        <f>ROUND(CV155*I155,7)</f>
        <v>0</v>
      </c>
      <c r="V155" s="2">
        <f>ROUND(CW155*I155,7)</f>
        <v>0</v>
      </c>
      <c r="W155" s="2">
        <f t="shared" si="83"/>
        <v>0</v>
      </c>
      <c r="X155" s="2">
        <f t="shared" si="84"/>
        <v>0</v>
      </c>
      <c r="Y155" s="2">
        <f t="shared" si="85"/>
        <v>0</v>
      </c>
      <c r="Z155" s="2"/>
      <c r="AA155" s="2">
        <v>80308166</v>
      </c>
      <c r="AB155" s="2">
        <f t="shared" si="86"/>
        <v>0</v>
      </c>
      <c r="AC155" s="2">
        <f>ROUND((ES155),6)</f>
        <v>0</v>
      </c>
      <c r="AD155" s="2">
        <f>ROUND((((ET155)-(EU155))+AE155),6)</f>
        <v>0</v>
      </c>
      <c r="AE155" s="2">
        <f>ROUND((EU155),6)</f>
        <v>0</v>
      </c>
      <c r="AF155" s="2">
        <f>ROUND((EV155),6)</f>
        <v>0</v>
      </c>
      <c r="AG155" s="2">
        <f t="shared" si="87"/>
        <v>0</v>
      </c>
      <c r="AH155" s="2">
        <f>(EW155)</f>
        <v>0</v>
      </c>
      <c r="AI155" s="2">
        <f>(EX155)</f>
        <v>0</v>
      </c>
      <c r="AJ155" s="2">
        <f t="shared" si="88"/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90</v>
      </c>
      <c r="AU155" s="2">
        <v>46</v>
      </c>
      <c r="AV155" s="2">
        <v>1</v>
      </c>
      <c r="AW155" s="2">
        <v>1</v>
      </c>
      <c r="AX155" s="2"/>
      <c r="AY155" s="2"/>
      <c r="AZ155" s="2">
        <v>1</v>
      </c>
      <c r="BA155" s="2">
        <v>1</v>
      </c>
      <c r="BB155" s="2">
        <v>1</v>
      </c>
      <c r="BC155" s="2">
        <v>1</v>
      </c>
      <c r="BD155" s="2" t="s">
        <v>3</v>
      </c>
      <c r="BE155" s="2" t="s">
        <v>3</v>
      </c>
      <c r="BF155" s="2" t="s">
        <v>3</v>
      </c>
      <c r="BG155" s="2" t="s">
        <v>3</v>
      </c>
      <c r="BH155" s="2">
        <v>3</v>
      </c>
      <c r="BI155" s="2">
        <v>2</v>
      </c>
      <c r="BJ155" s="2" t="s">
        <v>3</v>
      </c>
      <c r="BK155" s="2"/>
      <c r="BL155" s="2"/>
      <c r="BM155" s="2">
        <v>112001</v>
      </c>
      <c r="BN155" s="2">
        <v>0</v>
      </c>
      <c r="BO155" s="2" t="s">
        <v>3</v>
      </c>
      <c r="BP155" s="2">
        <v>0</v>
      </c>
      <c r="BQ155" s="2">
        <v>3</v>
      </c>
      <c r="BR155" s="2">
        <v>0</v>
      </c>
      <c r="BS155" s="2">
        <v>1</v>
      </c>
      <c r="BT155" s="2">
        <v>1</v>
      </c>
      <c r="BU155" s="2">
        <v>1</v>
      </c>
      <c r="BV155" s="2">
        <v>1</v>
      </c>
      <c r="BW155" s="2">
        <v>1</v>
      </c>
      <c r="BX155" s="2">
        <v>1</v>
      </c>
      <c r="BY155" s="2" t="s">
        <v>3</v>
      </c>
      <c r="BZ155" s="2">
        <v>90</v>
      </c>
      <c r="CA155" s="2">
        <v>46</v>
      </c>
      <c r="CB155" s="2" t="s">
        <v>3</v>
      </c>
      <c r="CC155" s="2"/>
      <c r="CD155" s="2"/>
      <c r="CE155" s="2">
        <v>0</v>
      </c>
      <c r="CF155" s="2">
        <v>0</v>
      </c>
      <c r="CG155" s="2">
        <v>0</v>
      </c>
      <c r="CH155" s="2"/>
      <c r="CI155" s="2"/>
      <c r="CJ155" s="2"/>
      <c r="CK155" s="2"/>
      <c r="CL155" s="2"/>
      <c r="CM155" s="2">
        <v>0</v>
      </c>
      <c r="CN155" s="2" t="s">
        <v>3</v>
      </c>
      <c r="CO155" s="2">
        <v>0</v>
      </c>
      <c r="CP155" s="2">
        <f>0</f>
        <v>0</v>
      </c>
      <c r="CQ155" s="2">
        <f>0</f>
        <v>0</v>
      </c>
      <c r="CR155" s="2">
        <f>0</f>
        <v>0</v>
      </c>
      <c r="CS155" s="2">
        <f>0</f>
        <v>0</v>
      </c>
      <c r="CT155" s="2">
        <f>0</f>
        <v>0</v>
      </c>
      <c r="CU155" s="2">
        <f>0</f>
        <v>0</v>
      </c>
      <c r="CV155" s="2">
        <f>0</f>
        <v>0</v>
      </c>
      <c r="CW155" s="2">
        <f>0</f>
        <v>0</v>
      </c>
      <c r="CX155" s="2">
        <f>0</f>
        <v>0</v>
      </c>
      <c r="CY155" s="2">
        <f>0</f>
        <v>0</v>
      </c>
      <c r="CZ155" s="2">
        <f>0</f>
        <v>0</v>
      </c>
      <c r="DA155" s="2"/>
      <c r="DB155" s="2"/>
      <c r="DC155" s="2" t="s">
        <v>3</v>
      </c>
      <c r="DD155" s="2" t="s">
        <v>3</v>
      </c>
      <c r="DE155" s="2" t="s">
        <v>3</v>
      </c>
      <c r="DF155" s="2" t="s">
        <v>3</v>
      </c>
      <c r="DG155" s="2" t="s">
        <v>3</v>
      </c>
      <c r="DH155" s="2" t="s">
        <v>3</v>
      </c>
      <c r="DI155" s="2" t="s">
        <v>3</v>
      </c>
      <c r="DJ155" s="2" t="s">
        <v>3</v>
      </c>
      <c r="DK155" s="2" t="s">
        <v>3</v>
      </c>
      <c r="DL155" s="2" t="s">
        <v>3</v>
      </c>
      <c r="DM155" s="2" t="s">
        <v>3</v>
      </c>
      <c r="DN155" s="2">
        <v>0</v>
      </c>
      <c r="DO155" s="2">
        <v>0</v>
      </c>
      <c r="DP155" s="2">
        <v>1</v>
      </c>
      <c r="DQ155" s="2">
        <v>1</v>
      </c>
      <c r="DR155" s="2"/>
      <c r="DS155" s="2"/>
      <c r="DT155" s="2"/>
      <c r="DU155" s="2">
        <v>1013</v>
      </c>
      <c r="DV155" s="2" t="s">
        <v>83</v>
      </c>
      <c r="DW155" s="2" t="s">
        <v>83</v>
      </c>
      <c r="DX155" s="2">
        <v>1</v>
      </c>
      <c r="DY155" s="2"/>
      <c r="DZ155" s="2" t="s">
        <v>3</v>
      </c>
      <c r="EA155" s="2" t="s">
        <v>3</v>
      </c>
      <c r="EB155" s="2" t="s">
        <v>3</v>
      </c>
      <c r="EC155" s="2" t="s">
        <v>3</v>
      </c>
      <c r="ED155" s="2"/>
      <c r="EE155" s="2">
        <v>77312978</v>
      </c>
      <c r="EF155" s="2">
        <v>3</v>
      </c>
      <c r="EG155" s="2" t="s">
        <v>74</v>
      </c>
      <c r="EH155" s="2">
        <v>54</v>
      </c>
      <c r="EI155" s="2" t="s">
        <v>75</v>
      </c>
      <c r="EJ155" s="2">
        <v>2</v>
      </c>
      <c r="EK155" s="2">
        <v>112001</v>
      </c>
      <c r="EL155" s="2" t="s">
        <v>75</v>
      </c>
      <c r="EM155" s="2" t="s">
        <v>76</v>
      </c>
      <c r="EN155" s="2"/>
      <c r="EO155" s="2" t="s">
        <v>3</v>
      </c>
      <c r="EP155" s="2"/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>
        <v>0</v>
      </c>
      <c r="FR155" s="2">
        <v>0</v>
      </c>
      <c r="FS155" s="2">
        <v>0</v>
      </c>
      <c r="FT155" s="2"/>
      <c r="FU155" s="2"/>
      <c r="FV155" s="2"/>
      <c r="FW155" s="2"/>
      <c r="FX155" s="2">
        <v>90</v>
      </c>
      <c r="FY155" s="2">
        <v>46</v>
      </c>
      <c r="FZ155" s="2"/>
      <c r="GA155" s="2" t="s">
        <v>3</v>
      </c>
      <c r="GB155" s="2"/>
      <c r="GC155" s="2"/>
      <c r="GD155" s="2">
        <v>1</v>
      </c>
      <c r="GE155" s="2"/>
      <c r="GF155" s="2">
        <v>274903907</v>
      </c>
      <c r="GG155" s="2">
        <v>2</v>
      </c>
      <c r="GH155" s="2">
        <v>1</v>
      </c>
      <c r="GI155" s="2">
        <v>-2</v>
      </c>
      <c r="GJ155" s="2">
        <v>0</v>
      </c>
      <c r="GK155" s="2">
        <v>0</v>
      </c>
      <c r="GL155" s="2">
        <f t="shared" si="92"/>
        <v>0</v>
      </c>
      <c r="GM155" s="2">
        <f t="shared" si="93"/>
        <v>179.07</v>
      </c>
      <c r="GN155" s="2">
        <f t="shared" si="94"/>
        <v>0</v>
      </c>
      <c r="GO155" s="2">
        <f t="shared" si="95"/>
        <v>179.07</v>
      </c>
      <c r="GP155" s="2">
        <f t="shared" si="96"/>
        <v>0</v>
      </c>
      <c r="GQ155" s="2"/>
      <c r="GR155" s="2">
        <v>0</v>
      </c>
      <c r="GS155" s="2">
        <v>0</v>
      </c>
      <c r="GT155" s="2">
        <v>0</v>
      </c>
      <c r="GU155" s="2" t="s">
        <v>3</v>
      </c>
      <c r="GV155" s="2">
        <f t="shared" si="97"/>
        <v>0</v>
      </c>
      <c r="GW155" s="2">
        <v>1</v>
      </c>
      <c r="GX155" s="2">
        <f t="shared" si="98"/>
        <v>0</v>
      </c>
      <c r="GY155" s="2"/>
      <c r="GZ155" s="2"/>
      <c r="HA155" s="2">
        <v>0</v>
      </c>
      <c r="HB155" s="2">
        <v>0</v>
      </c>
      <c r="HC155" s="2">
        <f>0</f>
        <v>0</v>
      </c>
      <c r="HD155" s="2"/>
      <c r="HE155" s="2" t="s">
        <v>3</v>
      </c>
      <c r="HF155" s="2" t="s">
        <v>3</v>
      </c>
      <c r="HG155" s="2"/>
      <c r="HH155" s="2"/>
      <c r="HI155" s="2"/>
      <c r="HJ155" s="2"/>
      <c r="HK155" s="2"/>
      <c r="HL155" s="2"/>
      <c r="HM155" s="2" t="s">
        <v>3</v>
      </c>
      <c r="HN155" s="2" t="s">
        <v>78</v>
      </c>
      <c r="HO155" s="2" t="s">
        <v>79</v>
      </c>
      <c r="HP155" s="2" t="s">
        <v>75</v>
      </c>
      <c r="HQ155" s="2" t="s">
        <v>75</v>
      </c>
      <c r="HR155" s="2"/>
      <c r="HS155" s="2">
        <v>0</v>
      </c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>
        <v>0</v>
      </c>
      <c r="IL155" s="2"/>
      <c r="IM155" s="2"/>
      <c r="IN155" s="2"/>
      <c r="IO155" s="2"/>
      <c r="IP155" s="2"/>
      <c r="IQ155" s="2"/>
      <c r="IR155" s="2"/>
      <c r="IS155" s="2"/>
      <c r="IT155" s="2"/>
      <c r="IU155" s="2"/>
    </row>
    <row r="156" spans="1:255" x14ac:dyDescent="0.2">
      <c r="A156" s="2">
        <v>17</v>
      </c>
      <c r="B156" s="2">
        <v>1</v>
      </c>
      <c r="C156" s="2">
        <f>ROW(SmtRes!A213)</f>
        <v>213</v>
      </c>
      <c r="D156" s="2">
        <f>ROW(EtalonRes!A209)</f>
        <v>209</v>
      </c>
      <c r="E156" s="2" t="s">
        <v>329</v>
      </c>
      <c r="F156" s="2" t="s">
        <v>324</v>
      </c>
      <c r="G156" s="2" t="s">
        <v>330</v>
      </c>
      <c r="H156" s="2" t="s">
        <v>326</v>
      </c>
      <c r="I156" s="2">
        <f>ROUND(2/10,7)</f>
        <v>0.2</v>
      </c>
      <c r="J156" s="2">
        <v>0</v>
      </c>
      <c r="K156" s="2">
        <f>ROUND(2/10,7)</f>
        <v>0.2</v>
      </c>
      <c r="L156" s="2"/>
      <c r="M156" s="2"/>
      <c r="N156" s="2"/>
      <c r="O156" s="2">
        <f>ROUND(CP156,2)</f>
        <v>9637.7800000000007</v>
      </c>
      <c r="P156" s="2">
        <f>SUMIF(SmtRes!AQ202:'SmtRes'!AQ213,"=1",SmtRes!DF202:'SmtRes'!DF213)</f>
        <v>99.34</v>
      </c>
      <c r="Q156" s="2">
        <f>SUMIF(SmtRes!AQ202:'SmtRes'!AQ213,"=1",SmtRes!DG202:'SmtRes'!DG213)</f>
        <v>365.05999999999995</v>
      </c>
      <c r="R156" s="2">
        <f>SUMIF(SmtRes!AQ202:'SmtRes'!AQ213,"=1",SmtRes!DH202:'SmtRes'!DH213)</f>
        <v>219.96</v>
      </c>
      <c r="S156" s="2">
        <f>SUMIF(SmtRes!AQ202:'SmtRes'!AQ213,"=1",SmtRes!DI202:'SmtRes'!DI213)</f>
        <v>8953.42</v>
      </c>
      <c r="T156" s="2">
        <f t="shared" si="82"/>
        <v>0</v>
      </c>
      <c r="U156" s="2">
        <f>SUMIF(SmtRes!AQ202:'SmtRes'!AQ213,"=1",SmtRes!CV202:'SmtRes'!CV213)</f>
        <v>12.4</v>
      </c>
      <c r="V156" s="2">
        <f>SUMIF(SmtRes!AQ202:'SmtRes'!AQ213,"=1",SmtRes!CW202:'SmtRes'!CW213)</f>
        <v>0.26</v>
      </c>
      <c r="W156" s="2">
        <f t="shared" si="83"/>
        <v>0</v>
      </c>
      <c r="X156" s="2">
        <f t="shared" si="84"/>
        <v>8256.0400000000009</v>
      </c>
      <c r="Y156" s="2">
        <f t="shared" si="85"/>
        <v>4219.75</v>
      </c>
      <c r="Z156" s="2"/>
      <c r="AA156" s="2">
        <v>80308166</v>
      </c>
      <c r="AB156" s="2">
        <f t="shared" si="86"/>
        <v>47135.886387999999</v>
      </c>
      <c r="AC156" s="2">
        <f>ROUND((SUM(SmtRes!BQ202:'SmtRes'!BQ213)),6)</f>
        <v>577.89588800000001</v>
      </c>
      <c r="AD156" s="2">
        <f>ROUND((((SUM(SmtRes!BR202:'SmtRes'!BR213))-(SUM(SmtRes!BS202:'SmtRes'!BS213)))+AE156),6)</f>
        <v>1790.8905</v>
      </c>
      <c r="AE156" s="2">
        <f>ROUND((SUM(SmtRes!BS202:'SmtRes'!BS213)),6)</f>
        <v>1099.7739999999999</v>
      </c>
      <c r="AF156" s="2">
        <f>ROUND((SUM(SmtRes!BT202:'SmtRes'!BT213)),6)</f>
        <v>44767.1</v>
      </c>
      <c r="AG156" s="2">
        <f t="shared" si="87"/>
        <v>0</v>
      </c>
      <c r="AH156" s="2">
        <f>(SUM(SmtRes!BU202:'SmtRes'!BU213))</f>
        <v>62</v>
      </c>
      <c r="AI156" s="2">
        <f>(SUM(SmtRes!BV202:'SmtRes'!BV213))</f>
        <v>1.3</v>
      </c>
      <c r="AJ156" s="2">
        <f t="shared" si="88"/>
        <v>0</v>
      </c>
      <c r="AK156" s="2">
        <v>48235.660387799995</v>
      </c>
      <c r="AL156" s="2">
        <v>577.89588779999997</v>
      </c>
      <c r="AM156" s="2">
        <v>1790.8905000000002</v>
      </c>
      <c r="AN156" s="2">
        <v>1099.7739999999999</v>
      </c>
      <c r="AO156" s="2">
        <v>44767.1</v>
      </c>
      <c r="AP156" s="2">
        <v>0</v>
      </c>
      <c r="AQ156" s="2">
        <v>62</v>
      </c>
      <c r="AR156" s="2">
        <v>1.3</v>
      </c>
      <c r="AS156" s="2">
        <v>0</v>
      </c>
      <c r="AT156" s="2">
        <v>90</v>
      </c>
      <c r="AU156" s="2">
        <v>46</v>
      </c>
      <c r="AV156" s="2">
        <v>1</v>
      </c>
      <c r="AW156" s="2">
        <v>1</v>
      </c>
      <c r="AX156" s="2"/>
      <c r="AY156" s="2"/>
      <c r="AZ156" s="2">
        <v>1</v>
      </c>
      <c r="BA156" s="2">
        <v>1</v>
      </c>
      <c r="BB156" s="2">
        <v>1</v>
      </c>
      <c r="BC156" s="2">
        <v>1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>
        <v>0</v>
      </c>
      <c r="BI156" s="2">
        <v>2</v>
      </c>
      <c r="BJ156" s="2" t="s">
        <v>327</v>
      </c>
      <c r="BK156" s="2"/>
      <c r="BL156" s="2"/>
      <c r="BM156" s="2">
        <v>112001</v>
      </c>
      <c r="BN156" s="2">
        <v>0</v>
      </c>
      <c r="BO156" s="2" t="s">
        <v>3</v>
      </c>
      <c r="BP156" s="2">
        <v>0</v>
      </c>
      <c r="BQ156" s="2">
        <v>3</v>
      </c>
      <c r="BR156" s="2">
        <v>0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 t="s">
        <v>3</v>
      </c>
      <c r="BZ156" s="2">
        <v>90</v>
      </c>
      <c r="CA156" s="2">
        <v>46</v>
      </c>
      <c r="CB156" s="2" t="s">
        <v>3</v>
      </c>
      <c r="CC156" s="2"/>
      <c r="CD156" s="2"/>
      <c r="CE156" s="2">
        <v>0</v>
      </c>
      <c r="CF156" s="2">
        <v>0</v>
      </c>
      <c r="CG156" s="2">
        <v>0</v>
      </c>
      <c r="CH156" s="2"/>
      <c r="CI156" s="2"/>
      <c r="CJ156" s="2"/>
      <c r="CK156" s="2"/>
      <c r="CL156" s="2"/>
      <c r="CM156" s="2">
        <v>0</v>
      </c>
      <c r="CN156" s="2" t="s">
        <v>3</v>
      </c>
      <c r="CO156" s="2">
        <v>0</v>
      </c>
      <c r="CP156" s="2">
        <f>(P156+Q156+S156+R156)</f>
        <v>9637.7799999999988</v>
      </c>
      <c r="CQ156" s="2">
        <f>SUMIF(SmtRes!AQ202:'SmtRes'!AQ213,"=1",SmtRes!AA202:'SmtRes'!AA213)</f>
        <v>124057.23</v>
      </c>
      <c r="CR156" s="2">
        <f>SUMIF(SmtRes!AQ202:'SmtRes'!AQ213,"=1",SmtRes!AB202:'SmtRes'!AB213)</f>
        <v>2330.15</v>
      </c>
      <c r="CS156" s="2">
        <f>SUMIF(SmtRes!AQ202:'SmtRes'!AQ213,"=1",SmtRes!AC202:'SmtRes'!AC213)</f>
        <v>1691.96</v>
      </c>
      <c r="CT156" s="2">
        <f>SUMIF(SmtRes!AQ202:'SmtRes'!AQ213,"=1",SmtRes!AD202:'SmtRes'!AD213)</f>
        <v>722.05</v>
      </c>
      <c r="CU156" s="2">
        <f>AG156</f>
        <v>0</v>
      </c>
      <c r="CV156" s="2">
        <f>SUMIF(SmtRes!AQ202:'SmtRes'!AQ213,"=1",SmtRes!BU202:'SmtRes'!BU213)</f>
        <v>62</v>
      </c>
      <c r="CW156" s="2">
        <f>SUMIF(SmtRes!AQ202:'SmtRes'!AQ213,"=1",SmtRes!BV202:'SmtRes'!BV213)</f>
        <v>1.3</v>
      </c>
      <c r="CX156" s="2">
        <f>AJ156</f>
        <v>0</v>
      </c>
      <c r="CY156" s="2">
        <f>(((S156+R156)*AT156)/100)</f>
        <v>8256.0419999999995</v>
      </c>
      <c r="CZ156" s="2">
        <f>(((S156+R156)*AU156)/100)</f>
        <v>4219.7547999999997</v>
      </c>
      <c r="DA156" s="2"/>
      <c r="DB156" s="2"/>
      <c r="DC156" s="2" t="s">
        <v>3</v>
      </c>
      <c r="DD156" s="2" t="s">
        <v>3</v>
      </c>
      <c r="DE156" s="2" t="s">
        <v>3</v>
      </c>
      <c r="DF156" s="2" t="s">
        <v>3</v>
      </c>
      <c r="DG156" s="2" t="s">
        <v>3</v>
      </c>
      <c r="DH156" s="2" t="s">
        <v>3</v>
      </c>
      <c r="DI156" s="2" t="s">
        <v>3</v>
      </c>
      <c r="DJ156" s="2" t="s">
        <v>3</v>
      </c>
      <c r="DK156" s="2" t="s">
        <v>3</v>
      </c>
      <c r="DL156" s="2" t="s">
        <v>3</v>
      </c>
      <c r="DM156" s="2" t="s">
        <v>3</v>
      </c>
      <c r="DN156" s="2">
        <v>0</v>
      </c>
      <c r="DO156" s="2">
        <v>0</v>
      </c>
      <c r="DP156" s="2">
        <v>1</v>
      </c>
      <c r="DQ156" s="2">
        <v>1</v>
      </c>
      <c r="DR156" s="2"/>
      <c r="DS156" s="2"/>
      <c r="DT156" s="2"/>
      <c r="DU156" s="2">
        <v>1013</v>
      </c>
      <c r="DV156" s="2" t="s">
        <v>326</v>
      </c>
      <c r="DW156" s="2" t="s">
        <v>326</v>
      </c>
      <c r="DX156" s="2">
        <v>1</v>
      </c>
      <c r="DY156" s="2"/>
      <c r="DZ156" s="2" t="s">
        <v>3</v>
      </c>
      <c r="EA156" s="2" t="s">
        <v>3</v>
      </c>
      <c r="EB156" s="2" t="s">
        <v>3</v>
      </c>
      <c r="EC156" s="2" t="s">
        <v>3</v>
      </c>
      <c r="ED156" s="2"/>
      <c r="EE156" s="2">
        <v>77312978</v>
      </c>
      <c r="EF156" s="2">
        <v>3</v>
      </c>
      <c r="EG156" s="2" t="s">
        <v>74</v>
      </c>
      <c r="EH156" s="2">
        <v>54</v>
      </c>
      <c r="EI156" s="2" t="s">
        <v>75</v>
      </c>
      <c r="EJ156" s="2">
        <v>2</v>
      </c>
      <c r="EK156" s="2">
        <v>112001</v>
      </c>
      <c r="EL156" s="2" t="s">
        <v>75</v>
      </c>
      <c r="EM156" s="2" t="s">
        <v>76</v>
      </c>
      <c r="EN156" s="2"/>
      <c r="EO156" s="2" t="s">
        <v>3</v>
      </c>
      <c r="EP156" s="2"/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62</v>
      </c>
      <c r="EX156" s="2">
        <v>1.3</v>
      </c>
      <c r="EY156" s="2">
        <v>0</v>
      </c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>
        <v>0</v>
      </c>
      <c r="FR156" s="2">
        <v>0</v>
      </c>
      <c r="FS156" s="2">
        <v>0</v>
      </c>
      <c r="FT156" s="2"/>
      <c r="FU156" s="2"/>
      <c r="FV156" s="2"/>
      <c r="FW156" s="2"/>
      <c r="FX156" s="2">
        <v>90</v>
      </c>
      <c r="FY156" s="2">
        <v>46</v>
      </c>
      <c r="FZ156" s="2"/>
      <c r="GA156" s="2" t="s">
        <v>3</v>
      </c>
      <c r="GB156" s="2"/>
      <c r="GC156" s="2"/>
      <c r="GD156" s="2">
        <v>1</v>
      </c>
      <c r="GE156" s="2"/>
      <c r="GF156" s="2">
        <v>-1641749586</v>
      </c>
      <c r="GG156" s="2">
        <v>2</v>
      </c>
      <c r="GH156" s="2">
        <v>1</v>
      </c>
      <c r="GI156" s="2">
        <v>-2</v>
      </c>
      <c r="GJ156" s="2">
        <v>0</v>
      </c>
      <c r="GK156" s="2">
        <v>0</v>
      </c>
      <c r="GL156" s="2">
        <f t="shared" si="92"/>
        <v>0</v>
      </c>
      <c r="GM156" s="2">
        <f t="shared" si="93"/>
        <v>22113.57</v>
      </c>
      <c r="GN156" s="2">
        <f t="shared" si="94"/>
        <v>0</v>
      </c>
      <c r="GO156" s="2">
        <f t="shared" si="95"/>
        <v>22113.57</v>
      </c>
      <c r="GP156" s="2">
        <f t="shared" si="96"/>
        <v>0</v>
      </c>
      <c r="GQ156" s="2"/>
      <c r="GR156" s="2">
        <v>0</v>
      </c>
      <c r="GS156" s="2">
        <v>3</v>
      </c>
      <c r="GT156" s="2">
        <v>0</v>
      </c>
      <c r="GU156" s="2" t="s">
        <v>3</v>
      </c>
      <c r="GV156" s="2">
        <f t="shared" si="97"/>
        <v>0</v>
      </c>
      <c r="GW156" s="2">
        <v>1</v>
      </c>
      <c r="GX156" s="2">
        <f t="shared" si="98"/>
        <v>0</v>
      </c>
      <c r="GY156" s="2"/>
      <c r="GZ156" s="2"/>
      <c r="HA156" s="2">
        <v>0</v>
      </c>
      <c r="HB156" s="2">
        <v>0</v>
      </c>
      <c r="HC156" s="2">
        <f>GV156*GW156</f>
        <v>0</v>
      </c>
      <c r="HD156" s="2"/>
      <c r="HE156" s="2" t="s">
        <v>3</v>
      </c>
      <c r="HF156" s="2" t="s">
        <v>3</v>
      </c>
      <c r="HG156" s="2"/>
      <c r="HH156" s="2"/>
      <c r="HI156" s="2"/>
      <c r="HJ156" s="2"/>
      <c r="HK156" s="2"/>
      <c r="HL156" s="2"/>
      <c r="HM156" s="2" t="s">
        <v>3</v>
      </c>
      <c r="HN156" s="2" t="s">
        <v>78</v>
      </c>
      <c r="HO156" s="2" t="s">
        <v>79</v>
      </c>
      <c r="HP156" s="2" t="s">
        <v>75</v>
      </c>
      <c r="HQ156" s="2" t="s">
        <v>75</v>
      </c>
      <c r="HR156" s="2"/>
      <c r="HS156" s="2">
        <v>0</v>
      </c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>
        <v>0</v>
      </c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x14ac:dyDescent="0.2">
      <c r="A157" s="2">
        <v>18</v>
      </c>
      <c r="B157" s="2">
        <v>1</v>
      </c>
      <c r="C157" s="2">
        <v>213</v>
      </c>
      <c r="D157" s="2"/>
      <c r="E157" s="2" t="s">
        <v>331</v>
      </c>
      <c r="F157" s="2" t="s">
        <v>81</v>
      </c>
      <c r="G157" s="2" t="s">
        <v>82</v>
      </c>
      <c r="H157" s="2" t="s">
        <v>83</v>
      </c>
      <c r="I157" s="2">
        <f>J157</f>
        <v>2</v>
      </c>
      <c r="J157" s="2">
        <v>2</v>
      </c>
      <c r="K157" s="2">
        <v>2</v>
      </c>
      <c r="L157" s="2"/>
      <c r="M157" s="2"/>
      <c r="N157" s="2"/>
      <c r="O157" s="2">
        <f>ROUND(P157,2)</f>
        <v>179.07</v>
      </c>
      <c r="P157" s="2">
        <f>ROUND(ROUND(ROUND(SUMIF(SmtRes!AQ202:'SmtRes'!AQ213,"=1",SmtRes!CU202:'SmtRes'!CU213),2),2)*I157/100,2)</f>
        <v>179.07</v>
      </c>
      <c r="Q157" s="2">
        <f>ROUND(CR157*I157,2)</f>
        <v>0</v>
      </c>
      <c r="R157" s="2">
        <f>ROUND(CS157*I157,2)</f>
        <v>0</v>
      </c>
      <c r="S157" s="2">
        <f>ROUND(CT157*I157,2)</f>
        <v>0</v>
      </c>
      <c r="T157" s="2">
        <f t="shared" si="82"/>
        <v>0</v>
      </c>
      <c r="U157" s="2">
        <f>ROUND(CV157*I157,7)</f>
        <v>0</v>
      </c>
      <c r="V157" s="2">
        <f>ROUND(CW157*I157,7)</f>
        <v>0</v>
      </c>
      <c r="W157" s="2">
        <f t="shared" si="83"/>
        <v>0</v>
      </c>
      <c r="X157" s="2">
        <f t="shared" si="84"/>
        <v>0</v>
      </c>
      <c r="Y157" s="2">
        <f t="shared" si="85"/>
        <v>0</v>
      </c>
      <c r="Z157" s="2"/>
      <c r="AA157" s="2">
        <v>80308166</v>
      </c>
      <c r="AB157" s="2">
        <f t="shared" si="86"/>
        <v>0</v>
      </c>
      <c r="AC157" s="2">
        <f>ROUND((ES157),6)</f>
        <v>0</v>
      </c>
      <c r="AD157" s="2">
        <f>ROUND((((ET157)-(EU157))+AE157),6)</f>
        <v>0</v>
      </c>
      <c r="AE157" s="2">
        <f>ROUND((EU157),6)</f>
        <v>0</v>
      </c>
      <c r="AF157" s="2">
        <f>ROUND((EV157),6)</f>
        <v>0</v>
      </c>
      <c r="AG157" s="2">
        <f t="shared" si="87"/>
        <v>0</v>
      </c>
      <c r="AH157" s="2">
        <f>(EW157)</f>
        <v>0</v>
      </c>
      <c r="AI157" s="2">
        <f>(EX157)</f>
        <v>0</v>
      </c>
      <c r="AJ157" s="2">
        <f t="shared" si="88"/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90</v>
      </c>
      <c r="AU157" s="2">
        <v>46</v>
      </c>
      <c r="AV157" s="2">
        <v>1</v>
      </c>
      <c r="AW157" s="2">
        <v>1</v>
      </c>
      <c r="AX157" s="2"/>
      <c r="AY157" s="2"/>
      <c r="AZ157" s="2">
        <v>1</v>
      </c>
      <c r="BA157" s="2">
        <v>1</v>
      </c>
      <c r="BB157" s="2">
        <v>1</v>
      </c>
      <c r="BC157" s="2">
        <v>1</v>
      </c>
      <c r="BD157" s="2" t="s">
        <v>3</v>
      </c>
      <c r="BE157" s="2" t="s">
        <v>3</v>
      </c>
      <c r="BF157" s="2" t="s">
        <v>3</v>
      </c>
      <c r="BG157" s="2" t="s">
        <v>3</v>
      </c>
      <c r="BH157" s="2">
        <v>3</v>
      </c>
      <c r="BI157" s="2">
        <v>2</v>
      </c>
      <c r="BJ157" s="2" t="s">
        <v>3</v>
      </c>
      <c r="BK157" s="2"/>
      <c r="BL157" s="2"/>
      <c r="BM157" s="2">
        <v>112001</v>
      </c>
      <c r="BN157" s="2">
        <v>0</v>
      </c>
      <c r="BO157" s="2" t="s">
        <v>3</v>
      </c>
      <c r="BP157" s="2">
        <v>0</v>
      </c>
      <c r="BQ157" s="2">
        <v>3</v>
      </c>
      <c r="BR157" s="2">
        <v>0</v>
      </c>
      <c r="BS157" s="2">
        <v>1</v>
      </c>
      <c r="BT157" s="2">
        <v>1</v>
      </c>
      <c r="BU157" s="2">
        <v>1</v>
      </c>
      <c r="BV157" s="2">
        <v>1</v>
      </c>
      <c r="BW157" s="2">
        <v>1</v>
      </c>
      <c r="BX157" s="2">
        <v>1</v>
      </c>
      <c r="BY157" s="2" t="s">
        <v>3</v>
      </c>
      <c r="BZ157" s="2">
        <v>90</v>
      </c>
      <c r="CA157" s="2">
        <v>46</v>
      </c>
      <c r="CB157" s="2" t="s">
        <v>3</v>
      </c>
      <c r="CC157" s="2"/>
      <c r="CD157" s="2"/>
      <c r="CE157" s="2">
        <v>0</v>
      </c>
      <c r="CF157" s="2">
        <v>0</v>
      </c>
      <c r="CG157" s="2">
        <v>0</v>
      </c>
      <c r="CH157" s="2"/>
      <c r="CI157" s="2"/>
      <c r="CJ157" s="2"/>
      <c r="CK157" s="2"/>
      <c r="CL157" s="2"/>
      <c r="CM157" s="2">
        <v>0</v>
      </c>
      <c r="CN157" s="2" t="s">
        <v>3</v>
      </c>
      <c r="CO157" s="2">
        <v>0</v>
      </c>
      <c r="CP157" s="2">
        <f>0</f>
        <v>0</v>
      </c>
      <c r="CQ157" s="2">
        <f>0</f>
        <v>0</v>
      </c>
      <c r="CR157" s="2">
        <f>0</f>
        <v>0</v>
      </c>
      <c r="CS157" s="2">
        <f>0</f>
        <v>0</v>
      </c>
      <c r="CT157" s="2">
        <f>0</f>
        <v>0</v>
      </c>
      <c r="CU157" s="2">
        <f>0</f>
        <v>0</v>
      </c>
      <c r="CV157" s="2">
        <f>0</f>
        <v>0</v>
      </c>
      <c r="CW157" s="2">
        <f>0</f>
        <v>0</v>
      </c>
      <c r="CX157" s="2">
        <f>0</f>
        <v>0</v>
      </c>
      <c r="CY157" s="2">
        <f>0</f>
        <v>0</v>
      </c>
      <c r="CZ157" s="2">
        <f>0</f>
        <v>0</v>
      </c>
      <c r="DA157" s="2"/>
      <c r="DB157" s="2"/>
      <c r="DC157" s="2" t="s">
        <v>3</v>
      </c>
      <c r="DD157" s="2" t="s">
        <v>3</v>
      </c>
      <c r="DE157" s="2" t="s">
        <v>3</v>
      </c>
      <c r="DF157" s="2" t="s">
        <v>3</v>
      </c>
      <c r="DG157" s="2" t="s">
        <v>3</v>
      </c>
      <c r="DH157" s="2" t="s">
        <v>3</v>
      </c>
      <c r="DI157" s="2" t="s">
        <v>3</v>
      </c>
      <c r="DJ157" s="2" t="s">
        <v>3</v>
      </c>
      <c r="DK157" s="2" t="s">
        <v>3</v>
      </c>
      <c r="DL157" s="2" t="s">
        <v>3</v>
      </c>
      <c r="DM157" s="2" t="s">
        <v>3</v>
      </c>
      <c r="DN157" s="2">
        <v>0</v>
      </c>
      <c r="DO157" s="2">
        <v>0</v>
      </c>
      <c r="DP157" s="2">
        <v>1</v>
      </c>
      <c r="DQ157" s="2">
        <v>1</v>
      </c>
      <c r="DR157" s="2"/>
      <c r="DS157" s="2"/>
      <c r="DT157" s="2"/>
      <c r="DU157" s="2">
        <v>1013</v>
      </c>
      <c r="DV157" s="2" t="s">
        <v>83</v>
      </c>
      <c r="DW157" s="2" t="s">
        <v>83</v>
      </c>
      <c r="DX157" s="2">
        <v>1</v>
      </c>
      <c r="DY157" s="2"/>
      <c r="DZ157" s="2" t="s">
        <v>3</v>
      </c>
      <c r="EA157" s="2" t="s">
        <v>3</v>
      </c>
      <c r="EB157" s="2" t="s">
        <v>3</v>
      </c>
      <c r="EC157" s="2" t="s">
        <v>3</v>
      </c>
      <c r="ED157" s="2"/>
      <c r="EE157" s="2">
        <v>77312978</v>
      </c>
      <c r="EF157" s="2">
        <v>3</v>
      </c>
      <c r="EG157" s="2" t="s">
        <v>74</v>
      </c>
      <c r="EH157" s="2">
        <v>54</v>
      </c>
      <c r="EI157" s="2" t="s">
        <v>75</v>
      </c>
      <c r="EJ157" s="2">
        <v>2</v>
      </c>
      <c r="EK157" s="2">
        <v>112001</v>
      </c>
      <c r="EL157" s="2" t="s">
        <v>75</v>
      </c>
      <c r="EM157" s="2" t="s">
        <v>76</v>
      </c>
      <c r="EN157" s="2"/>
      <c r="EO157" s="2" t="s">
        <v>3</v>
      </c>
      <c r="EP157" s="2"/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0</v>
      </c>
      <c r="EX157" s="2">
        <v>0</v>
      </c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>
        <v>0</v>
      </c>
      <c r="FR157" s="2">
        <v>0</v>
      </c>
      <c r="FS157" s="2">
        <v>0</v>
      </c>
      <c r="FT157" s="2"/>
      <c r="FU157" s="2"/>
      <c r="FV157" s="2"/>
      <c r="FW157" s="2"/>
      <c r="FX157" s="2">
        <v>90</v>
      </c>
      <c r="FY157" s="2">
        <v>46</v>
      </c>
      <c r="FZ157" s="2"/>
      <c r="GA157" s="2" t="s">
        <v>3</v>
      </c>
      <c r="GB157" s="2"/>
      <c r="GC157" s="2"/>
      <c r="GD157" s="2">
        <v>1</v>
      </c>
      <c r="GE157" s="2"/>
      <c r="GF157" s="2">
        <v>274903907</v>
      </c>
      <c r="GG157" s="2">
        <v>2</v>
      </c>
      <c r="GH157" s="2">
        <v>1</v>
      </c>
      <c r="GI157" s="2">
        <v>-2</v>
      </c>
      <c r="GJ157" s="2">
        <v>0</v>
      </c>
      <c r="GK157" s="2">
        <v>0</v>
      </c>
      <c r="GL157" s="2">
        <f t="shared" si="92"/>
        <v>0</v>
      </c>
      <c r="GM157" s="2">
        <f t="shared" si="93"/>
        <v>179.07</v>
      </c>
      <c r="GN157" s="2">
        <f t="shared" si="94"/>
        <v>0</v>
      </c>
      <c r="GO157" s="2">
        <f t="shared" si="95"/>
        <v>179.07</v>
      </c>
      <c r="GP157" s="2">
        <f t="shared" si="96"/>
        <v>0</v>
      </c>
      <c r="GQ157" s="2"/>
      <c r="GR157" s="2">
        <v>0</v>
      </c>
      <c r="GS157" s="2">
        <v>0</v>
      </c>
      <c r="GT157" s="2">
        <v>0</v>
      </c>
      <c r="GU157" s="2" t="s">
        <v>3</v>
      </c>
      <c r="GV157" s="2">
        <f t="shared" si="97"/>
        <v>0</v>
      </c>
      <c r="GW157" s="2">
        <v>1</v>
      </c>
      <c r="GX157" s="2">
        <f t="shared" si="98"/>
        <v>0</v>
      </c>
      <c r="GY157" s="2"/>
      <c r="GZ157" s="2"/>
      <c r="HA157" s="2">
        <v>0</v>
      </c>
      <c r="HB157" s="2">
        <v>0</v>
      </c>
      <c r="HC157" s="2">
        <f>0</f>
        <v>0</v>
      </c>
      <c r="HD157" s="2"/>
      <c r="HE157" s="2" t="s">
        <v>3</v>
      </c>
      <c r="HF157" s="2" t="s">
        <v>3</v>
      </c>
      <c r="HG157" s="2"/>
      <c r="HH157" s="2"/>
      <c r="HI157" s="2"/>
      <c r="HJ157" s="2"/>
      <c r="HK157" s="2"/>
      <c r="HL157" s="2"/>
      <c r="HM157" s="2" t="s">
        <v>3</v>
      </c>
      <c r="HN157" s="2" t="s">
        <v>78</v>
      </c>
      <c r="HO157" s="2" t="s">
        <v>79</v>
      </c>
      <c r="HP157" s="2" t="s">
        <v>75</v>
      </c>
      <c r="HQ157" s="2" t="s">
        <v>75</v>
      </c>
      <c r="HR157" s="2"/>
      <c r="HS157" s="2">
        <v>0</v>
      </c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>
        <v>0</v>
      </c>
      <c r="IL157" s="2"/>
      <c r="IM157" s="2"/>
      <c r="IN157" s="2"/>
      <c r="IO157" s="2"/>
      <c r="IP157" s="2"/>
      <c r="IQ157" s="2"/>
      <c r="IR157" s="2"/>
      <c r="IS157" s="2"/>
      <c r="IT157" s="2"/>
      <c r="IU157" s="2"/>
    </row>
    <row r="158" spans="1:255" x14ac:dyDescent="0.2">
      <c r="A158" s="2">
        <v>17</v>
      </c>
      <c r="B158" s="2">
        <v>1</v>
      </c>
      <c r="C158" s="2"/>
      <c r="D158" s="2"/>
      <c r="E158" s="2" t="s">
        <v>332</v>
      </c>
      <c r="F158" s="2" t="s">
        <v>333</v>
      </c>
      <c r="G158" s="2" t="s">
        <v>334</v>
      </c>
      <c r="H158" s="2" t="s">
        <v>30</v>
      </c>
      <c r="I158" s="2">
        <v>2</v>
      </c>
      <c r="J158" s="2">
        <v>0</v>
      </c>
      <c r="K158" s="2">
        <v>2</v>
      </c>
      <c r="L158" s="2"/>
      <c r="M158" s="2"/>
      <c r="N158" s="2"/>
      <c r="O158" s="2">
        <f>ROUND(CP158,2)</f>
        <v>11114.58</v>
      </c>
      <c r="P158" s="2">
        <f>ROUND(CQ158*I158,2)</f>
        <v>11114.58</v>
      </c>
      <c r="Q158" s="2">
        <f>ROUND(CR158*I158,2)</f>
        <v>0</v>
      </c>
      <c r="R158" s="2">
        <f>ROUND(CS158*I158,2)</f>
        <v>0</v>
      </c>
      <c r="S158" s="2">
        <f>ROUND(CT158*I158,2)</f>
        <v>0</v>
      </c>
      <c r="T158" s="2">
        <f t="shared" si="82"/>
        <v>0</v>
      </c>
      <c r="U158" s="2">
        <f>ROUND(CV158*I158,7)</f>
        <v>0</v>
      </c>
      <c r="V158" s="2">
        <f>ROUND(CW158*I158,7)</f>
        <v>0</v>
      </c>
      <c r="W158" s="2">
        <f t="shared" si="83"/>
        <v>0</v>
      </c>
      <c r="X158" s="2">
        <f t="shared" si="84"/>
        <v>0</v>
      </c>
      <c r="Y158" s="2">
        <f t="shared" si="85"/>
        <v>0</v>
      </c>
      <c r="Z158" s="2"/>
      <c r="AA158" s="2">
        <v>80308166</v>
      </c>
      <c r="AB158" s="2">
        <f t="shared" si="86"/>
        <v>3806.36</v>
      </c>
      <c r="AC158" s="2">
        <f>ROUND((ES158),6)</f>
        <v>3806.36</v>
      </c>
      <c r="AD158" s="2">
        <f>ROUND((((ET158)-(EU158))+AE158),6)</f>
        <v>0</v>
      </c>
      <c r="AE158" s="2">
        <f>ROUND((EU158),6)</f>
        <v>0</v>
      </c>
      <c r="AF158" s="2">
        <f>ROUND((EV158),6)</f>
        <v>0</v>
      </c>
      <c r="AG158" s="2">
        <f t="shared" si="87"/>
        <v>0</v>
      </c>
      <c r="AH158" s="2">
        <f>(EW158)</f>
        <v>0</v>
      </c>
      <c r="AI158" s="2">
        <f>(EX158)</f>
        <v>0</v>
      </c>
      <c r="AJ158" s="2">
        <f t="shared" si="88"/>
        <v>0</v>
      </c>
      <c r="AK158" s="2">
        <v>3806.36</v>
      </c>
      <c r="AL158" s="2">
        <v>3806.36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1</v>
      </c>
      <c r="AW158" s="2">
        <v>1</v>
      </c>
      <c r="AX158" s="2"/>
      <c r="AY158" s="2"/>
      <c r="AZ158" s="2">
        <v>1</v>
      </c>
      <c r="BA158" s="2">
        <v>1</v>
      </c>
      <c r="BB158" s="2">
        <v>1</v>
      </c>
      <c r="BC158" s="2">
        <v>1.46</v>
      </c>
      <c r="BD158" s="2" t="s">
        <v>3</v>
      </c>
      <c r="BE158" s="2" t="s">
        <v>3</v>
      </c>
      <c r="BF158" s="2" t="s">
        <v>3</v>
      </c>
      <c r="BG158" s="2" t="s">
        <v>3</v>
      </c>
      <c r="BH158" s="2">
        <v>3</v>
      </c>
      <c r="BI158" s="2">
        <v>1</v>
      </c>
      <c r="BJ158" s="2" t="s">
        <v>335</v>
      </c>
      <c r="BK158" s="2"/>
      <c r="BL158" s="2"/>
      <c r="BM158" s="2">
        <v>500001</v>
      </c>
      <c r="BN158" s="2">
        <v>0</v>
      </c>
      <c r="BO158" s="2" t="s">
        <v>333</v>
      </c>
      <c r="BP158" s="2">
        <v>1</v>
      </c>
      <c r="BQ158" s="2">
        <v>8</v>
      </c>
      <c r="BR158" s="2">
        <v>0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 t="s">
        <v>3</v>
      </c>
      <c r="BZ158" s="2">
        <v>0</v>
      </c>
      <c r="CA158" s="2">
        <v>0</v>
      </c>
      <c r="CB158" s="2" t="s">
        <v>3</v>
      </c>
      <c r="CC158" s="2"/>
      <c r="CD158" s="2"/>
      <c r="CE158" s="2">
        <v>0</v>
      </c>
      <c r="CF158" s="2">
        <v>0</v>
      </c>
      <c r="CG158" s="2">
        <v>0</v>
      </c>
      <c r="CH158" s="2"/>
      <c r="CI158" s="2"/>
      <c r="CJ158" s="2"/>
      <c r="CK158" s="2"/>
      <c r="CL158" s="2"/>
      <c r="CM158" s="2">
        <v>0</v>
      </c>
      <c r="CN158" s="2" t="s">
        <v>3</v>
      </c>
      <c r="CO158" s="2">
        <v>0</v>
      </c>
      <c r="CP158" s="2">
        <f>(P158+Q158+S158+R158)</f>
        <v>11114.58</v>
      </c>
      <c r="CQ158" s="2">
        <f>ROUND(AL158*BC158,2)</f>
        <v>5557.29</v>
      </c>
      <c r="CR158" s="2">
        <f>ROUND(AM158*BB158,2)</f>
        <v>0</v>
      </c>
      <c r="CS158" s="2">
        <f>ROUND(AN158*BS158,2)</f>
        <v>0</v>
      </c>
      <c r="CT158" s="2">
        <f>ROUND(AO158*BA158,2)</f>
        <v>0</v>
      </c>
      <c r="CU158" s="2">
        <f>AG158</f>
        <v>0</v>
      </c>
      <c r="CV158" s="2">
        <f>AH158</f>
        <v>0</v>
      </c>
      <c r="CW158" s="2">
        <f>AI158</f>
        <v>0</v>
      </c>
      <c r="CX158" s="2">
        <f>AJ158</f>
        <v>0</v>
      </c>
      <c r="CY158" s="2">
        <f>0</f>
        <v>0</v>
      </c>
      <c r="CZ158" s="2">
        <f>0</f>
        <v>0</v>
      </c>
      <c r="DA158" s="2"/>
      <c r="DB158" s="2"/>
      <c r="DC158" s="2" t="s">
        <v>3</v>
      </c>
      <c r="DD158" s="2" t="s">
        <v>3</v>
      </c>
      <c r="DE158" s="2" t="s">
        <v>3</v>
      </c>
      <c r="DF158" s="2" t="s">
        <v>3</v>
      </c>
      <c r="DG158" s="2" t="s">
        <v>3</v>
      </c>
      <c r="DH158" s="2" t="s">
        <v>3</v>
      </c>
      <c r="DI158" s="2" t="s">
        <v>3</v>
      </c>
      <c r="DJ158" s="2" t="s">
        <v>3</v>
      </c>
      <c r="DK158" s="2" t="s">
        <v>3</v>
      </c>
      <c r="DL158" s="2" t="s">
        <v>3</v>
      </c>
      <c r="DM158" s="2" t="s">
        <v>3</v>
      </c>
      <c r="DN158" s="2">
        <v>0</v>
      </c>
      <c r="DO158" s="2">
        <v>0</v>
      </c>
      <c r="DP158" s="2">
        <v>1</v>
      </c>
      <c r="DQ158" s="2">
        <v>1</v>
      </c>
      <c r="DR158" s="2"/>
      <c r="DS158" s="2"/>
      <c r="DT158" s="2"/>
      <c r="DU158" s="2">
        <v>1013</v>
      </c>
      <c r="DV158" s="2" t="s">
        <v>30</v>
      </c>
      <c r="DW158" s="2" t="s">
        <v>30</v>
      </c>
      <c r="DX158" s="2">
        <v>1</v>
      </c>
      <c r="DY158" s="2"/>
      <c r="DZ158" s="2" t="s">
        <v>3</v>
      </c>
      <c r="EA158" s="2" t="s">
        <v>3</v>
      </c>
      <c r="EB158" s="2" t="s">
        <v>3</v>
      </c>
      <c r="EC158" s="2" t="s">
        <v>3</v>
      </c>
      <c r="ED158" s="2"/>
      <c r="EE158" s="2">
        <v>77313025</v>
      </c>
      <c r="EF158" s="2">
        <v>8</v>
      </c>
      <c r="EG158" s="2" t="s">
        <v>336</v>
      </c>
      <c r="EH158" s="2">
        <v>0</v>
      </c>
      <c r="EI158" s="2" t="s">
        <v>3</v>
      </c>
      <c r="EJ158" s="2">
        <v>1</v>
      </c>
      <c r="EK158" s="2">
        <v>500001</v>
      </c>
      <c r="EL158" s="2" t="s">
        <v>337</v>
      </c>
      <c r="EM158" s="2" t="s">
        <v>338</v>
      </c>
      <c r="EN158" s="2"/>
      <c r="EO158" s="2" t="s">
        <v>3</v>
      </c>
      <c r="EP158" s="2"/>
      <c r="EQ158" s="2">
        <v>0</v>
      </c>
      <c r="ER158" s="2">
        <v>3806.36</v>
      </c>
      <c r="ES158" s="2">
        <v>3806.36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>
        <v>0</v>
      </c>
      <c r="FR158" s="2">
        <v>0</v>
      </c>
      <c r="FS158" s="2">
        <v>0</v>
      </c>
      <c r="FT158" s="2"/>
      <c r="FU158" s="2"/>
      <c r="FV158" s="2"/>
      <c r="FW158" s="2"/>
      <c r="FX158" s="2">
        <v>0</v>
      </c>
      <c r="FY158" s="2">
        <v>0</v>
      </c>
      <c r="FZ158" s="2"/>
      <c r="GA158" s="2" t="s">
        <v>3</v>
      </c>
      <c r="GB158" s="2"/>
      <c r="GC158" s="2"/>
      <c r="GD158" s="2">
        <v>1</v>
      </c>
      <c r="GE158" s="2"/>
      <c r="GF158" s="2">
        <v>-1033465680</v>
      </c>
      <c r="GG158" s="2">
        <v>2</v>
      </c>
      <c r="GH158" s="2">
        <v>1</v>
      </c>
      <c r="GI158" s="2">
        <v>2</v>
      </c>
      <c r="GJ158" s="2">
        <v>0</v>
      </c>
      <c r="GK158" s="2">
        <v>0</v>
      </c>
      <c r="GL158" s="2">
        <f t="shared" si="92"/>
        <v>0</v>
      </c>
      <c r="GM158" s="2">
        <f t="shared" si="93"/>
        <v>11114.58</v>
      </c>
      <c r="GN158" s="2">
        <f t="shared" si="94"/>
        <v>11114.58</v>
      </c>
      <c r="GO158" s="2">
        <f t="shared" si="95"/>
        <v>0</v>
      </c>
      <c r="GP158" s="2">
        <f t="shared" si="96"/>
        <v>0</v>
      </c>
      <c r="GQ158" s="2"/>
      <c r="GR158" s="2">
        <v>0</v>
      </c>
      <c r="GS158" s="2">
        <v>3</v>
      </c>
      <c r="GT158" s="2">
        <v>0</v>
      </c>
      <c r="GU158" s="2" t="s">
        <v>3</v>
      </c>
      <c r="GV158" s="2">
        <f t="shared" si="97"/>
        <v>0</v>
      </c>
      <c r="GW158" s="2">
        <v>1</v>
      </c>
      <c r="GX158" s="2">
        <f t="shared" si="98"/>
        <v>0</v>
      </c>
      <c r="GY158" s="2"/>
      <c r="GZ158" s="2"/>
      <c r="HA158" s="2">
        <v>0</v>
      </c>
      <c r="HB158" s="2">
        <v>0</v>
      </c>
      <c r="HC158" s="2">
        <f>GV158*GW158</f>
        <v>0</v>
      </c>
      <c r="HD158" s="2"/>
      <c r="HE158" s="2" t="s">
        <v>3</v>
      </c>
      <c r="HF158" s="2" t="s">
        <v>3</v>
      </c>
      <c r="HG158" s="2"/>
      <c r="HH158" s="2"/>
      <c r="HI158" s="2"/>
      <c r="HJ158" s="2"/>
      <c r="HK158" s="2"/>
      <c r="HL158" s="2"/>
      <c r="HM158" s="2" t="s">
        <v>3</v>
      </c>
      <c r="HN158" s="2" t="s">
        <v>3</v>
      </c>
      <c r="HO158" s="2" t="s">
        <v>3</v>
      </c>
      <c r="HP158" s="2" t="s">
        <v>3</v>
      </c>
      <c r="HQ158" s="2" t="s">
        <v>3</v>
      </c>
      <c r="HR158" s="2"/>
      <c r="HS158" s="2">
        <v>0</v>
      </c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>
        <v>0</v>
      </c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60" spans="1:255" x14ac:dyDescent="0.2">
      <c r="A160" s="3">
        <v>51</v>
      </c>
      <c r="B160" s="3">
        <f>B132</f>
        <v>1</v>
      </c>
      <c r="C160" s="3">
        <f>A132</f>
        <v>4</v>
      </c>
      <c r="D160" s="3">
        <f>ROW(A132)</f>
        <v>132</v>
      </c>
      <c r="E160" s="3"/>
      <c r="F160" s="3" t="str">
        <f>IF(F132&lt;&gt;"",F132,"")</f>
        <v>Новый раздел</v>
      </c>
      <c r="G160" s="3" t="str">
        <f>IF(G132&lt;&gt;"",G132,"")</f>
        <v>Работа 3</v>
      </c>
      <c r="H160" s="3">
        <v>0</v>
      </c>
      <c r="I160" s="3"/>
      <c r="J160" s="3"/>
      <c r="K160" s="3"/>
      <c r="L160" s="3"/>
      <c r="M160" s="3"/>
      <c r="N160" s="3"/>
      <c r="O160" s="3">
        <f t="shared" ref="O160:T160" si="102">ROUND(AB160,2)</f>
        <v>101246.16</v>
      </c>
      <c r="P160" s="3">
        <f t="shared" si="102"/>
        <v>35978.14</v>
      </c>
      <c r="Q160" s="3">
        <f t="shared" si="102"/>
        <v>726.13</v>
      </c>
      <c r="R160" s="3">
        <f t="shared" si="102"/>
        <v>442.89</v>
      </c>
      <c r="S160" s="3">
        <f t="shared" si="102"/>
        <v>64099</v>
      </c>
      <c r="T160" s="3">
        <f t="shared" si="102"/>
        <v>0</v>
      </c>
      <c r="U160" s="3">
        <f>AH160</f>
        <v>90.551603199999988</v>
      </c>
      <c r="V160" s="3">
        <f>AI160</f>
        <v>0.56481500000000007</v>
      </c>
      <c r="W160" s="3">
        <f>ROUND(AJ160,2)</f>
        <v>0</v>
      </c>
      <c r="X160" s="3">
        <f>ROUND(AK160,2)</f>
        <v>64799.199999999997</v>
      </c>
      <c r="Y160" s="3">
        <f>ROUND(AL160,2)</f>
        <v>33215.78</v>
      </c>
      <c r="Z160" s="3"/>
      <c r="AA160" s="3"/>
      <c r="AB160" s="3">
        <f>ROUND(SUMIF(AA136:AA158,"=80308166",O136:O158),2)</f>
        <v>101246.16</v>
      </c>
      <c r="AC160" s="3">
        <f>ROUND(SUMIF(AA136:AA158,"=80308166",P136:P158),2)</f>
        <v>35978.14</v>
      </c>
      <c r="AD160" s="3">
        <f>ROUND(SUMIF(AA136:AA158,"=80308166",Q136:Q158),2)</f>
        <v>726.13</v>
      </c>
      <c r="AE160" s="3">
        <f>ROUND(SUMIF(AA136:AA158,"=80308166",R136:R158),2)</f>
        <v>442.89</v>
      </c>
      <c r="AF160" s="3">
        <f>ROUND(SUMIF(AA136:AA158,"=80308166",S136:S158),2)</f>
        <v>64099</v>
      </c>
      <c r="AG160" s="3">
        <f>ROUND(SUMIF(AA136:AA158,"=80308166",T136:T158),2)</f>
        <v>0</v>
      </c>
      <c r="AH160" s="3">
        <f>SUMIF(AA136:AA158,"=80308166",U136:U158)</f>
        <v>90.551603199999988</v>
      </c>
      <c r="AI160" s="3">
        <f>SUMIF(AA136:AA158,"=80308166",V136:V158)</f>
        <v>0.56481500000000007</v>
      </c>
      <c r="AJ160" s="3">
        <f>ROUND(SUMIF(AA136:AA158,"=80308166",W136:W158),2)</f>
        <v>0</v>
      </c>
      <c r="AK160" s="3">
        <f>ROUND(SUMIF(AA136:AA158,"=80308166",X136:X158),2)</f>
        <v>64799.199999999997</v>
      </c>
      <c r="AL160" s="3">
        <f>ROUND(SUMIF(AA136:AA158,"=80308166",Y136:Y158),2)</f>
        <v>33215.78</v>
      </c>
      <c r="AM160" s="3"/>
      <c r="AN160" s="3"/>
      <c r="AO160" s="3">
        <f t="shared" ref="AO160:BD160" si="103">ROUND(BX160,2)</f>
        <v>0</v>
      </c>
      <c r="AP160" s="3">
        <f t="shared" si="103"/>
        <v>7490.76</v>
      </c>
      <c r="AQ160" s="3">
        <f t="shared" si="103"/>
        <v>0</v>
      </c>
      <c r="AR160" s="3">
        <f t="shared" si="103"/>
        <v>199261.14</v>
      </c>
      <c r="AS160" s="3">
        <f t="shared" si="103"/>
        <v>162694.38</v>
      </c>
      <c r="AT160" s="3">
        <f t="shared" si="103"/>
        <v>29076</v>
      </c>
      <c r="AU160" s="3">
        <f t="shared" si="103"/>
        <v>0</v>
      </c>
      <c r="AV160" s="3">
        <f t="shared" si="103"/>
        <v>35978.14</v>
      </c>
      <c r="AW160" s="3">
        <f t="shared" si="103"/>
        <v>28487.38</v>
      </c>
      <c r="AX160" s="3">
        <f t="shared" si="103"/>
        <v>0</v>
      </c>
      <c r="AY160" s="3">
        <f t="shared" si="103"/>
        <v>28487.38</v>
      </c>
      <c r="AZ160" s="3">
        <f t="shared" si="103"/>
        <v>7490.76</v>
      </c>
      <c r="BA160" s="3">
        <f t="shared" si="103"/>
        <v>0</v>
      </c>
      <c r="BB160" s="3">
        <f t="shared" si="103"/>
        <v>0</v>
      </c>
      <c r="BC160" s="3">
        <f t="shared" si="103"/>
        <v>0</v>
      </c>
      <c r="BD160" s="3">
        <f t="shared" si="103"/>
        <v>0</v>
      </c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>
        <f>ROUND(SUMIF(AA136:AA158,"=80308166",FQ136:FQ158),2)</f>
        <v>0</v>
      </c>
      <c r="BY160" s="3">
        <f>ROUND(SUMIF(AA136:AA158,"=80308166",FR136:FR158),2)</f>
        <v>7490.76</v>
      </c>
      <c r="BZ160" s="3">
        <f>ROUND(SUMIF(AA136:AA158,"=80308166",GL136:GL158),2)</f>
        <v>0</v>
      </c>
      <c r="CA160" s="3">
        <f>ROUND(SUMIF(AA136:AA158,"=80308166",GM136:GM158),2)</f>
        <v>199261.14</v>
      </c>
      <c r="CB160" s="3">
        <f>ROUND(SUMIF(AA136:AA158,"=80308166",GN136:GN158),2)</f>
        <v>162694.38</v>
      </c>
      <c r="CC160" s="3">
        <f>ROUND(SUMIF(AA136:AA158,"=80308166",GO136:GO158),2)</f>
        <v>29076</v>
      </c>
      <c r="CD160" s="3">
        <f>ROUND(SUMIF(AA136:AA158,"=80308166",GP136:GP158),2)</f>
        <v>0</v>
      </c>
      <c r="CE160" s="3">
        <f>AC160-BX160</f>
        <v>35978.14</v>
      </c>
      <c r="CF160" s="3">
        <f>AC160-BY160</f>
        <v>28487.379999999997</v>
      </c>
      <c r="CG160" s="3">
        <f>BX160-BZ160</f>
        <v>0</v>
      </c>
      <c r="CH160" s="3">
        <f>AC160-BX160-BY160+BZ160</f>
        <v>28487.379999999997</v>
      </c>
      <c r="CI160" s="3">
        <f>BY160-BZ160</f>
        <v>7490.76</v>
      </c>
      <c r="CJ160" s="3">
        <f>ROUND(SUMIF(AA136:AA158,"=80308166",GX136:GX158),2)</f>
        <v>0</v>
      </c>
      <c r="CK160" s="3">
        <f>ROUND(SUMIF(AA136:AA158,"=80308166",GY136:GY158),2)</f>
        <v>0</v>
      </c>
      <c r="CL160" s="3">
        <f>ROUND(SUMIF(AA136:AA158,"=80308166",GZ136:GZ158),2)</f>
        <v>0</v>
      </c>
      <c r="CM160" s="3">
        <f>ROUND(SUMIF(AA136:AA158,"=80308166",HD136:HD158),2)</f>
        <v>0</v>
      </c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>
        <v>0</v>
      </c>
    </row>
    <row r="162" spans="1:28" x14ac:dyDescent="0.2">
      <c r="A162" s="5">
        <v>50</v>
      </c>
      <c r="B162" s="5">
        <v>0</v>
      </c>
      <c r="C162" s="5">
        <v>0</v>
      </c>
      <c r="D162" s="5">
        <v>1</v>
      </c>
      <c r="E162" s="5">
        <v>201</v>
      </c>
      <c r="F162" s="5">
        <f>ROUND(Source!O160,O162)</f>
        <v>101246.16</v>
      </c>
      <c r="G162" s="5" t="s">
        <v>97</v>
      </c>
      <c r="H162" s="5" t="s">
        <v>98</v>
      </c>
      <c r="I162" s="5"/>
      <c r="J162" s="5"/>
      <c r="K162" s="5">
        <v>201</v>
      </c>
      <c r="L162" s="5">
        <v>1</v>
      </c>
      <c r="M162" s="5">
        <v>3</v>
      </c>
      <c r="N162" s="5" t="s">
        <v>3</v>
      </c>
      <c r="O162" s="5">
        <v>2</v>
      </c>
      <c r="P162" s="5"/>
      <c r="Q162" s="5"/>
      <c r="R162" s="5"/>
      <c r="S162" s="5"/>
      <c r="T162" s="5"/>
      <c r="U162" s="5"/>
      <c r="V162" s="5"/>
      <c r="W162" s="5">
        <v>93755.4</v>
      </c>
      <c r="X162" s="5">
        <v>1</v>
      </c>
      <c r="Y162" s="5">
        <v>93755.4</v>
      </c>
      <c r="Z162" s="5"/>
      <c r="AA162" s="5"/>
      <c r="AB162" s="5"/>
    </row>
    <row r="163" spans="1:28" x14ac:dyDescent="0.2">
      <c r="A163" s="5">
        <v>50</v>
      </c>
      <c r="B163" s="5">
        <v>0</v>
      </c>
      <c r="C163" s="5">
        <v>0</v>
      </c>
      <c r="D163" s="5">
        <v>1</v>
      </c>
      <c r="E163" s="5">
        <v>202</v>
      </c>
      <c r="F163" s="5">
        <f>ROUND(Source!P160,O163)</f>
        <v>35978.14</v>
      </c>
      <c r="G163" s="5" t="s">
        <v>99</v>
      </c>
      <c r="H163" s="5" t="s">
        <v>100</v>
      </c>
      <c r="I163" s="5"/>
      <c r="J163" s="5"/>
      <c r="K163" s="5">
        <v>202</v>
      </c>
      <c r="L163" s="5">
        <v>2</v>
      </c>
      <c r="M163" s="5">
        <v>3</v>
      </c>
      <c r="N163" s="5" t="s">
        <v>3</v>
      </c>
      <c r="O163" s="5">
        <v>2</v>
      </c>
      <c r="P163" s="5"/>
      <c r="Q163" s="5"/>
      <c r="R163" s="5"/>
      <c r="S163" s="5"/>
      <c r="T163" s="5"/>
      <c r="U163" s="5"/>
      <c r="V163" s="5"/>
      <c r="W163" s="5">
        <v>35978.14</v>
      </c>
      <c r="X163" s="5">
        <v>1</v>
      </c>
      <c r="Y163" s="5">
        <v>35978.14</v>
      </c>
      <c r="Z163" s="5"/>
      <c r="AA163" s="5"/>
      <c r="AB163" s="5"/>
    </row>
    <row r="164" spans="1:28" x14ac:dyDescent="0.2">
      <c r="A164" s="5">
        <v>50</v>
      </c>
      <c r="B164" s="5">
        <v>0</v>
      </c>
      <c r="C164" s="5">
        <v>0</v>
      </c>
      <c r="D164" s="5">
        <v>1</v>
      </c>
      <c r="E164" s="5">
        <v>222</v>
      </c>
      <c r="F164" s="5">
        <f>ROUND(Source!AO160,O164)</f>
        <v>0</v>
      </c>
      <c r="G164" s="5" t="s">
        <v>101</v>
      </c>
      <c r="H164" s="5" t="s">
        <v>102</v>
      </c>
      <c r="I164" s="5"/>
      <c r="J164" s="5"/>
      <c r="K164" s="5">
        <v>222</v>
      </c>
      <c r="L164" s="5">
        <v>3</v>
      </c>
      <c r="M164" s="5">
        <v>3</v>
      </c>
      <c r="N164" s="5" t="s">
        <v>3</v>
      </c>
      <c r="O164" s="5">
        <v>2</v>
      </c>
      <c r="P164" s="5"/>
      <c r="Q164" s="5"/>
      <c r="R164" s="5"/>
      <c r="S164" s="5"/>
      <c r="T164" s="5"/>
      <c r="U164" s="5"/>
      <c r="V164" s="5"/>
      <c r="W164" s="5">
        <v>0</v>
      </c>
      <c r="X164" s="5">
        <v>1</v>
      </c>
      <c r="Y164" s="5">
        <v>0</v>
      </c>
      <c r="Z164" s="5"/>
      <c r="AA164" s="5"/>
      <c r="AB164" s="5"/>
    </row>
    <row r="165" spans="1:28" x14ac:dyDescent="0.2">
      <c r="A165" s="5">
        <v>50</v>
      </c>
      <c r="B165" s="5">
        <v>0</v>
      </c>
      <c r="C165" s="5">
        <v>0</v>
      </c>
      <c r="D165" s="5">
        <v>1</v>
      </c>
      <c r="E165" s="5">
        <v>225</v>
      </c>
      <c r="F165" s="5">
        <f>ROUND(Source!AV160,O165)</f>
        <v>35978.14</v>
      </c>
      <c r="G165" s="5" t="s">
        <v>103</v>
      </c>
      <c r="H165" s="5" t="s">
        <v>104</v>
      </c>
      <c r="I165" s="5"/>
      <c r="J165" s="5"/>
      <c r="K165" s="5">
        <v>225</v>
      </c>
      <c r="L165" s="5">
        <v>4</v>
      </c>
      <c r="M165" s="5">
        <v>3</v>
      </c>
      <c r="N165" s="5" t="s">
        <v>3</v>
      </c>
      <c r="O165" s="5">
        <v>2</v>
      </c>
      <c r="P165" s="5"/>
      <c r="Q165" s="5"/>
      <c r="R165" s="5"/>
      <c r="S165" s="5"/>
      <c r="T165" s="5"/>
      <c r="U165" s="5"/>
      <c r="V165" s="5"/>
      <c r="W165" s="5">
        <v>35978.14</v>
      </c>
      <c r="X165" s="5">
        <v>1</v>
      </c>
      <c r="Y165" s="5">
        <v>35978.14</v>
      </c>
      <c r="Z165" s="5"/>
      <c r="AA165" s="5"/>
      <c r="AB165" s="5"/>
    </row>
    <row r="166" spans="1:28" x14ac:dyDescent="0.2">
      <c r="A166" s="5">
        <v>50</v>
      </c>
      <c r="B166" s="5">
        <v>0</v>
      </c>
      <c r="C166" s="5">
        <v>0</v>
      </c>
      <c r="D166" s="5">
        <v>1</v>
      </c>
      <c r="E166" s="5">
        <v>226</v>
      </c>
      <c r="F166" s="5">
        <f>ROUND(Source!AW160,O166)</f>
        <v>28487.38</v>
      </c>
      <c r="G166" s="5" t="s">
        <v>105</v>
      </c>
      <c r="H166" s="5" t="s">
        <v>106</v>
      </c>
      <c r="I166" s="5"/>
      <c r="J166" s="5"/>
      <c r="K166" s="5">
        <v>226</v>
      </c>
      <c r="L166" s="5">
        <v>5</v>
      </c>
      <c r="M166" s="5">
        <v>3</v>
      </c>
      <c r="N166" s="5" t="s">
        <v>3</v>
      </c>
      <c r="O166" s="5">
        <v>2</v>
      </c>
      <c r="P166" s="5"/>
      <c r="Q166" s="5"/>
      <c r="R166" s="5"/>
      <c r="S166" s="5"/>
      <c r="T166" s="5"/>
      <c r="U166" s="5"/>
      <c r="V166" s="5"/>
      <c r="W166" s="5">
        <v>28487.38</v>
      </c>
      <c r="X166" s="5">
        <v>1</v>
      </c>
      <c r="Y166" s="5">
        <v>28487.38</v>
      </c>
      <c r="Z166" s="5"/>
      <c r="AA166" s="5"/>
      <c r="AB166" s="5"/>
    </row>
    <row r="167" spans="1:28" x14ac:dyDescent="0.2">
      <c r="A167" s="5">
        <v>50</v>
      </c>
      <c r="B167" s="5">
        <v>0</v>
      </c>
      <c r="C167" s="5">
        <v>0</v>
      </c>
      <c r="D167" s="5">
        <v>1</v>
      </c>
      <c r="E167" s="5">
        <v>227</v>
      </c>
      <c r="F167" s="5">
        <f>ROUND(Source!AX160,O167)</f>
        <v>0</v>
      </c>
      <c r="G167" s="5" t="s">
        <v>107</v>
      </c>
      <c r="H167" s="5" t="s">
        <v>108</v>
      </c>
      <c r="I167" s="5"/>
      <c r="J167" s="5"/>
      <c r="K167" s="5">
        <v>227</v>
      </c>
      <c r="L167" s="5">
        <v>6</v>
      </c>
      <c r="M167" s="5">
        <v>3</v>
      </c>
      <c r="N167" s="5" t="s">
        <v>3</v>
      </c>
      <c r="O167" s="5">
        <v>2</v>
      </c>
      <c r="P167" s="5"/>
      <c r="Q167" s="5"/>
      <c r="R167" s="5"/>
      <c r="S167" s="5"/>
      <c r="T167" s="5"/>
      <c r="U167" s="5"/>
      <c r="V167" s="5"/>
      <c r="W167" s="5">
        <v>0</v>
      </c>
      <c r="X167" s="5">
        <v>1</v>
      </c>
      <c r="Y167" s="5">
        <v>0</v>
      </c>
      <c r="Z167" s="5"/>
      <c r="AA167" s="5"/>
      <c r="AB167" s="5"/>
    </row>
    <row r="168" spans="1:28" x14ac:dyDescent="0.2">
      <c r="A168" s="5">
        <v>50</v>
      </c>
      <c r="B168" s="5">
        <v>0</v>
      </c>
      <c r="C168" s="5">
        <v>0</v>
      </c>
      <c r="D168" s="5">
        <v>1</v>
      </c>
      <c r="E168" s="5">
        <v>228</v>
      </c>
      <c r="F168" s="5">
        <f>ROUND(Source!AY160,O168)</f>
        <v>28487.38</v>
      </c>
      <c r="G168" s="5" t="s">
        <v>109</v>
      </c>
      <c r="H168" s="5" t="s">
        <v>110</v>
      </c>
      <c r="I168" s="5"/>
      <c r="J168" s="5"/>
      <c r="K168" s="5">
        <v>228</v>
      </c>
      <c r="L168" s="5">
        <v>7</v>
      </c>
      <c r="M168" s="5">
        <v>3</v>
      </c>
      <c r="N168" s="5" t="s">
        <v>3</v>
      </c>
      <c r="O168" s="5">
        <v>2</v>
      </c>
      <c r="P168" s="5"/>
      <c r="Q168" s="5"/>
      <c r="R168" s="5"/>
      <c r="S168" s="5"/>
      <c r="T168" s="5"/>
      <c r="U168" s="5"/>
      <c r="V168" s="5"/>
      <c r="W168" s="5">
        <v>28487.38</v>
      </c>
      <c r="X168" s="5">
        <v>1</v>
      </c>
      <c r="Y168" s="5">
        <v>28487.38</v>
      </c>
      <c r="Z168" s="5"/>
      <c r="AA168" s="5"/>
      <c r="AB168" s="5"/>
    </row>
    <row r="169" spans="1:28" x14ac:dyDescent="0.2">
      <c r="A169" s="5">
        <v>50</v>
      </c>
      <c r="B169" s="5">
        <v>0</v>
      </c>
      <c r="C169" s="5">
        <v>0</v>
      </c>
      <c r="D169" s="5">
        <v>1</v>
      </c>
      <c r="E169" s="5">
        <v>216</v>
      </c>
      <c r="F169" s="5">
        <f>ROUND(Source!AP160,O169)</f>
        <v>7490.76</v>
      </c>
      <c r="G169" s="5" t="s">
        <v>111</v>
      </c>
      <c r="H169" s="5" t="s">
        <v>112</v>
      </c>
      <c r="I169" s="5"/>
      <c r="J169" s="5"/>
      <c r="K169" s="5">
        <v>216</v>
      </c>
      <c r="L169" s="5">
        <v>8</v>
      </c>
      <c r="M169" s="5">
        <v>3</v>
      </c>
      <c r="N169" s="5" t="s">
        <v>3</v>
      </c>
      <c r="O169" s="5">
        <v>2</v>
      </c>
      <c r="P169" s="5"/>
      <c r="Q169" s="5"/>
      <c r="R169" s="5"/>
      <c r="S169" s="5"/>
      <c r="T169" s="5"/>
      <c r="U169" s="5"/>
      <c r="V169" s="5"/>
      <c r="W169" s="5">
        <v>7490.76</v>
      </c>
      <c r="X169" s="5">
        <v>1</v>
      </c>
      <c r="Y169" s="5">
        <v>7490.76</v>
      </c>
      <c r="Z169" s="5"/>
      <c r="AA169" s="5"/>
      <c r="AB169" s="5"/>
    </row>
    <row r="170" spans="1:28" x14ac:dyDescent="0.2">
      <c r="A170" s="5">
        <v>50</v>
      </c>
      <c r="B170" s="5">
        <v>0</v>
      </c>
      <c r="C170" s="5">
        <v>0</v>
      </c>
      <c r="D170" s="5">
        <v>1</v>
      </c>
      <c r="E170" s="5">
        <v>223</v>
      </c>
      <c r="F170" s="5">
        <f>ROUND(Source!AQ160,O170)</f>
        <v>0</v>
      </c>
      <c r="G170" s="5" t="s">
        <v>113</v>
      </c>
      <c r="H170" s="5" t="s">
        <v>114</v>
      </c>
      <c r="I170" s="5"/>
      <c r="J170" s="5"/>
      <c r="K170" s="5">
        <v>223</v>
      </c>
      <c r="L170" s="5">
        <v>9</v>
      </c>
      <c r="M170" s="5">
        <v>3</v>
      </c>
      <c r="N170" s="5" t="s">
        <v>3</v>
      </c>
      <c r="O170" s="5">
        <v>2</v>
      </c>
      <c r="P170" s="5"/>
      <c r="Q170" s="5"/>
      <c r="R170" s="5"/>
      <c r="S170" s="5"/>
      <c r="T170" s="5"/>
      <c r="U170" s="5"/>
      <c r="V170" s="5"/>
      <c r="W170" s="5">
        <v>0</v>
      </c>
      <c r="X170" s="5">
        <v>1</v>
      </c>
      <c r="Y170" s="5">
        <v>0</v>
      </c>
      <c r="Z170" s="5"/>
      <c r="AA170" s="5"/>
      <c r="AB170" s="5"/>
    </row>
    <row r="171" spans="1:28" x14ac:dyDescent="0.2">
      <c r="A171" s="5">
        <v>50</v>
      </c>
      <c r="B171" s="5">
        <v>0</v>
      </c>
      <c r="C171" s="5">
        <v>0</v>
      </c>
      <c r="D171" s="5">
        <v>1</v>
      </c>
      <c r="E171" s="5">
        <v>229</v>
      </c>
      <c r="F171" s="5">
        <f>ROUND(Source!AZ160,O171)</f>
        <v>7490.76</v>
      </c>
      <c r="G171" s="5" t="s">
        <v>115</v>
      </c>
      <c r="H171" s="5" t="s">
        <v>116</v>
      </c>
      <c r="I171" s="5"/>
      <c r="J171" s="5"/>
      <c r="K171" s="5">
        <v>229</v>
      </c>
      <c r="L171" s="5">
        <v>10</v>
      </c>
      <c r="M171" s="5">
        <v>3</v>
      </c>
      <c r="N171" s="5" t="s">
        <v>3</v>
      </c>
      <c r="O171" s="5">
        <v>2</v>
      </c>
      <c r="P171" s="5"/>
      <c r="Q171" s="5"/>
      <c r="R171" s="5"/>
      <c r="S171" s="5"/>
      <c r="T171" s="5"/>
      <c r="U171" s="5"/>
      <c r="V171" s="5"/>
      <c r="W171" s="5">
        <v>7490.76</v>
      </c>
      <c r="X171" s="5">
        <v>1</v>
      </c>
      <c r="Y171" s="5">
        <v>7490.76</v>
      </c>
      <c r="Z171" s="5"/>
      <c r="AA171" s="5"/>
      <c r="AB171" s="5"/>
    </row>
    <row r="172" spans="1:28" x14ac:dyDescent="0.2">
      <c r="A172" s="5">
        <v>50</v>
      </c>
      <c r="B172" s="5">
        <v>0</v>
      </c>
      <c r="C172" s="5">
        <v>0</v>
      </c>
      <c r="D172" s="5">
        <v>1</v>
      </c>
      <c r="E172" s="5">
        <v>203</v>
      </c>
      <c r="F172" s="5">
        <f>ROUND(Source!Q160,O172)</f>
        <v>726.13</v>
      </c>
      <c r="G172" s="5" t="s">
        <v>117</v>
      </c>
      <c r="H172" s="5" t="s">
        <v>118</v>
      </c>
      <c r="I172" s="5"/>
      <c r="J172" s="5"/>
      <c r="K172" s="5">
        <v>203</v>
      </c>
      <c r="L172" s="5">
        <v>11</v>
      </c>
      <c r="M172" s="5">
        <v>3</v>
      </c>
      <c r="N172" s="5" t="s">
        <v>3</v>
      </c>
      <c r="O172" s="5">
        <v>2</v>
      </c>
      <c r="P172" s="5"/>
      <c r="Q172" s="5"/>
      <c r="R172" s="5"/>
      <c r="S172" s="5"/>
      <c r="T172" s="5"/>
      <c r="U172" s="5"/>
      <c r="V172" s="5"/>
      <c r="W172" s="5">
        <v>726.12999999999988</v>
      </c>
      <c r="X172" s="5">
        <v>1</v>
      </c>
      <c r="Y172" s="5">
        <v>726.12999999999988</v>
      </c>
      <c r="Z172" s="5"/>
      <c r="AA172" s="5"/>
      <c r="AB172" s="5"/>
    </row>
    <row r="173" spans="1:28" x14ac:dyDescent="0.2">
      <c r="A173" s="5">
        <v>50</v>
      </c>
      <c r="B173" s="5">
        <v>0</v>
      </c>
      <c r="C173" s="5">
        <v>0</v>
      </c>
      <c r="D173" s="5">
        <v>1</v>
      </c>
      <c r="E173" s="5">
        <v>231</v>
      </c>
      <c r="F173" s="5">
        <f>ROUND(Source!BB160,O173)</f>
        <v>0</v>
      </c>
      <c r="G173" s="5" t="s">
        <v>119</v>
      </c>
      <c r="H173" s="5" t="s">
        <v>120</v>
      </c>
      <c r="I173" s="5"/>
      <c r="J173" s="5"/>
      <c r="K173" s="5">
        <v>231</v>
      </c>
      <c r="L173" s="5">
        <v>12</v>
      </c>
      <c r="M173" s="5">
        <v>3</v>
      </c>
      <c r="N173" s="5" t="s">
        <v>3</v>
      </c>
      <c r="O173" s="5">
        <v>2</v>
      </c>
      <c r="P173" s="5"/>
      <c r="Q173" s="5"/>
      <c r="R173" s="5"/>
      <c r="S173" s="5"/>
      <c r="T173" s="5"/>
      <c r="U173" s="5"/>
      <c r="V173" s="5"/>
      <c r="W173" s="5">
        <v>0</v>
      </c>
      <c r="X173" s="5">
        <v>1</v>
      </c>
      <c r="Y173" s="5">
        <v>0</v>
      </c>
      <c r="Z173" s="5"/>
      <c r="AA173" s="5"/>
      <c r="AB173" s="5"/>
    </row>
    <row r="174" spans="1:28" x14ac:dyDescent="0.2">
      <c r="A174" s="5">
        <v>50</v>
      </c>
      <c r="B174" s="5">
        <v>0</v>
      </c>
      <c r="C174" s="5">
        <v>0</v>
      </c>
      <c r="D174" s="5">
        <v>1</v>
      </c>
      <c r="E174" s="5">
        <v>204</v>
      </c>
      <c r="F174" s="5">
        <f>ROUND(Source!R160,O174)</f>
        <v>442.89</v>
      </c>
      <c r="G174" s="5" t="s">
        <v>121</v>
      </c>
      <c r="H174" s="5" t="s">
        <v>122</v>
      </c>
      <c r="I174" s="5"/>
      <c r="J174" s="5"/>
      <c r="K174" s="5">
        <v>204</v>
      </c>
      <c r="L174" s="5">
        <v>13</v>
      </c>
      <c r="M174" s="5">
        <v>3</v>
      </c>
      <c r="N174" s="5" t="s">
        <v>3</v>
      </c>
      <c r="O174" s="5">
        <v>2</v>
      </c>
      <c r="P174" s="5"/>
      <c r="Q174" s="5"/>
      <c r="R174" s="5"/>
      <c r="S174" s="5"/>
      <c r="T174" s="5"/>
      <c r="U174" s="5"/>
      <c r="V174" s="5"/>
      <c r="W174" s="5">
        <v>442.89</v>
      </c>
      <c r="X174" s="5">
        <v>1</v>
      </c>
      <c r="Y174" s="5">
        <v>442.89</v>
      </c>
      <c r="Z174" s="5"/>
      <c r="AA174" s="5"/>
      <c r="AB174" s="5"/>
    </row>
    <row r="175" spans="1:28" x14ac:dyDescent="0.2">
      <c r="A175" s="5">
        <v>50</v>
      </c>
      <c r="B175" s="5">
        <v>0</v>
      </c>
      <c r="C175" s="5">
        <v>0</v>
      </c>
      <c r="D175" s="5">
        <v>1</v>
      </c>
      <c r="E175" s="5">
        <v>205</v>
      </c>
      <c r="F175" s="5">
        <f>ROUND(Source!S160,O175)</f>
        <v>64099</v>
      </c>
      <c r="G175" s="5" t="s">
        <v>123</v>
      </c>
      <c r="H175" s="5" t="s">
        <v>124</v>
      </c>
      <c r="I175" s="5"/>
      <c r="J175" s="5"/>
      <c r="K175" s="5">
        <v>205</v>
      </c>
      <c r="L175" s="5">
        <v>14</v>
      </c>
      <c r="M175" s="5">
        <v>3</v>
      </c>
      <c r="N175" s="5" t="s">
        <v>3</v>
      </c>
      <c r="O175" s="5">
        <v>2</v>
      </c>
      <c r="P175" s="5"/>
      <c r="Q175" s="5"/>
      <c r="R175" s="5"/>
      <c r="S175" s="5"/>
      <c r="T175" s="5"/>
      <c r="U175" s="5"/>
      <c r="V175" s="5"/>
      <c r="W175" s="5">
        <v>64099</v>
      </c>
      <c r="X175" s="5">
        <v>1</v>
      </c>
      <c r="Y175" s="5">
        <v>64099</v>
      </c>
      <c r="Z175" s="5"/>
      <c r="AA175" s="5"/>
      <c r="AB175" s="5"/>
    </row>
    <row r="176" spans="1:28" x14ac:dyDescent="0.2">
      <c r="A176" s="5">
        <v>50</v>
      </c>
      <c r="B176" s="5">
        <v>0</v>
      </c>
      <c r="C176" s="5">
        <v>0</v>
      </c>
      <c r="D176" s="5">
        <v>1</v>
      </c>
      <c r="E176" s="5">
        <v>232</v>
      </c>
      <c r="F176" s="5">
        <f>ROUND(Source!BC160,O176)</f>
        <v>0</v>
      </c>
      <c r="G176" s="5" t="s">
        <v>125</v>
      </c>
      <c r="H176" s="5" t="s">
        <v>126</v>
      </c>
      <c r="I176" s="5"/>
      <c r="J176" s="5"/>
      <c r="K176" s="5">
        <v>232</v>
      </c>
      <c r="L176" s="5">
        <v>15</v>
      </c>
      <c r="M176" s="5">
        <v>3</v>
      </c>
      <c r="N176" s="5" t="s">
        <v>3</v>
      </c>
      <c r="O176" s="5">
        <v>2</v>
      </c>
      <c r="P176" s="5"/>
      <c r="Q176" s="5"/>
      <c r="R176" s="5"/>
      <c r="S176" s="5"/>
      <c r="T176" s="5"/>
      <c r="U176" s="5"/>
      <c r="V176" s="5"/>
      <c r="W176" s="5">
        <v>0</v>
      </c>
      <c r="X176" s="5">
        <v>1</v>
      </c>
      <c r="Y176" s="5">
        <v>0</v>
      </c>
      <c r="Z176" s="5"/>
      <c r="AA176" s="5"/>
      <c r="AB176" s="5"/>
    </row>
    <row r="177" spans="1:206" x14ac:dyDescent="0.2">
      <c r="A177" s="5">
        <v>50</v>
      </c>
      <c r="B177" s="5">
        <v>0</v>
      </c>
      <c r="C177" s="5">
        <v>0</v>
      </c>
      <c r="D177" s="5">
        <v>1</v>
      </c>
      <c r="E177" s="5">
        <v>214</v>
      </c>
      <c r="F177" s="5">
        <f>ROUND(Source!AS160,O177)</f>
        <v>162694.38</v>
      </c>
      <c r="G177" s="5" t="s">
        <v>127</v>
      </c>
      <c r="H177" s="5" t="s">
        <v>128</v>
      </c>
      <c r="I177" s="5"/>
      <c r="J177" s="5"/>
      <c r="K177" s="5">
        <v>214</v>
      </c>
      <c r="L177" s="5">
        <v>16</v>
      </c>
      <c r="M177" s="5">
        <v>3</v>
      </c>
      <c r="N177" s="5" t="s">
        <v>3</v>
      </c>
      <c r="O177" s="5">
        <v>2</v>
      </c>
      <c r="P177" s="5"/>
      <c r="Q177" s="5"/>
      <c r="R177" s="5"/>
      <c r="S177" s="5"/>
      <c r="T177" s="5"/>
      <c r="U177" s="5"/>
      <c r="V177" s="5"/>
      <c r="W177" s="5">
        <v>162694.38</v>
      </c>
      <c r="X177" s="5">
        <v>1</v>
      </c>
      <c r="Y177" s="5">
        <v>162694.38</v>
      </c>
      <c r="Z177" s="5"/>
      <c r="AA177" s="5"/>
      <c r="AB177" s="5"/>
    </row>
    <row r="178" spans="1:206" x14ac:dyDescent="0.2">
      <c r="A178" s="5">
        <v>50</v>
      </c>
      <c r="B178" s="5">
        <v>0</v>
      </c>
      <c r="C178" s="5">
        <v>0</v>
      </c>
      <c r="D178" s="5">
        <v>1</v>
      </c>
      <c r="E178" s="5">
        <v>215</v>
      </c>
      <c r="F178" s="5">
        <f>ROUND(Source!AT160,O178)</f>
        <v>29076</v>
      </c>
      <c r="G178" s="5" t="s">
        <v>129</v>
      </c>
      <c r="H178" s="5" t="s">
        <v>130</v>
      </c>
      <c r="I178" s="5"/>
      <c r="J178" s="5"/>
      <c r="K178" s="5">
        <v>215</v>
      </c>
      <c r="L178" s="5">
        <v>17</v>
      </c>
      <c r="M178" s="5">
        <v>3</v>
      </c>
      <c r="N178" s="5" t="s">
        <v>3</v>
      </c>
      <c r="O178" s="5">
        <v>2</v>
      </c>
      <c r="P178" s="5"/>
      <c r="Q178" s="5"/>
      <c r="R178" s="5"/>
      <c r="S178" s="5"/>
      <c r="T178" s="5"/>
      <c r="U178" s="5"/>
      <c r="V178" s="5"/>
      <c r="W178" s="5">
        <v>29076</v>
      </c>
      <c r="X178" s="5">
        <v>1</v>
      </c>
      <c r="Y178" s="5">
        <v>29076</v>
      </c>
      <c r="Z178" s="5"/>
      <c r="AA178" s="5"/>
      <c r="AB178" s="5"/>
    </row>
    <row r="179" spans="1:206" x14ac:dyDescent="0.2">
      <c r="A179" s="5">
        <v>50</v>
      </c>
      <c r="B179" s="5">
        <v>0</v>
      </c>
      <c r="C179" s="5">
        <v>0</v>
      </c>
      <c r="D179" s="5">
        <v>1</v>
      </c>
      <c r="E179" s="5">
        <v>217</v>
      </c>
      <c r="F179" s="5">
        <f>ROUND(Source!AU160,O179)</f>
        <v>0</v>
      </c>
      <c r="G179" s="5" t="s">
        <v>131</v>
      </c>
      <c r="H179" s="5" t="s">
        <v>132</v>
      </c>
      <c r="I179" s="5"/>
      <c r="J179" s="5"/>
      <c r="K179" s="5">
        <v>217</v>
      </c>
      <c r="L179" s="5">
        <v>18</v>
      </c>
      <c r="M179" s="5">
        <v>3</v>
      </c>
      <c r="N179" s="5" t="s">
        <v>3</v>
      </c>
      <c r="O179" s="5">
        <v>2</v>
      </c>
      <c r="P179" s="5"/>
      <c r="Q179" s="5"/>
      <c r="R179" s="5"/>
      <c r="S179" s="5"/>
      <c r="T179" s="5"/>
      <c r="U179" s="5"/>
      <c r="V179" s="5"/>
      <c r="W179" s="5">
        <v>0</v>
      </c>
      <c r="X179" s="5">
        <v>1</v>
      </c>
      <c r="Y179" s="5">
        <v>0</v>
      </c>
      <c r="Z179" s="5"/>
      <c r="AA179" s="5"/>
      <c r="AB179" s="5"/>
    </row>
    <row r="180" spans="1:206" x14ac:dyDescent="0.2">
      <c r="A180" s="5">
        <v>50</v>
      </c>
      <c r="B180" s="5">
        <v>0</v>
      </c>
      <c r="C180" s="5">
        <v>0</v>
      </c>
      <c r="D180" s="5">
        <v>1</v>
      </c>
      <c r="E180" s="5">
        <v>230</v>
      </c>
      <c r="F180" s="5">
        <f>ROUND(Source!BA160,O180)</f>
        <v>0</v>
      </c>
      <c r="G180" s="5" t="s">
        <v>133</v>
      </c>
      <c r="H180" s="5" t="s">
        <v>134</v>
      </c>
      <c r="I180" s="5"/>
      <c r="J180" s="5"/>
      <c r="K180" s="5">
        <v>230</v>
      </c>
      <c r="L180" s="5">
        <v>19</v>
      </c>
      <c r="M180" s="5">
        <v>3</v>
      </c>
      <c r="N180" s="5" t="s">
        <v>3</v>
      </c>
      <c r="O180" s="5">
        <v>2</v>
      </c>
      <c r="P180" s="5"/>
      <c r="Q180" s="5"/>
      <c r="R180" s="5"/>
      <c r="S180" s="5"/>
      <c r="T180" s="5"/>
      <c r="U180" s="5"/>
      <c r="V180" s="5"/>
      <c r="W180" s="5">
        <v>0</v>
      </c>
      <c r="X180" s="5">
        <v>1</v>
      </c>
      <c r="Y180" s="5">
        <v>0</v>
      </c>
      <c r="Z180" s="5"/>
      <c r="AA180" s="5"/>
      <c r="AB180" s="5"/>
    </row>
    <row r="181" spans="1:206" x14ac:dyDescent="0.2">
      <c r="A181" s="5">
        <v>50</v>
      </c>
      <c r="B181" s="5">
        <v>0</v>
      </c>
      <c r="C181" s="5">
        <v>0</v>
      </c>
      <c r="D181" s="5">
        <v>1</v>
      </c>
      <c r="E181" s="5">
        <v>206</v>
      </c>
      <c r="F181" s="5">
        <f>ROUND(Source!T160,O181)</f>
        <v>0</v>
      </c>
      <c r="G181" s="5" t="s">
        <v>135</v>
      </c>
      <c r="H181" s="5" t="s">
        <v>136</v>
      </c>
      <c r="I181" s="5"/>
      <c r="J181" s="5"/>
      <c r="K181" s="5">
        <v>206</v>
      </c>
      <c r="L181" s="5">
        <v>20</v>
      </c>
      <c r="M181" s="5">
        <v>3</v>
      </c>
      <c r="N181" s="5" t="s">
        <v>3</v>
      </c>
      <c r="O181" s="5">
        <v>2</v>
      </c>
      <c r="P181" s="5"/>
      <c r="Q181" s="5"/>
      <c r="R181" s="5"/>
      <c r="S181" s="5"/>
      <c r="T181" s="5"/>
      <c r="U181" s="5"/>
      <c r="V181" s="5"/>
      <c r="W181" s="5">
        <v>0</v>
      </c>
      <c r="X181" s="5">
        <v>1</v>
      </c>
      <c r="Y181" s="5">
        <v>0</v>
      </c>
      <c r="Z181" s="5"/>
      <c r="AA181" s="5"/>
      <c r="AB181" s="5"/>
    </row>
    <row r="182" spans="1:206" x14ac:dyDescent="0.2">
      <c r="A182" s="5">
        <v>50</v>
      </c>
      <c r="B182" s="5">
        <v>0</v>
      </c>
      <c r="C182" s="5">
        <v>0</v>
      </c>
      <c r="D182" s="5">
        <v>1</v>
      </c>
      <c r="E182" s="5">
        <v>207</v>
      </c>
      <c r="F182" s="5">
        <f>ROUND(Source!U160,O182)</f>
        <v>90.551603200000002</v>
      </c>
      <c r="G182" s="5" t="s">
        <v>137</v>
      </c>
      <c r="H182" s="5" t="s">
        <v>138</v>
      </c>
      <c r="I182" s="5"/>
      <c r="J182" s="5"/>
      <c r="K182" s="5">
        <v>207</v>
      </c>
      <c r="L182" s="5">
        <v>21</v>
      </c>
      <c r="M182" s="5">
        <v>3</v>
      </c>
      <c r="N182" s="5" t="s">
        <v>3</v>
      </c>
      <c r="O182" s="5">
        <v>7</v>
      </c>
      <c r="P182" s="5"/>
      <c r="Q182" s="5"/>
      <c r="R182" s="5"/>
      <c r="S182" s="5"/>
      <c r="T182" s="5"/>
      <c r="U182" s="5"/>
      <c r="V182" s="5"/>
      <c r="W182" s="5">
        <v>90.551603200000002</v>
      </c>
      <c r="X182" s="5">
        <v>1</v>
      </c>
      <c r="Y182" s="5">
        <v>90.551603200000002</v>
      </c>
      <c r="Z182" s="5"/>
      <c r="AA182" s="5"/>
      <c r="AB182" s="5"/>
    </row>
    <row r="183" spans="1:206" x14ac:dyDescent="0.2">
      <c r="A183" s="5">
        <v>50</v>
      </c>
      <c r="B183" s="5">
        <v>0</v>
      </c>
      <c r="C183" s="5">
        <v>0</v>
      </c>
      <c r="D183" s="5">
        <v>1</v>
      </c>
      <c r="E183" s="5">
        <v>208</v>
      </c>
      <c r="F183" s="5">
        <f>ROUND(Source!V160,O183)</f>
        <v>0.56481499999999996</v>
      </c>
      <c r="G183" s="5" t="s">
        <v>139</v>
      </c>
      <c r="H183" s="5" t="s">
        <v>140</v>
      </c>
      <c r="I183" s="5"/>
      <c r="J183" s="5"/>
      <c r="K183" s="5">
        <v>208</v>
      </c>
      <c r="L183" s="5">
        <v>22</v>
      </c>
      <c r="M183" s="5">
        <v>3</v>
      </c>
      <c r="N183" s="5" t="s">
        <v>3</v>
      </c>
      <c r="O183" s="5">
        <v>7</v>
      </c>
      <c r="P183" s="5"/>
      <c r="Q183" s="5"/>
      <c r="R183" s="5"/>
      <c r="S183" s="5"/>
      <c r="T183" s="5"/>
      <c r="U183" s="5"/>
      <c r="V183" s="5"/>
      <c r="W183" s="5">
        <v>0.56481499999999996</v>
      </c>
      <c r="X183" s="5">
        <v>1</v>
      </c>
      <c r="Y183" s="5">
        <v>0.56481499999999996</v>
      </c>
      <c r="Z183" s="5"/>
      <c r="AA183" s="5"/>
      <c r="AB183" s="5"/>
    </row>
    <row r="184" spans="1:206" x14ac:dyDescent="0.2">
      <c r="A184" s="5">
        <v>50</v>
      </c>
      <c r="B184" s="5">
        <v>0</v>
      </c>
      <c r="C184" s="5">
        <v>0</v>
      </c>
      <c r="D184" s="5">
        <v>1</v>
      </c>
      <c r="E184" s="5">
        <v>209</v>
      </c>
      <c r="F184" s="5">
        <f>ROUND(Source!W160,O184)</f>
        <v>0</v>
      </c>
      <c r="G184" s="5" t="s">
        <v>141</v>
      </c>
      <c r="H184" s="5" t="s">
        <v>142</v>
      </c>
      <c r="I184" s="5"/>
      <c r="J184" s="5"/>
      <c r="K184" s="5">
        <v>209</v>
      </c>
      <c r="L184" s="5">
        <v>23</v>
      </c>
      <c r="M184" s="5">
        <v>3</v>
      </c>
      <c r="N184" s="5" t="s">
        <v>3</v>
      </c>
      <c r="O184" s="5">
        <v>2</v>
      </c>
      <c r="P184" s="5"/>
      <c r="Q184" s="5"/>
      <c r="R184" s="5"/>
      <c r="S184" s="5"/>
      <c r="T184" s="5"/>
      <c r="U184" s="5"/>
      <c r="V184" s="5"/>
      <c r="W184" s="5">
        <v>0</v>
      </c>
      <c r="X184" s="5">
        <v>1</v>
      </c>
      <c r="Y184" s="5">
        <v>0</v>
      </c>
      <c r="Z184" s="5"/>
      <c r="AA184" s="5"/>
      <c r="AB184" s="5"/>
    </row>
    <row r="185" spans="1:206" x14ac:dyDescent="0.2">
      <c r="A185" s="5">
        <v>50</v>
      </c>
      <c r="B185" s="5">
        <v>0</v>
      </c>
      <c r="C185" s="5">
        <v>0</v>
      </c>
      <c r="D185" s="5">
        <v>1</v>
      </c>
      <c r="E185" s="5">
        <v>233</v>
      </c>
      <c r="F185" s="5">
        <f>ROUND(Source!BD160,O185)</f>
        <v>0</v>
      </c>
      <c r="G185" s="5" t="s">
        <v>143</v>
      </c>
      <c r="H185" s="5" t="s">
        <v>144</v>
      </c>
      <c r="I185" s="5"/>
      <c r="J185" s="5"/>
      <c r="K185" s="5">
        <v>233</v>
      </c>
      <c r="L185" s="5">
        <v>24</v>
      </c>
      <c r="M185" s="5">
        <v>3</v>
      </c>
      <c r="N185" s="5" t="s">
        <v>3</v>
      </c>
      <c r="O185" s="5">
        <v>2</v>
      </c>
      <c r="P185" s="5"/>
      <c r="Q185" s="5"/>
      <c r="R185" s="5"/>
      <c r="S185" s="5"/>
      <c r="T185" s="5"/>
      <c r="U185" s="5"/>
      <c r="V185" s="5"/>
      <c r="W185" s="5">
        <v>0</v>
      </c>
      <c r="X185" s="5">
        <v>1</v>
      </c>
      <c r="Y185" s="5">
        <v>0</v>
      </c>
      <c r="Z185" s="5"/>
      <c r="AA185" s="5"/>
      <c r="AB185" s="5"/>
    </row>
    <row r="186" spans="1:206" x14ac:dyDescent="0.2">
      <c r="A186" s="5">
        <v>50</v>
      </c>
      <c r="B186" s="5">
        <v>0</v>
      </c>
      <c r="C186" s="5">
        <v>0</v>
      </c>
      <c r="D186" s="5">
        <v>1</v>
      </c>
      <c r="E186" s="5">
        <v>210</v>
      </c>
      <c r="F186" s="5">
        <f>ROUND(Source!X160,O186)</f>
        <v>64799.199999999997</v>
      </c>
      <c r="G186" s="5" t="s">
        <v>145</v>
      </c>
      <c r="H186" s="5" t="s">
        <v>146</v>
      </c>
      <c r="I186" s="5"/>
      <c r="J186" s="5"/>
      <c r="K186" s="5">
        <v>210</v>
      </c>
      <c r="L186" s="5">
        <v>25</v>
      </c>
      <c r="M186" s="5">
        <v>3</v>
      </c>
      <c r="N186" s="5" t="s">
        <v>3</v>
      </c>
      <c r="O186" s="5">
        <v>2</v>
      </c>
      <c r="P186" s="5"/>
      <c r="Q186" s="5"/>
      <c r="R186" s="5"/>
      <c r="S186" s="5"/>
      <c r="T186" s="5"/>
      <c r="U186" s="5"/>
      <c r="V186" s="5"/>
      <c r="W186" s="5">
        <v>64799.199999999997</v>
      </c>
      <c r="X186" s="5">
        <v>1</v>
      </c>
      <c r="Y186" s="5">
        <v>64799.199999999997</v>
      </c>
      <c r="Z186" s="5"/>
      <c r="AA186" s="5"/>
      <c r="AB186" s="5"/>
    </row>
    <row r="187" spans="1:206" x14ac:dyDescent="0.2">
      <c r="A187" s="5">
        <v>50</v>
      </c>
      <c r="B187" s="5">
        <v>0</v>
      </c>
      <c r="C187" s="5">
        <v>0</v>
      </c>
      <c r="D187" s="5">
        <v>1</v>
      </c>
      <c r="E187" s="5">
        <v>211</v>
      </c>
      <c r="F187" s="5">
        <f>ROUND(Source!Y160,O187)</f>
        <v>33215.78</v>
      </c>
      <c r="G187" s="5" t="s">
        <v>147</v>
      </c>
      <c r="H187" s="5" t="s">
        <v>148</v>
      </c>
      <c r="I187" s="5"/>
      <c r="J187" s="5"/>
      <c r="K187" s="5">
        <v>211</v>
      </c>
      <c r="L187" s="5">
        <v>26</v>
      </c>
      <c r="M187" s="5">
        <v>3</v>
      </c>
      <c r="N187" s="5" t="s">
        <v>3</v>
      </c>
      <c r="O187" s="5">
        <v>2</v>
      </c>
      <c r="P187" s="5"/>
      <c r="Q187" s="5"/>
      <c r="R187" s="5"/>
      <c r="S187" s="5"/>
      <c r="T187" s="5"/>
      <c r="U187" s="5"/>
      <c r="V187" s="5"/>
      <c r="W187" s="5">
        <v>33215.78</v>
      </c>
      <c r="X187" s="5">
        <v>1</v>
      </c>
      <c r="Y187" s="5">
        <v>33215.78</v>
      </c>
      <c r="Z187" s="5"/>
      <c r="AA187" s="5"/>
      <c r="AB187" s="5"/>
    </row>
    <row r="188" spans="1:206" x14ac:dyDescent="0.2">
      <c r="A188" s="5">
        <v>50</v>
      </c>
      <c r="B188" s="5">
        <v>0</v>
      </c>
      <c r="C188" s="5">
        <v>0</v>
      </c>
      <c r="D188" s="5">
        <v>1</v>
      </c>
      <c r="E188" s="5">
        <v>224</v>
      </c>
      <c r="F188" s="5">
        <f>ROUND(Source!AR160,O188)</f>
        <v>199261.14</v>
      </c>
      <c r="G188" s="5" t="s">
        <v>149</v>
      </c>
      <c r="H188" s="5" t="s">
        <v>150</v>
      </c>
      <c r="I188" s="5"/>
      <c r="J188" s="5"/>
      <c r="K188" s="5">
        <v>224</v>
      </c>
      <c r="L188" s="5">
        <v>27</v>
      </c>
      <c r="M188" s="5">
        <v>3</v>
      </c>
      <c r="N188" s="5" t="s">
        <v>3</v>
      </c>
      <c r="O188" s="5">
        <v>2</v>
      </c>
      <c r="P188" s="5"/>
      <c r="Q188" s="5"/>
      <c r="R188" s="5"/>
      <c r="S188" s="5"/>
      <c r="T188" s="5"/>
      <c r="U188" s="5"/>
      <c r="V188" s="5"/>
      <c r="W188" s="5">
        <v>199261.14</v>
      </c>
      <c r="X188" s="5">
        <v>1</v>
      </c>
      <c r="Y188" s="5">
        <v>199261.14</v>
      </c>
      <c r="Z188" s="5"/>
      <c r="AA188" s="5"/>
      <c r="AB188" s="5"/>
    </row>
    <row r="190" spans="1:206" x14ac:dyDescent="0.2">
      <c r="A190" s="1">
        <v>4</v>
      </c>
      <c r="B190" s="1">
        <v>1</v>
      </c>
      <c r="C190" s="1"/>
      <c r="D190" s="1">
        <f>ROW(A198)</f>
        <v>198</v>
      </c>
      <c r="E190" s="1"/>
      <c r="F190" s="1" t="s">
        <v>14</v>
      </c>
      <c r="G190" s="1" t="s">
        <v>339</v>
      </c>
      <c r="H190" s="1" t="s">
        <v>3</v>
      </c>
      <c r="I190" s="1">
        <v>0</v>
      </c>
      <c r="J190" s="1"/>
      <c r="K190" s="1">
        <v>0</v>
      </c>
      <c r="L190" s="1"/>
      <c r="M190" s="1" t="s">
        <v>3</v>
      </c>
      <c r="N190" s="1"/>
      <c r="O190" s="1"/>
      <c r="P190" s="1"/>
      <c r="Q190" s="1"/>
      <c r="R190" s="1"/>
      <c r="S190" s="1">
        <v>0</v>
      </c>
      <c r="T190" s="1"/>
      <c r="U190" s="1" t="s">
        <v>3</v>
      </c>
      <c r="V190" s="1">
        <v>0</v>
      </c>
      <c r="W190" s="1"/>
      <c r="X190" s="1"/>
      <c r="Y190" s="1"/>
      <c r="Z190" s="1"/>
      <c r="AA190" s="1"/>
      <c r="AB190" s="1" t="s">
        <v>3</v>
      </c>
      <c r="AC190" s="1" t="s">
        <v>3</v>
      </c>
      <c r="AD190" s="1" t="s">
        <v>3</v>
      </c>
      <c r="AE190" s="1" t="s">
        <v>3</v>
      </c>
      <c r="AF190" s="1" t="s">
        <v>3</v>
      </c>
      <c r="AG190" s="1" t="s">
        <v>3</v>
      </c>
      <c r="AH190" s="1"/>
      <c r="AI190" s="1"/>
      <c r="AJ190" s="1"/>
      <c r="AK190" s="1"/>
      <c r="AL190" s="1"/>
      <c r="AM190" s="1"/>
      <c r="AN190" s="1"/>
      <c r="AO190" s="1"/>
      <c r="AP190" s="1" t="s">
        <v>3</v>
      </c>
      <c r="AQ190" s="1" t="s">
        <v>3</v>
      </c>
      <c r="AR190" s="1" t="s">
        <v>3</v>
      </c>
      <c r="AS190" s="1"/>
      <c r="AT190" s="1"/>
      <c r="AU190" s="1"/>
      <c r="AV190" s="1"/>
      <c r="AW190" s="1"/>
      <c r="AX190" s="1"/>
      <c r="AY190" s="1"/>
      <c r="AZ190" s="1" t="s">
        <v>3</v>
      </c>
      <c r="BA190" s="1"/>
      <c r="BB190" s="1" t="s">
        <v>3</v>
      </c>
      <c r="BC190" s="1" t="s">
        <v>3</v>
      </c>
      <c r="BD190" s="1" t="s">
        <v>3</v>
      </c>
      <c r="BE190" s="1" t="s">
        <v>3</v>
      </c>
      <c r="BF190" s="1" t="s">
        <v>3</v>
      </c>
      <c r="BG190" s="1" t="s">
        <v>3</v>
      </c>
      <c r="BH190" s="1" t="s">
        <v>3</v>
      </c>
      <c r="BI190" s="1" t="s">
        <v>3</v>
      </c>
      <c r="BJ190" s="1" t="s">
        <v>3</v>
      </c>
      <c r="BK190" s="1" t="s">
        <v>3</v>
      </c>
      <c r="BL190" s="1" t="s">
        <v>3</v>
      </c>
      <c r="BM190" s="1" t="s">
        <v>3</v>
      </c>
      <c r="BN190" s="1" t="s">
        <v>3</v>
      </c>
      <c r="BO190" s="1" t="s">
        <v>3</v>
      </c>
      <c r="BP190" s="1" t="s">
        <v>3</v>
      </c>
      <c r="BQ190" s="1"/>
      <c r="BR190" s="1"/>
      <c r="BS190" s="1"/>
      <c r="BT190" s="1"/>
      <c r="BU190" s="1"/>
      <c r="BV190" s="1"/>
      <c r="BW190" s="1"/>
      <c r="BX190" s="1">
        <v>0</v>
      </c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>
        <v>0</v>
      </c>
    </row>
    <row r="192" spans="1:206" x14ac:dyDescent="0.2">
      <c r="A192" s="3">
        <v>52</v>
      </c>
      <c r="B192" s="3">
        <f t="shared" ref="B192:G192" si="104">B198</f>
        <v>1</v>
      </c>
      <c r="C192" s="3">
        <f t="shared" si="104"/>
        <v>4</v>
      </c>
      <c r="D192" s="3">
        <f t="shared" si="104"/>
        <v>190</v>
      </c>
      <c r="E192" s="3">
        <f t="shared" si="104"/>
        <v>0</v>
      </c>
      <c r="F192" s="3" t="str">
        <f t="shared" si="104"/>
        <v>Новый раздел</v>
      </c>
      <c r="G192" s="3" t="str">
        <f t="shared" si="104"/>
        <v>Работа 4</v>
      </c>
      <c r="H192" s="3"/>
      <c r="I192" s="3"/>
      <c r="J192" s="3"/>
      <c r="K192" s="3"/>
      <c r="L192" s="3"/>
      <c r="M192" s="3"/>
      <c r="N192" s="3"/>
      <c r="O192" s="3">
        <f t="shared" ref="O192:AT192" si="105">O198</f>
        <v>347.54</v>
      </c>
      <c r="P192" s="3">
        <f t="shared" si="105"/>
        <v>175.04</v>
      </c>
      <c r="Q192" s="3">
        <f t="shared" si="105"/>
        <v>0</v>
      </c>
      <c r="R192" s="3">
        <f t="shared" si="105"/>
        <v>0</v>
      </c>
      <c r="S192" s="3">
        <f t="shared" si="105"/>
        <v>172.5</v>
      </c>
      <c r="T192" s="3">
        <f t="shared" si="105"/>
        <v>0</v>
      </c>
      <c r="U192" s="3">
        <f t="shared" si="105"/>
        <v>0.32012400000000002</v>
      </c>
      <c r="V192" s="3">
        <f t="shared" si="105"/>
        <v>0</v>
      </c>
      <c r="W192" s="3">
        <f t="shared" si="105"/>
        <v>0</v>
      </c>
      <c r="X192" s="3">
        <f t="shared" si="105"/>
        <v>158.69999999999999</v>
      </c>
      <c r="Y192" s="3">
        <f t="shared" si="105"/>
        <v>75.900000000000006</v>
      </c>
      <c r="Z192" s="3">
        <f t="shared" si="105"/>
        <v>0</v>
      </c>
      <c r="AA192" s="3">
        <f t="shared" si="105"/>
        <v>0</v>
      </c>
      <c r="AB192" s="3">
        <f t="shared" si="105"/>
        <v>347.54</v>
      </c>
      <c r="AC192" s="3">
        <f t="shared" si="105"/>
        <v>175.04</v>
      </c>
      <c r="AD192" s="3">
        <f t="shared" si="105"/>
        <v>0</v>
      </c>
      <c r="AE192" s="3">
        <f t="shared" si="105"/>
        <v>0</v>
      </c>
      <c r="AF192" s="3">
        <f t="shared" si="105"/>
        <v>172.5</v>
      </c>
      <c r="AG192" s="3">
        <f t="shared" si="105"/>
        <v>0</v>
      </c>
      <c r="AH192" s="3">
        <f t="shared" si="105"/>
        <v>0.32012400000000002</v>
      </c>
      <c r="AI192" s="3">
        <f t="shared" si="105"/>
        <v>0</v>
      </c>
      <c r="AJ192" s="3">
        <f t="shared" si="105"/>
        <v>0</v>
      </c>
      <c r="AK192" s="3">
        <f t="shared" si="105"/>
        <v>158.69999999999999</v>
      </c>
      <c r="AL192" s="3">
        <f t="shared" si="105"/>
        <v>75.900000000000006</v>
      </c>
      <c r="AM192" s="3">
        <f t="shared" si="105"/>
        <v>0</v>
      </c>
      <c r="AN192" s="3">
        <f t="shared" si="105"/>
        <v>0</v>
      </c>
      <c r="AO192" s="3">
        <f t="shared" si="105"/>
        <v>0</v>
      </c>
      <c r="AP192" s="3">
        <f t="shared" si="105"/>
        <v>0</v>
      </c>
      <c r="AQ192" s="3">
        <f t="shared" si="105"/>
        <v>0</v>
      </c>
      <c r="AR192" s="3">
        <f t="shared" si="105"/>
        <v>1212.5999999999999</v>
      </c>
      <c r="AS192" s="3">
        <f t="shared" si="105"/>
        <v>1212.5999999999999</v>
      </c>
      <c r="AT192" s="3">
        <f t="shared" si="105"/>
        <v>0</v>
      </c>
      <c r="AU192" s="3">
        <f t="shared" ref="AU192:BZ192" si="106">AU198</f>
        <v>0</v>
      </c>
      <c r="AV192" s="3">
        <f t="shared" si="106"/>
        <v>175.04</v>
      </c>
      <c r="AW192" s="3">
        <f t="shared" si="106"/>
        <v>175.04</v>
      </c>
      <c r="AX192" s="3">
        <f t="shared" si="106"/>
        <v>0</v>
      </c>
      <c r="AY192" s="3">
        <f t="shared" si="106"/>
        <v>175.04</v>
      </c>
      <c r="AZ192" s="3">
        <f t="shared" si="106"/>
        <v>0</v>
      </c>
      <c r="BA192" s="3">
        <f t="shared" si="106"/>
        <v>0</v>
      </c>
      <c r="BB192" s="3">
        <f t="shared" si="106"/>
        <v>0</v>
      </c>
      <c r="BC192" s="3">
        <f t="shared" si="106"/>
        <v>0</v>
      </c>
      <c r="BD192" s="3">
        <f t="shared" si="106"/>
        <v>630.46</v>
      </c>
      <c r="BE192" s="3">
        <f t="shared" si="106"/>
        <v>0</v>
      </c>
      <c r="BF192" s="3">
        <f t="shared" si="106"/>
        <v>0</v>
      </c>
      <c r="BG192" s="3">
        <f t="shared" si="106"/>
        <v>0</v>
      </c>
      <c r="BH192" s="3">
        <f t="shared" si="106"/>
        <v>0</v>
      </c>
      <c r="BI192" s="3">
        <f t="shared" si="106"/>
        <v>0</v>
      </c>
      <c r="BJ192" s="3">
        <f t="shared" si="106"/>
        <v>0</v>
      </c>
      <c r="BK192" s="3">
        <f t="shared" si="106"/>
        <v>0</v>
      </c>
      <c r="BL192" s="3">
        <f t="shared" si="106"/>
        <v>0</v>
      </c>
      <c r="BM192" s="3">
        <f t="shared" si="106"/>
        <v>0</v>
      </c>
      <c r="BN192" s="3">
        <f t="shared" si="106"/>
        <v>0</v>
      </c>
      <c r="BO192" s="3">
        <f t="shared" si="106"/>
        <v>0</v>
      </c>
      <c r="BP192" s="3">
        <f t="shared" si="106"/>
        <v>0</v>
      </c>
      <c r="BQ192" s="3">
        <f t="shared" si="106"/>
        <v>0</v>
      </c>
      <c r="BR192" s="3">
        <f t="shared" si="106"/>
        <v>0</v>
      </c>
      <c r="BS192" s="3">
        <f t="shared" si="106"/>
        <v>0</v>
      </c>
      <c r="BT192" s="3">
        <f t="shared" si="106"/>
        <v>0</v>
      </c>
      <c r="BU192" s="3">
        <f t="shared" si="106"/>
        <v>0</v>
      </c>
      <c r="BV192" s="3">
        <f t="shared" si="106"/>
        <v>0</v>
      </c>
      <c r="BW192" s="3">
        <f t="shared" si="106"/>
        <v>0</v>
      </c>
      <c r="BX192" s="3">
        <f t="shared" si="106"/>
        <v>0</v>
      </c>
      <c r="BY192" s="3">
        <f t="shared" si="106"/>
        <v>0</v>
      </c>
      <c r="BZ192" s="3">
        <f t="shared" si="106"/>
        <v>0</v>
      </c>
      <c r="CA192" s="3">
        <f t="shared" ref="CA192:DF192" si="107">CA198</f>
        <v>1212.5999999999999</v>
      </c>
      <c r="CB192" s="3">
        <f t="shared" si="107"/>
        <v>1212.5999999999999</v>
      </c>
      <c r="CC192" s="3">
        <f t="shared" si="107"/>
        <v>0</v>
      </c>
      <c r="CD192" s="3">
        <f t="shared" si="107"/>
        <v>0</v>
      </c>
      <c r="CE192" s="3">
        <f t="shared" si="107"/>
        <v>175.04</v>
      </c>
      <c r="CF192" s="3">
        <f t="shared" si="107"/>
        <v>175.04</v>
      </c>
      <c r="CG192" s="3">
        <f t="shared" si="107"/>
        <v>0</v>
      </c>
      <c r="CH192" s="3">
        <f t="shared" si="107"/>
        <v>175.04</v>
      </c>
      <c r="CI192" s="3">
        <f t="shared" si="107"/>
        <v>0</v>
      </c>
      <c r="CJ192" s="3">
        <f t="shared" si="107"/>
        <v>0</v>
      </c>
      <c r="CK192" s="3">
        <f t="shared" si="107"/>
        <v>0</v>
      </c>
      <c r="CL192" s="3">
        <f t="shared" si="107"/>
        <v>0</v>
      </c>
      <c r="CM192" s="3">
        <f t="shared" si="107"/>
        <v>630.46</v>
      </c>
      <c r="CN192" s="3">
        <f t="shared" si="107"/>
        <v>0</v>
      </c>
      <c r="CO192" s="3">
        <f t="shared" si="107"/>
        <v>0</v>
      </c>
      <c r="CP192" s="3">
        <f t="shared" si="107"/>
        <v>0</v>
      </c>
      <c r="CQ192" s="3">
        <f t="shared" si="107"/>
        <v>0</v>
      </c>
      <c r="CR192" s="3">
        <f t="shared" si="107"/>
        <v>0</v>
      </c>
      <c r="CS192" s="3">
        <f t="shared" si="107"/>
        <v>0</v>
      </c>
      <c r="CT192" s="3">
        <f t="shared" si="107"/>
        <v>0</v>
      </c>
      <c r="CU192" s="3">
        <f t="shared" si="107"/>
        <v>0</v>
      </c>
      <c r="CV192" s="3">
        <f t="shared" si="107"/>
        <v>0</v>
      </c>
      <c r="CW192" s="3">
        <f t="shared" si="107"/>
        <v>0</v>
      </c>
      <c r="CX192" s="3">
        <f t="shared" si="107"/>
        <v>0</v>
      </c>
      <c r="CY192" s="3">
        <f t="shared" si="107"/>
        <v>0</v>
      </c>
      <c r="CZ192" s="3">
        <f t="shared" si="107"/>
        <v>0</v>
      </c>
      <c r="DA192" s="3">
        <f t="shared" si="107"/>
        <v>0</v>
      </c>
      <c r="DB192" s="3">
        <f t="shared" si="107"/>
        <v>0</v>
      </c>
      <c r="DC192" s="3">
        <f t="shared" si="107"/>
        <v>0</v>
      </c>
      <c r="DD192" s="3">
        <f t="shared" si="107"/>
        <v>0</v>
      </c>
      <c r="DE192" s="3">
        <f t="shared" si="107"/>
        <v>0</v>
      </c>
      <c r="DF192" s="3">
        <f t="shared" si="107"/>
        <v>0</v>
      </c>
      <c r="DG192" s="4">
        <f t="shared" ref="DG192:EL192" si="108">DG198</f>
        <v>0</v>
      </c>
      <c r="DH192" s="4">
        <f t="shared" si="108"/>
        <v>0</v>
      </c>
      <c r="DI192" s="4">
        <f t="shared" si="108"/>
        <v>0</v>
      </c>
      <c r="DJ192" s="4">
        <f t="shared" si="108"/>
        <v>0</v>
      </c>
      <c r="DK192" s="4">
        <f t="shared" si="108"/>
        <v>0</v>
      </c>
      <c r="DL192" s="4">
        <f t="shared" si="108"/>
        <v>0</v>
      </c>
      <c r="DM192" s="4">
        <f t="shared" si="108"/>
        <v>0</v>
      </c>
      <c r="DN192" s="4">
        <f t="shared" si="108"/>
        <v>0</v>
      </c>
      <c r="DO192" s="4">
        <f t="shared" si="108"/>
        <v>0</v>
      </c>
      <c r="DP192" s="4">
        <f t="shared" si="108"/>
        <v>0</v>
      </c>
      <c r="DQ192" s="4">
        <f t="shared" si="108"/>
        <v>0</v>
      </c>
      <c r="DR192" s="4">
        <f t="shared" si="108"/>
        <v>0</v>
      </c>
      <c r="DS192" s="4">
        <f t="shared" si="108"/>
        <v>0</v>
      </c>
      <c r="DT192" s="4">
        <f t="shared" si="108"/>
        <v>0</v>
      </c>
      <c r="DU192" s="4">
        <f t="shared" si="108"/>
        <v>0</v>
      </c>
      <c r="DV192" s="4">
        <f t="shared" si="108"/>
        <v>0</v>
      </c>
      <c r="DW192" s="4">
        <f t="shared" si="108"/>
        <v>0</v>
      </c>
      <c r="DX192" s="4">
        <f t="shared" si="108"/>
        <v>0</v>
      </c>
      <c r="DY192" s="4">
        <f t="shared" si="108"/>
        <v>0</v>
      </c>
      <c r="DZ192" s="4">
        <f t="shared" si="108"/>
        <v>0</v>
      </c>
      <c r="EA192" s="4">
        <f t="shared" si="108"/>
        <v>0</v>
      </c>
      <c r="EB192" s="4">
        <f t="shared" si="108"/>
        <v>0</v>
      </c>
      <c r="EC192" s="4">
        <f t="shared" si="108"/>
        <v>0</v>
      </c>
      <c r="ED192" s="4">
        <f t="shared" si="108"/>
        <v>0</v>
      </c>
      <c r="EE192" s="4">
        <f t="shared" si="108"/>
        <v>0</v>
      </c>
      <c r="EF192" s="4">
        <f t="shared" si="108"/>
        <v>0</v>
      </c>
      <c r="EG192" s="4">
        <f t="shared" si="108"/>
        <v>0</v>
      </c>
      <c r="EH192" s="4">
        <f t="shared" si="108"/>
        <v>0</v>
      </c>
      <c r="EI192" s="4">
        <f t="shared" si="108"/>
        <v>0</v>
      </c>
      <c r="EJ192" s="4">
        <f t="shared" si="108"/>
        <v>0</v>
      </c>
      <c r="EK192" s="4">
        <f t="shared" si="108"/>
        <v>0</v>
      </c>
      <c r="EL192" s="4">
        <f t="shared" si="108"/>
        <v>0</v>
      </c>
      <c r="EM192" s="4">
        <f t="shared" ref="EM192:FR192" si="109">EM198</f>
        <v>0</v>
      </c>
      <c r="EN192" s="4">
        <f t="shared" si="109"/>
        <v>0</v>
      </c>
      <c r="EO192" s="4">
        <f t="shared" si="109"/>
        <v>0</v>
      </c>
      <c r="EP192" s="4">
        <f t="shared" si="109"/>
        <v>0</v>
      </c>
      <c r="EQ192" s="4">
        <f t="shared" si="109"/>
        <v>0</v>
      </c>
      <c r="ER192" s="4">
        <f t="shared" si="109"/>
        <v>0</v>
      </c>
      <c r="ES192" s="4">
        <f t="shared" si="109"/>
        <v>0</v>
      </c>
      <c r="ET192" s="4">
        <f t="shared" si="109"/>
        <v>0</v>
      </c>
      <c r="EU192" s="4">
        <f t="shared" si="109"/>
        <v>0</v>
      </c>
      <c r="EV192" s="4">
        <f t="shared" si="109"/>
        <v>0</v>
      </c>
      <c r="EW192" s="4">
        <f t="shared" si="109"/>
        <v>0</v>
      </c>
      <c r="EX192" s="4">
        <f t="shared" si="109"/>
        <v>0</v>
      </c>
      <c r="EY192" s="4">
        <f t="shared" si="109"/>
        <v>0</v>
      </c>
      <c r="EZ192" s="4">
        <f t="shared" si="109"/>
        <v>0</v>
      </c>
      <c r="FA192" s="4">
        <f t="shared" si="109"/>
        <v>0</v>
      </c>
      <c r="FB192" s="4">
        <f t="shared" si="109"/>
        <v>0</v>
      </c>
      <c r="FC192" s="4">
        <f t="shared" si="109"/>
        <v>0</v>
      </c>
      <c r="FD192" s="4">
        <f t="shared" si="109"/>
        <v>0</v>
      </c>
      <c r="FE192" s="4">
        <f t="shared" si="109"/>
        <v>0</v>
      </c>
      <c r="FF192" s="4">
        <f t="shared" si="109"/>
        <v>0</v>
      </c>
      <c r="FG192" s="4">
        <f t="shared" si="109"/>
        <v>0</v>
      </c>
      <c r="FH192" s="4">
        <f t="shared" si="109"/>
        <v>0</v>
      </c>
      <c r="FI192" s="4">
        <f t="shared" si="109"/>
        <v>0</v>
      </c>
      <c r="FJ192" s="4">
        <f t="shared" si="109"/>
        <v>0</v>
      </c>
      <c r="FK192" s="4">
        <f t="shared" si="109"/>
        <v>0</v>
      </c>
      <c r="FL192" s="4">
        <f t="shared" si="109"/>
        <v>0</v>
      </c>
      <c r="FM192" s="4">
        <f t="shared" si="109"/>
        <v>0</v>
      </c>
      <c r="FN192" s="4">
        <f t="shared" si="109"/>
        <v>0</v>
      </c>
      <c r="FO192" s="4">
        <f t="shared" si="109"/>
        <v>0</v>
      </c>
      <c r="FP192" s="4">
        <f t="shared" si="109"/>
        <v>0</v>
      </c>
      <c r="FQ192" s="4">
        <f t="shared" si="109"/>
        <v>0</v>
      </c>
      <c r="FR192" s="4">
        <f t="shared" si="109"/>
        <v>0</v>
      </c>
      <c r="FS192" s="4">
        <f t="shared" ref="FS192:GX192" si="110">FS198</f>
        <v>0</v>
      </c>
      <c r="FT192" s="4">
        <f t="shared" si="110"/>
        <v>0</v>
      </c>
      <c r="FU192" s="4">
        <f t="shared" si="110"/>
        <v>0</v>
      </c>
      <c r="FV192" s="4">
        <f t="shared" si="110"/>
        <v>0</v>
      </c>
      <c r="FW192" s="4">
        <f t="shared" si="110"/>
        <v>0</v>
      </c>
      <c r="FX192" s="4">
        <f t="shared" si="110"/>
        <v>0</v>
      </c>
      <c r="FY192" s="4">
        <f t="shared" si="110"/>
        <v>0</v>
      </c>
      <c r="FZ192" s="4">
        <f t="shared" si="110"/>
        <v>0</v>
      </c>
      <c r="GA192" s="4">
        <f t="shared" si="110"/>
        <v>0</v>
      </c>
      <c r="GB192" s="4">
        <f t="shared" si="110"/>
        <v>0</v>
      </c>
      <c r="GC192" s="4">
        <f t="shared" si="110"/>
        <v>0</v>
      </c>
      <c r="GD192" s="4">
        <f t="shared" si="110"/>
        <v>0</v>
      </c>
      <c r="GE192" s="4">
        <f t="shared" si="110"/>
        <v>0</v>
      </c>
      <c r="GF192" s="4">
        <f t="shared" si="110"/>
        <v>0</v>
      </c>
      <c r="GG192" s="4">
        <f t="shared" si="110"/>
        <v>0</v>
      </c>
      <c r="GH192" s="4">
        <f t="shared" si="110"/>
        <v>0</v>
      </c>
      <c r="GI192" s="4">
        <f t="shared" si="110"/>
        <v>0</v>
      </c>
      <c r="GJ192" s="4">
        <f t="shared" si="110"/>
        <v>0</v>
      </c>
      <c r="GK192" s="4">
        <f t="shared" si="110"/>
        <v>0</v>
      </c>
      <c r="GL192" s="4">
        <f t="shared" si="110"/>
        <v>0</v>
      </c>
      <c r="GM192" s="4">
        <f t="shared" si="110"/>
        <v>0</v>
      </c>
      <c r="GN192" s="4">
        <f t="shared" si="110"/>
        <v>0</v>
      </c>
      <c r="GO192" s="4">
        <f t="shared" si="110"/>
        <v>0</v>
      </c>
      <c r="GP192" s="4">
        <f t="shared" si="110"/>
        <v>0</v>
      </c>
      <c r="GQ192" s="4">
        <f t="shared" si="110"/>
        <v>0</v>
      </c>
      <c r="GR192" s="4">
        <f t="shared" si="110"/>
        <v>0</v>
      </c>
      <c r="GS192" s="4">
        <f t="shared" si="110"/>
        <v>0</v>
      </c>
      <c r="GT192" s="4">
        <f t="shared" si="110"/>
        <v>0</v>
      </c>
      <c r="GU192" s="4">
        <f t="shared" si="110"/>
        <v>0</v>
      </c>
      <c r="GV192" s="4">
        <f t="shared" si="110"/>
        <v>0</v>
      </c>
      <c r="GW192" s="4">
        <f t="shared" si="110"/>
        <v>0</v>
      </c>
      <c r="GX192" s="4">
        <f t="shared" si="110"/>
        <v>0</v>
      </c>
    </row>
    <row r="194" spans="1:255" x14ac:dyDescent="0.2">
      <c r="A194" s="2">
        <v>17</v>
      </c>
      <c r="B194" s="2">
        <v>1</v>
      </c>
      <c r="C194" s="2">
        <f>ROW(SmtRes!A215)</f>
        <v>215</v>
      </c>
      <c r="D194" s="2">
        <f>ROW(EtalonRes!A211)</f>
        <v>211</v>
      </c>
      <c r="E194" s="2" t="s">
        <v>340</v>
      </c>
      <c r="F194" s="2" t="s">
        <v>341</v>
      </c>
      <c r="G194" s="2" t="s">
        <v>342</v>
      </c>
      <c r="H194" s="2" t="s">
        <v>35</v>
      </c>
      <c r="I194" s="2">
        <v>0.31080000000000002</v>
      </c>
      <c r="J194" s="2">
        <v>0</v>
      </c>
      <c r="K194" s="2">
        <v>0.31080000000000002</v>
      </c>
      <c r="L194" s="2"/>
      <c r="M194" s="2"/>
      <c r="N194" s="2"/>
      <c r="O194" s="2">
        <f>ROUND(CP194,2)</f>
        <v>347.54</v>
      </c>
      <c r="P194" s="2">
        <f>SUMIF(SmtRes!AQ214:'SmtRes'!AQ215,"=1",SmtRes!DF214:'SmtRes'!DF215)</f>
        <v>175.04</v>
      </c>
      <c r="Q194" s="2">
        <f>SUMIF(SmtRes!AQ214:'SmtRes'!AQ215,"=1",SmtRes!DG214:'SmtRes'!DG215)</f>
        <v>0</v>
      </c>
      <c r="R194" s="2">
        <f>SUMIF(SmtRes!AQ214:'SmtRes'!AQ215,"=1",SmtRes!DH214:'SmtRes'!DH215)</f>
        <v>0</v>
      </c>
      <c r="S194" s="2">
        <f>SUMIF(SmtRes!AQ214:'SmtRes'!AQ215,"=1",SmtRes!DI214:'SmtRes'!DI215)</f>
        <v>172.5</v>
      </c>
      <c r="T194" s="2">
        <f>ROUND(CU194*I194,2)</f>
        <v>0</v>
      </c>
      <c r="U194" s="2">
        <f>SUMIF(SmtRes!AQ214:'SmtRes'!AQ215,"=1",SmtRes!CV214:'SmtRes'!CV215)</f>
        <v>0.32012400000000002</v>
      </c>
      <c r="V194" s="2">
        <f>SUMIF(SmtRes!AQ214:'SmtRes'!AQ215,"=1",SmtRes!CW214:'SmtRes'!CW215)</f>
        <v>0</v>
      </c>
      <c r="W194" s="2">
        <f>ROUND(CX194*I194,2)</f>
        <v>0</v>
      </c>
      <c r="X194" s="2">
        <f>ROUND(CY194,2)</f>
        <v>158.69999999999999</v>
      </c>
      <c r="Y194" s="2">
        <f>ROUND(CZ194,2)</f>
        <v>75.900000000000006</v>
      </c>
      <c r="Z194" s="2"/>
      <c r="AA194" s="2">
        <v>80308166</v>
      </c>
      <c r="AB194" s="2">
        <f>ROUND((AC194+AD194+AF194),6)</f>
        <v>920.72550000000001</v>
      </c>
      <c r="AC194" s="2">
        <f>ROUND((SUM(SmtRes!BQ214:'SmtRes'!BQ215)),6)</f>
        <v>365.71</v>
      </c>
      <c r="AD194" s="2">
        <f>ROUND((((0)-(0))+AE194),6)</f>
        <v>0</v>
      </c>
      <c r="AE194" s="2">
        <f>ROUND((0),6)</f>
        <v>0</v>
      </c>
      <c r="AF194" s="2">
        <f>ROUND((SUM(SmtRes!BT214:'SmtRes'!BT215)),6)</f>
        <v>555.01549999999997</v>
      </c>
      <c r="AG194" s="2">
        <f>ROUND((AP194),6)</f>
        <v>0</v>
      </c>
      <c r="AH194" s="2">
        <f>(SUM(SmtRes!BU214:'SmtRes'!BU215))</f>
        <v>1.03</v>
      </c>
      <c r="AI194" s="2">
        <f>(0)</f>
        <v>0</v>
      </c>
      <c r="AJ194" s="2">
        <f>(AS194)</f>
        <v>0</v>
      </c>
      <c r="AK194" s="2">
        <v>920.72550000000012</v>
      </c>
      <c r="AL194" s="2">
        <v>365.71000000000004</v>
      </c>
      <c r="AM194" s="2">
        <v>0</v>
      </c>
      <c r="AN194" s="2">
        <v>0</v>
      </c>
      <c r="AO194" s="2">
        <v>555.01550000000009</v>
      </c>
      <c r="AP194" s="2">
        <v>0</v>
      </c>
      <c r="AQ194" s="2">
        <v>1.03</v>
      </c>
      <c r="AR194" s="2">
        <v>0</v>
      </c>
      <c r="AS194" s="2">
        <v>0</v>
      </c>
      <c r="AT194" s="2">
        <v>92</v>
      </c>
      <c r="AU194" s="2">
        <v>44</v>
      </c>
      <c r="AV194" s="2">
        <v>1</v>
      </c>
      <c r="AW194" s="2">
        <v>1</v>
      </c>
      <c r="AX194" s="2"/>
      <c r="AY194" s="2"/>
      <c r="AZ194" s="2">
        <v>1</v>
      </c>
      <c r="BA194" s="2">
        <v>1</v>
      </c>
      <c r="BB194" s="2">
        <v>1</v>
      </c>
      <c r="BC194" s="2">
        <v>1</v>
      </c>
      <c r="BD194" s="2" t="s">
        <v>3</v>
      </c>
      <c r="BE194" s="2" t="s">
        <v>3</v>
      </c>
      <c r="BF194" s="2" t="s">
        <v>3</v>
      </c>
      <c r="BG194" s="2" t="s">
        <v>3</v>
      </c>
      <c r="BH194" s="2">
        <v>0</v>
      </c>
      <c r="BI194" s="2">
        <v>1</v>
      </c>
      <c r="BJ194" s="2" t="s">
        <v>343</v>
      </c>
      <c r="BK194" s="2"/>
      <c r="BL194" s="2"/>
      <c r="BM194" s="2">
        <v>69001</v>
      </c>
      <c r="BN194" s="2">
        <v>0</v>
      </c>
      <c r="BO194" s="2" t="s">
        <v>3</v>
      </c>
      <c r="BP194" s="2">
        <v>0</v>
      </c>
      <c r="BQ194" s="2">
        <v>6</v>
      </c>
      <c r="BR194" s="2">
        <v>0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 t="s">
        <v>3</v>
      </c>
      <c r="BZ194" s="2">
        <v>92</v>
      </c>
      <c r="CA194" s="2">
        <v>44</v>
      </c>
      <c r="CB194" s="2" t="s">
        <v>3</v>
      </c>
      <c r="CC194" s="2"/>
      <c r="CD194" s="2"/>
      <c r="CE194" s="2">
        <v>0</v>
      </c>
      <c r="CF194" s="2">
        <v>0</v>
      </c>
      <c r="CG194" s="2">
        <v>0</v>
      </c>
      <c r="CH194" s="2"/>
      <c r="CI194" s="2"/>
      <c r="CJ194" s="2"/>
      <c r="CK194" s="2"/>
      <c r="CL194" s="2"/>
      <c r="CM194" s="2">
        <v>0</v>
      </c>
      <c r="CN194" s="2" t="s">
        <v>3</v>
      </c>
      <c r="CO194" s="2">
        <v>0</v>
      </c>
      <c r="CP194" s="2">
        <f>(P194+Q194+S194+R194)</f>
        <v>347.53999999999996</v>
      </c>
      <c r="CQ194" s="2">
        <f>SUMIF(SmtRes!AQ214:'SmtRes'!AQ215,"=1",SmtRes!AA214:'SmtRes'!AA215)</f>
        <v>2815.97</v>
      </c>
      <c r="CR194" s="2">
        <f>SUMIF(SmtRes!AQ214:'SmtRes'!AQ215,"=1",SmtRes!AB214:'SmtRes'!AB215)</f>
        <v>0</v>
      </c>
      <c r="CS194" s="2">
        <f>SUMIF(SmtRes!AQ214:'SmtRes'!AQ215,"=1",SmtRes!AC214:'SmtRes'!AC215)</f>
        <v>0</v>
      </c>
      <c r="CT194" s="2">
        <f>SUMIF(SmtRes!AQ214:'SmtRes'!AQ215,"=1",SmtRes!AD214:'SmtRes'!AD215)</f>
        <v>538.85</v>
      </c>
      <c r="CU194" s="2">
        <f>AG194</f>
        <v>0</v>
      </c>
      <c r="CV194" s="2">
        <f>SUMIF(SmtRes!AQ214:'SmtRes'!AQ215,"=1",SmtRes!BU214:'SmtRes'!BU215)</f>
        <v>1.03</v>
      </c>
      <c r="CW194" s="2">
        <f>SUMIF(SmtRes!AQ214:'SmtRes'!AQ215,"=1",SmtRes!BV214:'SmtRes'!BV215)</f>
        <v>0</v>
      </c>
      <c r="CX194" s="2">
        <f>AJ194</f>
        <v>0</v>
      </c>
      <c r="CY194" s="2">
        <f>(((S194+R194)*AT194)/100)</f>
        <v>158.69999999999999</v>
      </c>
      <c r="CZ194" s="2">
        <f>(((S194+R194)*AU194)/100)</f>
        <v>75.900000000000006</v>
      </c>
      <c r="DA194" s="2"/>
      <c r="DB194" s="2"/>
      <c r="DC194" s="2" t="s">
        <v>3</v>
      </c>
      <c r="DD194" s="2" t="s">
        <v>3</v>
      </c>
      <c r="DE194" s="2" t="s">
        <v>3</v>
      </c>
      <c r="DF194" s="2" t="s">
        <v>3</v>
      </c>
      <c r="DG194" s="2" t="s">
        <v>3</v>
      </c>
      <c r="DH194" s="2" t="s">
        <v>3</v>
      </c>
      <c r="DI194" s="2" t="s">
        <v>3</v>
      </c>
      <c r="DJ194" s="2" t="s">
        <v>3</v>
      </c>
      <c r="DK194" s="2" t="s">
        <v>3</v>
      </c>
      <c r="DL194" s="2" t="s">
        <v>3</v>
      </c>
      <c r="DM194" s="2" t="s">
        <v>3</v>
      </c>
      <c r="DN194" s="2">
        <v>0</v>
      </c>
      <c r="DO194" s="2">
        <v>0</v>
      </c>
      <c r="DP194" s="2">
        <v>1</v>
      </c>
      <c r="DQ194" s="2">
        <v>1</v>
      </c>
      <c r="DR194" s="2"/>
      <c r="DS194" s="2"/>
      <c r="DT194" s="2"/>
      <c r="DU194" s="2">
        <v>1009</v>
      </c>
      <c r="DV194" s="2" t="s">
        <v>35</v>
      </c>
      <c r="DW194" s="2" t="s">
        <v>35</v>
      </c>
      <c r="DX194" s="2">
        <v>1000</v>
      </c>
      <c r="DY194" s="2"/>
      <c r="DZ194" s="2" t="s">
        <v>3</v>
      </c>
      <c r="EA194" s="2" t="s">
        <v>3</v>
      </c>
      <c r="EB194" s="2" t="s">
        <v>3</v>
      </c>
      <c r="EC194" s="2" t="s">
        <v>3</v>
      </c>
      <c r="ED194" s="2"/>
      <c r="EE194" s="2">
        <v>77313218</v>
      </c>
      <c r="EF194" s="2">
        <v>6</v>
      </c>
      <c r="EG194" s="2" t="s">
        <v>21</v>
      </c>
      <c r="EH194" s="2">
        <v>103</v>
      </c>
      <c r="EI194" s="2" t="s">
        <v>344</v>
      </c>
      <c r="EJ194" s="2">
        <v>1</v>
      </c>
      <c r="EK194" s="2">
        <v>69001</v>
      </c>
      <c r="EL194" s="2" t="s">
        <v>344</v>
      </c>
      <c r="EM194" s="2" t="s">
        <v>345</v>
      </c>
      <c r="EN194" s="2"/>
      <c r="EO194" s="2" t="s">
        <v>3</v>
      </c>
      <c r="EP194" s="2"/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1.03</v>
      </c>
      <c r="EX194" s="2">
        <v>0</v>
      </c>
      <c r="EY194" s="2">
        <v>0</v>
      </c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>
        <v>0</v>
      </c>
      <c r="FR194" s="2">
        <v>0</v>
      </c>
      <c r="FS194" s="2">
        <v>0</v>
      </c>
      <c r="FT194" s="2"/>
      <c r="FU194" s="2"/>
      <c r="FV194" s="2"/>
      <c r="FW194" s="2"/>
      <c r="FX194" s="2">
        <v>92</v>
      </c>
      <c r="FY194" s="2">
        <v>44</v>
      </c>
      <c r="FZ194" s="2"/>
      <c r="GA194" s="2" t="s">
        <v>3</v>
      </c>
      <c r="GB194" s="2"/>
      <c r="GC194" s="2"/>
      <c r="GD194" s="2">
        <v>1</v>
      </c>
      <c r="GE194" s="2"/>
      <c r="GF194" s="2">
        <v>-2146736614</v>
      </c>
      <c r="GG194" s="2">
        <v>2</v>
      </c>
      <c r="GH194" s="2">
        <v>1</v>
      </c>
      <c r="GI194" s="2">
        <v>-2</v>
      </c>
      <c r="GJ194" s="2">
        <v>0</v>
      </c>
      <c r="GK194" s="2">
        <v>0</v>
      </c>
      <c r="GL194" s="2">
        <f>ROUND(IF(AND(BH194=3,BI194=3,FS194&lt;&gt;0),P194,0),2)</f>
        <v>0</v>
      </c>
      <c r="GM194" s="2">
        <f>ROUND(O194+X194+Y194,2)+GX194</f>
        <v>582.14</v>
      </c>
      <c r="GN194" s="2">
        <f>IF(OR(BI194=0,BI194=1),GM194-GX194,0)</f>
        <v>582.14</v>
      </c>
      <c r="GO194" s="2">
        <f>IF(BI194=2,GM194-GX194,0)</f>
        <v>0</v>
      </c>
      <c r="GP194" s="2">
        <f>IF(BI194=4,GM194-GX194,0)</f>
        <v>0</v>
      </c>
      <c r="GQ194" s="2"/>
      <c r="GR194" s="2">
        <v>0</v>
      </c>
      <c r="GS194" s="2">
        <v>3</v>
      </c>
      <c r="GT194" s="2">
        <v>0</v>
      </c>
      <c r="GU194" s="2" t="s">
        <v>3</v>
      </c>
      <c r="GV194" s="2">
        <f>ROUND((GT194),6)</f>
        <v>0</v>
      </c>
      <c r="GW194" s="2">
        <v>1</v>
      </c>
      <c r="GX194" s="2">
        <f>ROUND(HC194*I194,2)</f>
        <v>0</v>
      </c>
      <c r="GY194" s="2"/>
      <c r="GZ194" s="2"/>
      <c r="HA194" s="2">
        <v>0</v>
      </c>
      <c r="HB194" s="2">
        <v>0</v>
      </c>
      <c r="HC194" s="2">
        <f>GV194*GW194</f>
        <v>0</v>
      </c>
      <c r="HD194" s="2"/>
      <c r="HE194" s="2" t="s">
        <v>3</v>
      </c>
      <c r="HF194" s="2" t="s">
        <v>3</v>
      </c>
      <c r="HG194" s="2"/>
      <c r="HH194" s="2"/>
      <c r="HI194" s="2"/>
      <c r="HJ194" s="2"/>
      <c r="HK194" s="2"/>
      <c r="HL194" s="2"/>
      <c r="HM194" s="2" t="s">
        <v>3</v>
      </c>
      <c r="HN194" s="2" t="s">
        <v>346</v>
      </c>
      <c r="HO194" s="2" t="s">
        <v>347</v>
      </c>
      <c r="HP194" s="2" t="s">
        <v>344</v>
      </c>
      <c r="HQ194" s="2" t="s">
        <v>344</v>
      </c>
      <c r="HR194" s="2"/>
      <c r="HS194" s="2">
        <v>0</v>
      </c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>
        <v>0</v>
      </c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x14ac:dyDescent="0.2">
      <c r="A195" s="2">
        <v>17</v>
      </c>
      <c r="B195" s="2">
        <v>1</v>
      </c>
      <c r="C195" s="2"/>
      <c r="D195" s="2"/>
      <c r="E195" s="2" t="s">
        <v>348</v>
      </c>
      <c r="F195" s="2" t="s">
        <v>349</v>
      </c>
      <c r="G195" s="2" t="s">
        <v>350</v>
      </c>
      <c r="H195" s="2" t="s">
        <v>351</v>
      </c>
      <c r="I195" s="2">
        <f>ROUND(I194,7)</f>
        <v>0.31080000000000002</v>
      </c>
      <c r="J195" s="2">
        <v>0</v>
      </c>
      <c r="K195" s="2">
        <f>ROUND(I194,7)</f>
        <v>0.31080000000000002</v>
      </c>
      <c r="L195" s="2"/>
      <c r="M195" s="2"/>
      <c r="N195" s="2"/>
      <c r="O195" s="2">
        <f>0</f>
        <v>0</v>
      </c>
      <c r="P195" s="2">
        <f>0</f>
        <v>0</v>
      </c>
      <c r="Q195" s="2">
        <f>0</f>
        <v>0</v>
      </c>
      <c r="R195" s="2">
        <f>0</f>
        <v>0</v>
      </c>
      <c r="S195" s="2">
        <f>0</f>
        <v>0</v>
      </c>
      <c r="T195" s="2">
        <f>0</f>
        <v>0</v>
      </c>
      <c r="U195" s="2">
        <f>0</f>
        <v>0</v>
      </c>
      <c r="V195" s="2">
        <f>0</f>
        <v>0</v>
      </c>
      <c r="W195" s="2">
        <f>0</f>
        <v>0</v>
      </c>
      <c r="X195" s="2">
        <f>0</f>
        <v>0</v>
      </c>
      <c r="Y195" s="2">
        <f>0</f>
        <v>0</v>
      </c>
      <c r="Z195" s="2"/>
      <c r="AA195" s="2">
        <v>80308166</v>
      </c>
      <c r="AB195" s="2">
        <f>ROUND((AK195),6)</f>
        <v>1498.11</v>
      </c>
      <c r="AC195" s="2">
        <f>0</f>
        <v>0</v>
      </c>
      <c r="AD195" s="2">
        <f>0</f>
        <v>0</v>
      </c>
      <c r="AE195" s="2">
        <f>0</f>
        <v>0</v>
      </c>
      <c r="AF195" s="2">
        <f>0</f>
        <v>0</v>
      </c>
      <c r="AG195" s="2">
        <f>0</f>
        <v>0</v>
      </c>
      <c r="AH195" s="2">
        <f>0</f>
        <v>0</v>
      </c>
      <c r="AI195" s="2">
        <f>0</f>
        <v>0</v>
      </c>
      <c r="AJ195" s="2">
        <f>0</f>
        <v>0</v>
      </c>
      <c r="AK195" s="2">
        <v>1498.11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1</v>
      </c>
      <c r="AW195" s="2">
        <v>1</v>
      </c>
      <c r="AX195" s="2"/>
      <c r="AY195" s="2"/>
      <c r="AZ195" s="2">
        <v>1</v>
      </c>
      <c r="BA195" s="2">
        <v>1</v>
      </c>
      <c r="BB195" s="2">
        <v>1</v>
      </c>
      <c r="BC195" s="2">
        <v>1</v>
      </c>
      <c r="BD195" s="2" t="s">
        <v>3</v>
      </c>
      <c r="BE195" s="2" t="s">
        <v>3</v>
      </c>
      <c r="BF195" s="2" t="s">
        <v>3</v>
      </c>
      <c r="BG195" s="2" t="s">
        <v>3</v>
      </c>
      <c r="BH195" s="2">
        <v>0</v>
      </c>
      <c r="BI195" s="2">
        <v>1</v>
      </c>
      <c r="BJ195" s="2" t="s">
        <v>349</v>
      </c>
      <c r="BK195" s="2"/>
      <c r="BL195" s="2"/>
      <c r="BM195" s="2">
        <v>700007</v>
      </c>
      <c r="BN195" s="2">
        <v>0</v>
      </c>
      <c r="BO195" s="2" t="s">
        <v>3</v>
      </c>
      <c r="BP195" s="2">
        <v>0</v>
      </c>
      <c r="BQ195" s="2">
        <v>19</v>
      </c>
      <c r="BR195" s="2">
        <v>0</v>
      </c>
      <c r="BS195" s="2">
        <v>1</v>
      </c>
      <c r="BT195" s="2">
        <v>1</v>
      </c>
      <c r="BU195" s="2">
        <v>1</v>
      </c>
      <c r="BV195" s="2">
        <v>1</v>
      </c>
      <c r="BW195" s="2">
        <v>1</v>
      </c>
      <c r="BX195" s="2">
        <v>1</v>
      </c>
      <c r="BY195" s="2" t="s">
        <v>3</v>
      </c>
      <c r="BZ195" s="2">
        <v>90</v>
      </c>
      <c r="CA195" s="2">
        <v>42</v>
      </c>
      <c r="CB195" s="2" t="s">
        <v>3</v>
      </c>
      <c r="CC195" s="2"/>
      <c r="CD195" s="2"/>
      <c r="CE195" s="2">
        <v>0</v>
      </c>
      <c r="CF195" s="2">
        <v>0</v>
      </c>
      <c r="CG195" s="2">
        <v>0</v>
      </c>
      <c r="CH195" s="2"/>
      <c r="CI195" s="2"/>
      <c r="CJ195" s="2"/>
      <c r="CK195" s="2"/>
      <c r="CL195" s="2"/>
      <c r="CM195" s="2">
        <v>0</v>
      </c>
      <c r="CN195" s="2" t="s">
        <v>3</v>
      </c>
      <c r="CO195" s="2">
        <v>0</v>
      </c>
      <c r="CP195" s="2">
        <f>AB195*AZ195</f>
        <v>1498.11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/>
      <c r="DB195" s="2"/>
      <c r="DC195" s="2" t="s">
        <v>3</v>
      </c>
      <c r="DD195" s="2" t="s">
        <v>3</v>
      </c>
      <c r="DE195" s="2" t="s">
        <v>3</v>
      </c>
      <c r="DF195" s="2" t="s">
        <v>3</v>
      </c>
      <c r="DG195" s="2" t="s">
        <v>3</v>
      </c>
      <c r="DH195" s="2" t="s">
        <v>3</v>
      </c>
      <c r="DI195" s="2" t="s">
        <v>3</v>
      </c>
      <c r="DJ195" s="2" t="s">
        <v>3</v>
      </c>
      <c r="DK195" s="2" t="s">
        <v>3</v>
      </c>
      <c r="DL195" s="2" t="s">
        <v>3</v>
      </c>
      <c r="DM195" s="2" t="s">
        <v>3</v>
      </c>
      <c r="DN195" s="2">
        <v>0</v>
      </c>
      <c r="DO195" s="2">
        <v>0</v>
      </c>
      <c r="DP195" s="2">
        <v>1</v>
      </c>
      <c r="DQ195" s="2">
        <v>1</v>
      </c>
      <c r="DR195" s="2"/>
      <c r="DS195" s="2"/>
      <c r="DT195" s="2"/>
      <c r="DU195" s="2">
        <v>1013</v>
      </c>
      <c r="DV195" s="2" t="s">
        <v>351</v>
      </c>
      <c r="DW195" s="2" t="s">
        <v>351</v>
      </c>
      <c r="DX195" s="2">
        <v>1</v>
      </c>
      <c r="DY195" s="2"/>
      <c r="DZ195" s="2" t="s">
        <v>3</v>
      </c>
      <c r="EA195" s="2" t="s">
        <v>3</v>
      </c>
      <c r="EB195" s="2" t="s">
        <v>3</v>
      </c>
      <c r="EC195" s="2" t="s">
        <v>3</v>
      </c>
      <c r="ED195" s="2"/>
      <c r="EE195" s="2">
        <v>77313531</v>
      </c>
      <c r="EF195" s="2">
        <v>19</v>
      </c>
      <c r="EG195" s="2" t="s">
        <v>352</v>
      </c>
      <c r="EH195" s="2">
        <v>106</v>
      </c>
      <c r="EI195" s="2" t="s">
        <v>352</v>
      </c>
      <c r="EJ195" s="2">
        <v>1</v>
      </c>
      <c r="EK195" s="2">
        <v>700007</v>
      </c>
      <c r="EL195" s="2" t="s">
        <v>352</v>
      </c>
      <c r="EM195" s="2" t="s">
        <v>353</v>
      </c>
      <c r="EN195" s="2"/>
      <c r="EO195" s="2" t="s">
        <v>3</v>
      </c>
      <c r="EP195" s="2"/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0</v>
      </c>
      <c r="EX195" s="2">
        <v>0</v>
      </c>
      <c r="EY195" s="2">
        <v>0</v>
      </c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>
        <v>0</v>
      </c>
      <c r="FR195" s="2">
        <v>0</v>
      </c>
      <c r="FS195" s="2">
        <v>0</v>
      </c>
      <c r="FT195" s="2"/>
      <c r="FU195" s="2"/>
      <c r="FV195" s="2"/>
      <c r="FW195" s="2"/>
      <c r="FX195" s="2">
        <v>0</v>
      </c>
      <c r="FY195" s="2">
        <v>0</v>
      </c>
      <c r="FZ195" s="2"/>
      <c r="GA195" s="2" t="s">
        <v>3</v>
      </c>
      <c r="GB195" s="2"/>
      <c r="GC195" s="2"/>
      <c r="GD195" s="2">
        <v>1</v>
      </c>
      <c r="GE195" s="2"/>
      <c r="GF195" s="2">
        <v>326800680</v>
      </c>
      <c r="GG195" s="2">
        <v>2</v>
      </c>
      <c r="GH195" s="2">
        <v>1</v>
      </c>
      <c r="GI195" s="2">
        <v>-2</v>
      </c>
      <c r="GJ195" s="2">
        <v>2</v>
      </c>
      <c r="GK195" s="2">
        <v>0</v>
      </c>
      <c r="GL195" s="2">
        <f>ROUND(IF(AND(BH195=3,BI195=3,FS195&lt;&gt;0),P195,0),2)</f>
        <v>0</v>
      </c>
      <c r="GM195" s="2">
        <f>ROUND(CP195*I195,2)</f>
        <v>465.61</v>
      </c>
      <c r="GN195" s="2">
        <f>IF(OR(BI195=0,BI195=1),GM195-GX195,0)</f>
        <v>465.61</v>
      </c>
      <c r="GO195" s="2">
        <f>IF(BI195=2,GM195-GX195,0)</f>
        <v>0</v>
      </c>
      <c r="GP195" s="2">
        <f>IF(BI195=4,GM195-GX195,0)</f>
        <v>0</v>
      </c>
      <c r="GQ195" s="2"/>
      <c r="GR195" s="2">
        <v>0</v>
      </c>
      <c r="GS195" s="2">
        <v>3</v>
      </c>
      <c r="GT195" s="2">
        <v>0</v>
      </c>
      <c r="GU195" s="2" t="s">
        <v>3</v>
      </c>
      <c r="GV195" s="2">
        <f>0</f>
        <v>0</v>
      </c>
      <c r="GW195" s="2">
        <v>1</v>
      </c>
      <c r="GX195" s="2">
        <f>0</f>
        <v>0</v>
      </c>
      <c r="GY195" s="2"/>
      <c r="GZ195" s="2"/>
      <c r="HA195" s="2">
        <v>0</v>
      </c>
      <c r="HB195" s="2">
        <v>0</v>
      </c>
      <c r="HC195" s="2">
        <v>0</v>
      </c>
      <c r="HD195" s="2">
        <f>GM195</f>
        <v>465.61</v>
      </c>
      <c r="HE195" s="2" t="s">
        <v>3</v>
      </c>
      <c r="HF195" s="2" t="s">
        <v>3</v>
      </c>
      <c r="HG195" s="2"/>
      <c r="HH195" s="2"/>
      <c r="HI195" s="2"/>
      <c r="HJ195" s="2"/>
      <c r="HK195" s="2"/>
      <c r="HL195" s="2"/>
      <c r="HM195" s="2" t="s">
        <v>3</v>
      </c>
      <c r="HN195" s="2" t="s">
        <v>354</v>
      </c>
      <c r="HO195" s="2" t="s">
        <v>355</v>
      </c>
      <c r="HP195" s="2" t="s">
        <v>352</v>
      </c>
      <c r="HQ195" s="2" t="s">
        <v>352</v>
      </c>
      <c r="HR195" s="2"/>
      <c r="HS195" s="2">
        <v>0</v>
      </c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>
        <v>0</v>
      </c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x14ac:dyDescent="0.2">
      <c r="A196" s="2">
        <v>17</v>
      </c>
      <c r="B196" s="2">
        <v>1</v>
      </c>
      <c r="C196" s="2"/>
      <c r="D196" s="2"/>
      <c r="E196" s="2" t="s">
        <v>356</v>
      </c>
      <c r="F196" s="2" t="s">
        <v>357</v>
      </c>
      <c r="G196" s="2" t="s">
        <v>358</v>
      </c>
      <c r="H196" s="2" t="s">
        <v>351</v>
      </c>
      <c r="I196" s="2">
        <f>ROUND(I195,7)</f>
        <v>0.31080000000000002</v>
      </c>
      <c r="J196" s="2">
        <v>0</v>
      </c>
      <c r="K196" s="2">
        <f>ROUND(I195,7)</f>
        <v>0.31080000000000002</v>
      </c>
      <c r="L196" s="2"/>
      <c r="M196" s="2"/>
      <c r="N196" s="2"/>
      <c r="O196" s="2">
        <f>0</f>
        <v>0</v>
      </c>
      <c r="P196" s="2">
        <f>0</f>
        <v>0</v>
      </c>
      <c r="Q196" s="2">
        <f>0</f>
        <v>0</v>
      </c>
      <c r="R196" s="2">
        <f>0</f>
        <v>0</v>
      </c>
      <c r="S196" s="2">
        <f>0</f>
        <v>0</v>
      </c>
      <c r="T196" s="2">
        <f>0</f>
        <v>0</v>
      </c>
      <c r="U196" s="2">
        <f>0</f>
        <v>0</v>
      </c>
      <c r="V196" s="2">
        <f>0</f>
        <v>0</v>
      </c>
      <c r="W196" s="2">
        <f>0</f>
        <v>0</v>
      </c>
      <c r="X196" s="2">
        <f>0</f>
        <v>0</v>
      </c>
      <c r="Y196" s="2">
        <f>0</f>
        <v>0</v>
      </c>
      <c r="Z196" s="2"/>
      <c r="AA196" s="2">
        <v>80308166</v>
      </c>
      <c r="AB196" s="2">
        <f>ROUND((AK196),6)</f>
        <v>530.41</v>
      </c>
      <c r="AC196" s="2">
        <f>0</f>
        <v>0</v>
      </c>
      <c r="AD196" s="2">
        <f>0</f>
        <v>0</v>
      </c>
      <c r="AE196" s="2">
        <f>0</f>
        <v>0</v>
      </c>
      <c r="AF196" s="2">
        <f>0</f>
        <v>0</v>
      </c>
      <c r="AG196" s="2">
        <f>0</f>
        <v>0</v>
      </c>
      <c r="AH196" s="2">
        <f>0</f>
        <v>0</v>
      </c>
      <c r="AI196" s="2">
        <f>0</f>
        <v>0</v>
      </c>
      <c r="AJ196" s="2">
        <f>0</f>
        <v>0</v>
      </c>
      <c r="AK196" s="2">
        <v>530.41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1</v>
      </c>
      <c r="AW196" s="2">
        <v>1</v>
      </c>
      <c r="AX196" s="2"/>
      <c r="AY196" s="2"/>
      <c r="AZ196" s="2">
        <v>1</v>
      </c>
      <c r="BA196" s="2">
        <v>1</v>
      </c>
      <c r="BB196" s="2">
        <v>1</v>
      </c>
      <c r="BC196" s="2">
        <v>1</v>
      </c>
      <c r="BD196" s="2" t="s">
        <v>3</v>
      </c>
      <c r="BE196" s="2" t="s">
        <v>3</v>
      </c>
      <c r="BF196" s="2" t="s">
        <v>3</v>
      </c>
      <c r="BG196" s="2" t="s">
        <v>3</v>
      </c>
      <c r="BH196" s="2">
        <v>0</v>
      </c>
      <c r="BI196" s="2">
        <v>1</v>
      </c>
      <c r="BJ196" s="2" t="s">
        <v>357</v>
      </c>
      <c r="BK196" s="2"/>
      <c r="BL196" s="2"/>
      <c r="BM196" s="2">
        <v>700008</v>
      </c>
      <c r="BN196" s="2">
        <v>0</v>
      </c>
      <c r="BO196" s="2" t="s">
        <v>3</v>
      </c>
      <c r="BP196" s="2">
        <v>0</v>
      </c>
      <c r="BQ196" s="2">
        <v>10</v>
      </c>
      <c r="BR196" s="2">
        <v>0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 t="s">
        <v>3</v>
      </c>
      <c r="BZ196" s="2">
        <v>94</v>
      </c>
      <c r="CA196" s="2">
        <v>61</v>
      </c>
      <c r="CB196" s="2" t="s">
        <v>3</v>
      </c>
      <c r="CC196" s="2"/>
      <c r="CD196" s="2"/>
      <c r="CE196" s="2">
        <v>0</v>
      </c>
      <c r="CF196" s="2">
        <v>0</v>
      </c>
      <c r="CG196" s="2">
        <v>0</v>
      </c>
      <c r="CH196" s="2"/>
      <c r="CI196" s="2"/>
      <c r="CJ196" s="2"/>
      <c r="CK196" s="2"/>
      <c r="CL196" s="2"/>
      <c r="CM196" s="2">
        <v>0</v>
      </c>
      <c r="CN196" s="2" t="s">
        <v>3</v>
      </c>
      <c r="CO196" s="2">
        <v>0</v>
      </c>
      <c r="CP196" s="2">
        <f>AB196*AZ196</f>
        <v>530.41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/>
      <c r="DB196" s="2"/>
      <c r="DC196" s="2" t="s">
        <v>3</v>
      </c>
      <c r="DD196" s="2" t="s">
        <v>3</v>
      </c>
      <c r="DE196" s="2" t="s">
        <v>3</v>
      </c>
      <c r="DF196" s="2" t="s">
        <v>3</v>
      </c>
      <c r="DG196" s="2" t="s">
        <v>3</v>
      </c>
      <c r="DH196" s="2" t="s">
        <v>3</v>
      </c>
      <c r="DI196" s="2" t="s">
        <v>3</v>
      </c>
      <c r="DJ196" s="2" t="s">
        <v>3</v>
      </c>
      <c r="DK196" s="2" t="s">
        <v>3</v>
      </c>
      <c r="DL196" s="2" t="s">
        <v>3</v>
      </c>
      <c r="DM196" s="2" t="s">
        <v>3</v>
      </c>
      <c r="DN196" s="2">
        <v>0</v>
      </c>
      <c r="DO196" s="2">
        <v>0</v>
      </c>
      <c r="DP196" s="2">
        <v>1</v>
      </c>
      <c r="DQ196" s="2">
        <v>1</v>
      </c>
      <c r="DR196" s="2"/>
      <c r="DS196" s="2"/>
      <c r="DT196" s="2"/>
      <c r="DU196" s="2">
        <v>1013</v>
      </c>
      <c r="DV196" s="2" t="s">
        <v>351</v>
      </c>
      <c r="DW196" s="2" t="s">
        <v>351</v>
      </c>
      <c r="DX196" s="2">
        <v>1</v>
      </c>
      <c r="DY196" s="2"/>
      <c r="DZ196" s="2" t="s">
        <v>3</v>
      </c>
      <c r="EA196" s="2" t="s">
        <v>3</v>
      </c>
      <c r="EB196" s="2" t="s">
        <v>3</v>
      </c>
      <c r="EC196" s="2" t="s">
        <v>3</v>
      </c>
      <c r="ED196" s="2"/>
      <c r="EE196" s="2">
        <v>77313532</v>
      </c>
      <c r="EF196" s="2">
        <v>10</v>
      </c>
      <c r="EG196" s="2" t="s">
        <v>359</v>
      </c>
      <c r="EH196" s="2">
        <v>107</v>
      </c>
      <c r="EI196" s="2" t="s">
        <v>360</v>
      </c>
      <c r="EJ196" s="2">
        <v>1</v>
      </c>
      <c r="EK196" s="2">
        <v>700008</v>
      </c>
      <c r="EL196" s="2" t="s">
        <v>361</v>
      </c>
      <c r="EM196" s="2" t="s">
        <v>362</v>
      </c>
      <c r="EN196" s="2"/>
      <c r="EO196" s="2" t="s">
        <v>3</v>
      </c>
      <c r="EP196" s="2"/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>
        <v>0</v>
      </c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>
        <v>0</v>
      </c>
      <c r="FR196" s="2">
        <v>0</v>
      </c>
      <c r="FS196" s="2">
        <v>0</v>
      </c>
      <c r="FT196" s="2"/>
      <c r="FU196" s="2"/>
      <c r="FV196" s="2"/>
      <c r="FW196" s="2"/>
      <c r="FX196" s="2">
        <v>0</v>
      </c>
      <c r="FY196" s="2">
        <v>0</v>
      </c>
      <c r="FZ196" s="2"/>
      <c r="GA196" s="2" t="s">
        <v>3</v>
      </c>
      <c r="GB196" s="2"/>
      <c r="GC196" s="2"/>
      <c r="GD196" s="2">
        <v>1</v>
      </c>
      <c r="GE196" s="2"/>
      <c r="GF196" s="2">
        <v>-429599911</v>
      </c>
      <c r="GG196" s="2">
        <v>2</v>
      </c>
      <c r="GH196" s="2">
        <v>1</v>
      </c>
      <c r="GI196" s="2">
        <v>-2</v>
      </c>
      <c r="GJ196" s="2">
        <v>2</v>
      </c>
      <c r="GK196" s="2">
        <v>0</v>
      </c>
      <c r="GL196" s="2">
        <f>ROUND(IF(AND(BH196=3,BI196=3,FS196&lt;&gt;0),P196,0),2)</f>
        <v>0</v>
      </c>
      <c r="GM196" s="2">
        <f>ROUND(CP196*I196,2)</f>
        <v>164.85</v>
      </c>
      <c r="GN196" s="2">
        <f>IF(OR(BI196=0,BI196=1),GM196-GX196,0)</f>
        <v>164.85</v>
      </c>
      <c r="GO196" s="2">
        <f>IF(BI196=2,GM196-GX196,0)</f>
        <v>0</v>
      </c>
      <c r="GP196" s="2">
        <f>IF(BI196=4,GM196-GX196,0)</f>
        <v>0</v>
      </c>
      <c r="GQ196" s="2"/>
      <c r="GR196" s="2">
        <v>0</v>
      </c>
      <c r="GS196" s="2">
        <v>3</v>
      </c>
      <c r="GT196" s="2">
        <v>0</v>
      </c>
      <c r="GU196" s="2" t="s">
        <v>3</v>
      </c>
      <c r="GV196" s="2">
        <f>0</f>
        <v>0</v>
      </c>
      <c r="GW196" s="2">
        <v>1</v>
      </c>
      <c r="GX196" s="2">
        <f>0</f>
        <v>0</v>
      </c>
      <c r="GY196" s="2"/>
      <c r="GZ196" s="2"/>
      <c r="HA196" s="2">
        <v>0</v>
      </c>
      <c r="HB196" s="2">
        <v>0</v>
      </c>
      <c r="HC196" s="2">
        <v>0</v>
      </c>
      <c r="HD196" s="2">
        <f>GM196</f>
        <v>164.85</v>
      </c>
      <c r="HE196" s="2" t="s">
        <v>3</v>
      </c>
      <c r="HF196" s="2" t="s">
        <v>3</v>
      </c>
      <c r="HG196" s="2"/>
      <c r="HH196" s="2"/>
      <c r="HI196" s="2"/>
      <c r="HJ196" s="2"/>
      <c r="HK196" s="2"/>
      <c r="HL196" s="2"/>
      <c r="HM196" s="2" t="s">
        <v>3</v>
      </c>
      <c r="HN196" s="2" t="s">
        <v>363</v>
      </c>
      <c r="HO196" s="2" t="s">
        <v>364</v>
      </c>
      <c r="HP196" s="2" t="s">
        <v>360</v>
      </c>
      <c r="HQ196" s="2" t="s">
        <v>360</v>
      </c>
      <c r="HR196" s="2"/>
      <c r="HS196" s="2">
        <v>0</v>
      </c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>
        <v>0</v>
      </c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8" spans="1:255" x14ac:dyDescent="0.2">
      <c r="A198" s="3">
        <v>51</v>
      </c>
      <c r="B198" s="3">
        <f>B190</f>
        <v>1</v>
      </c>
      <c r="C198" s="3">
        <f>A190</f>
        <v>4</v>
      </c>
      <c r="D198" s="3">
        <f>ROW(A190)</f>
        <v>190</v>
      </c>
      <c r="E198" s="3"/>
      <c r="F198" s="3" t="str">
        <f>IF(F190&lt;&gt;"",F190,"")</f>
        <v>Новый раздел</v>
      </c>
      <c r="G198" s="3" t="str">
        <f>IF(G190&lt;&gt;"",G190,"")</f>
        <v>Работа 4</v>
      </c>
      <c r="H198" s="3">
        <v>0</v>
      </c>
      <c r="I198" s="3"/>
      <c r="J198" s="3"/>
      <c r="K198" s="3"/>
      <c r="L198" s="3"/>
      <c r="M198" s="3"/>
      <c r="N198" s="3"/>
      <c r="O198" s="3">
        <f t="shared" ref="O198:T198" si="111">ROUND(AB198,2)</f>
        <v>347.54</v>
      </c>
      <c r="P198" s="3">
        <f t="shared" si="111"/>
        <v>175.04</v>
      </c>
      <c r="Q198" s="3">
        <f t="shared" si="111"/>
        <v>0</v>
      </c>
      <c r="R198" s="3">
        <f t="shared" si="111"/>
        <v>0</v>
      </c>
      <c r="S198" s="3">
        <f t="shared" si="111"/>
        <v>172.5</v>
      </c>
      <c r="T198" s="3">
        <f t="shared" si="111"/>
        <v>0</v>
      </c>
      <c r="U198" s="3">
        <f>AH198</f>
        <v>0.32012400000000002</v>
      </c>
      <c r="V198" s="3">
        <f>AI198</f>
        <v>0</v>
      </c>
      <c r="W198" s="3">
        <f>ROUND(AJ198,2)</f>
        <v>0</v>
      </c>
      <c r="X198" s="3">
        <f>ROUND(AK198,2)</f>
        <v>158.69999999999999</v>
      </c>
      <c r="Y198" s="3">
        <f>ROUND(AL198,2)</f>
        <v>75.900000000000006</v>
      </c>
      <c r="Z198" s="3"/>
      <c r="AA198" s="3"/>
      <c r="AB198" s="3">
        <f>ROUND(SUMIF(AA194:AA196,"=80308166",O194:O196),2)</f>
        <v>347.54</v>
      </c>
      <c r="AC198" s="3">
        <f>ROUND(SUMIF(AA194:AA196,"=80308166",P194:P196),2)</f>
        <v>175.04</v>
      </c>
      <c r="AD198" s="3">
        <f>ROUND(SUMIF(AA194:AA196,"=80308166",Q194:Q196),2)</f>
        <v>0</v>
      </c>
      <c r="AE198" s="3">
        <f>ROUND(SUMIF(AA194:AA196,"=80308166",R194:R196),2)</f>
        <v>0</v>
      </c>
      <c r="AF198" s="3">
        <f>ROUND(SUMIF(AA194:AA196,"=80308166",S194:S196),2)</f>
        <v>172.5</v>
      </c>
      <c r="AG198" s="3">
        <f>ROUND(SUMIF(AA194:AA196,"=80308166",T194:T196),2)</f>
        <v>0</v>
      </c>
      <c r="AH198" s="3">
        <f>SUMIF(AA194:AA196,"=80308166",U194:U196)</f>
        <v>0.32012400000000002</v>
      </c>
      <c r="AI198" s="3">
        <f>SUMIF(AA194:AA196,"=80308166",V194:V196)</f>
        <v>0</v>
      </c>
      <c r="AJ198" s="3">
        <f>ROUND(SUMIF(AA194:AA196,"=80308166",W194:W196),2)</f>
        <v>0</v>
      </c>
      <c r="AK198" s="3">
        <f>ROUND(SUMIF(AA194:AA196,"=80308166",X194:X196),2)</f>
        <v>158.69999999999999</v>
      </c>
      <c r="AL198" s="3">
        <f>ROUND(SUMIF(AA194:AA196,"=80308166",Y194:Y196),2)</f>
        <v>75.900000000000006</v>
      </c>
      <c r="AM198" s="3"/>
      <c r="AN198" s="3"/>
      <c r="AO198" s="3">
        <f t="shared" ref="AO198:BD198" si="112">ROUND(BX198,2)</f>
        <v>0</v>
      </c>
      <c r="AP198" s="3">
        <f t="shared" si="112"/>
        <v>0</v>
      </c>
      <c r="AQ198" s="3">
        <f t="shared" si="112"/>
        <v>0</v>
      </c>
      <c r="AR198" s="3">
        <f t="shared" si="112"/>
        <v>1212.5999999999999</v>
      </c>
      <c r="AS198" s="3">
        <f t="shared" si="112"/>
        <v>1212.5999999999999</v>
      </c>
      <c r="AT198" s="3">
        <f t="shared" si="112"/>
        <v>0</v>
      </c>
      <c r="AU198" s="3">
        <f t="shared" si="112"/>
        <v>0</v>
      </c>
      <c r="AV198" s="3">
        <f t="shared" si="112"/>
        <v>175.04</v>
      </c>
      <c r="AW198" s="3">
        <f t="shared" si="112"/>
        <v>175.04</v>
      </c>
      <c r="AX198" s="3">
        <f t="shared" si="112"/>
        <v>0</v>
      </c>
      <c r="AY198" s="3">
        <f t="shared" si="112"/>
        <v>175.04</v>
      </c>
      <c r="AZ198" s="3">
        <f t="shared" si="112"/>
        <v>0</v>
      </c>
      <c r="BA198" s="3">
        <f t="shared" si="112"/>
        <v>0</v>
      </c>
      <c r="BB198" s="3">
        <f t="shared" si="112"/>
        <v>0</v>
      </c>
      <c r="BC198" s="3">
        <f t="shared" si="112"/>
        <v>0</v>
      </c>
      <c r="BD198" s="3">
        <f t="shared" si="112"/>
        <v>630.46</v>
      </c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>
        <f>ROUND(SUMIF(AA194:AA196,"=80308166",FQ194:FQ196),2)</f>
        <v>0</v>
      </c>
      <c r="BY198" s="3">
        <f>ROUND(SUMIF(AA194:AA196,"=80308166",FR194:FR196),2)</f>
        <v>0</v>
      </c>
      <c r="BZ198" s="3">
        <f>ROUND(SUMIF(AA194:AA196,"=80308166",GL194:GL196),2)</f>
        <v>0</v>
      </c>
      <c r="CA198" s="3">
        <f>ROUND(SUMIF(AA194:AA196,"=80308166",GM194:GM196),2)</f>
        <v>1212.5999999999999</v>
      </c>
      <c r="CB198" s="3">
        <f>ROUND(SUMIF(AA194:AA196,"=80308166",GN194:GN196),2)</f>
        <v>1212.5999999999999</v>
      </c>
      <c r="CC198" s="3">
        <f>ROUND(SUMIF(AA194:AA196,"=80308166",GO194:GO196),2)</f>
        <v>0</v>
      </c>
      <c r="CD198" s="3">
        <f>ROUND(SUMIF(AA194:AA196,"=80308166",GP194:GP196),2)</f>
        <v>0</v>
      </c>
      <c r="CE198" s="3">
        <f>AC198-BX198</f>
        <v>175.04</v>
      </c>
      <c r="CF198" s="3">
        <f>AC198-BY198</f>
        <v>175.04</v>
      </c>
      <c r="CG198" s="3">
        <f>BX198-BZ198</f>
        <v>0</v>
      </c>
      <c r="CH198" s="3">
        <f>AC198-BX198-BY198+BZ198</f>
        <v>175.04</v>
      </c>
      <c r="CI198" s="3">
        <f>BY198-BZ198</f>
        <v>0</v>
      </c>
      <c r="CJ198" s="3">
        <f>ROUND(SUMIF(AA194:AA196,"=80308166",GX194:GX196),2)</f>
        <v>0</v>
      </c>
      <c r="CK198" s="3">
        <f>ROUND(SUMIF(AA194:AA196,"=80308166",GY194:GY196),2)</f>
        <v>0</v>
      </c>
      <c r="CL198" s="3">
        <f>ROUND(SUMIF(AA194:AA196,"=80308166",GZ194:GZ196),2)</f>
        <v>0</v>
      </c>
      <c r="CM198" s="3">
        <f>ROUND(SUMIF(AA194:AA196,"=80308166",HD194:HD196),2)</f>
        <v>630.46</v>
      </c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>
        <v>0</v>
      </c>
    </row>
    <row r="200" spans="1:255" x14ac:dyDescent="0.2">
      <c r="A200" s="5">
        <v>50</v>
      </c>
      <c r="B200" s="5">
        <v>0</v>
      </c>
      <c r="C200" s="5">
        <v>0</v>
      </c>
      <c r="D200" s="5">
        <v>1</v>
      </c>
      <c r="E200" s="5">
        <v>201</v>
      </c>
      <c r="F200" s="5">
        <f>ROUND(Source!O198,O200)</f>
        <v>347.54</v>
      </c>
      <c r="G200" s="5" t="s">
        <v>97</v>
      </c>
      <c r="H200" s="5" t="s">
        <v>98</v>
      </c>
      <c r="I200" s="5"/>
      <c r="J200" s="5"/>
      <c r="K200" s="5">
        <v>201</v>
      </c>
      <c r="L200" s="5">
        <v>1</v>
      </c>
      <c r="M200" s="5">
        <v>3</v>
      </c>
      <c r="N200" s="5" t="s">
        <v>3</v>
      </c>
      <c r="O200" s="5">
        <v>2</v>
      </c>
      <c r="P200" s="5"/>
      <c r="Q200" s="5"/>
      <c r="R200" s="5"/>
      <c r="S200" s="5"/>
      <c r="T200" s="5"/>
      <c r="U200" s="5"/>
      <c r="V200" s="5"/>
      <c r="W200" s="5">
        <v>978</v>
      </c>
      <c r="X200" s="5">
        <v>1</v>
      </c>
      <c r="Y200" s="5">
        <v>978</v>
      </c>
      <c r="Z200" s="5"/>
      <c r="AA200" s="5"/>
      <c r="AB200" s="5"/>
    </row>
    <row r="201" spans="1:255" x14ac:dyDescent="0.2">
      <c r="A201" s="5">
        <v>50</v>
      </c>
      <c r="B201" s="5">
        <v>0</v>
      </c>
      <c r="C201" s="5">
        <v>0</v>
      </c>
      <c r="D201" s="5">
        <v>1</v>
      </c>
      <c r="E201" s="5">
        <v>202</v>
      </c>
      <c r="F201" s="5">
        <f>ROUND(Source!P198,O201)</f>
        <v>175.04</v>
      </c>
      <c r="G201" s="5" t="s">
        <v>99</v>
      </c>
      <c r="H201" s="5" t="s">
        <v>100</v>
      </c>
      <c r="I201" s="5"/>
      <c r="J201" s="5"/>
      <c r="K201" s="5">
        <v>202</v>
      </c>
      <c r="L201" s="5">
        <v>2</v>
      </c>
      <c r="M201" s="5">
        <v>3</v>
      </c>
      <c r="N201" s="5" t="s">
        <v>3</v>
      </c>
      <c r="O201" s="5">
        <v>2</v>
      </c>
      <c r="P201" s="5"/>
      <c r="Q201" s="5"/>
      <c r="R201" s="5"/>
      <c r="S201" s="5"/>
      <c r="T201" s="5"/>
      <c r="U201" s="5"/>
      <c r="V201" s="5"/>
      <c r="W201" s="5">
        <v>175.04</v>
      </c>
      <c r="X201" s="5">
        <v>1</v>
      </c>
      <c r="Y201" s="5">
        <v>175.04</v>
      </c>
      <c r="Z201" s="5"/>
      <c r="AA201" s="5"/>
      <c r="AB201" s="5"/>
    </row>
    <row r="202" spans="1:255" x14ac:dyDescent="0.2">
      <c r="A202" s="5">
        <v>50</v>
      </c>
      <c r="B202" s="5">
        <v>0</v>
      </c>
      <c r="C202" s="5">
        <v>0</v>
      </c>
      <c r="D202" s="5">
        <v>1</v>
      </c>
      <c r="E202" s="5">
        <v>222</v>
      </c>
      <c r="F202" s="5">
        <f>ROUND(Source!AO198,O202)</f>
        <v>0</v>
      </c>
      <c r="G202" s="5" t="s">
        <v>101</v>
      </c>
      <c r="H202" s="5" t="s">
        <v>102</v>
      </c>
      <c r="I202" s="5"/>
      <c r="J202" s="5"/>
      <c r="K202" s="5">
        <v>222</v>
      </c>
      <c r="L202" s="5">
        <v>3</v>
      </c>
      <c r="M202" s="5">
        <v>3</v>
      </c>
      <c r="N202" s="5" t="s">
        <v>3</v>
      </c>
      <c r="O202" s="5">
        <v>2</v>
      </c>
      <c r="P202" s="5"/>
      <c r="Q202" s="5"/>
      <c r="R202" s="5"/>
      <c r="S202" s="5"/>
      <c r="T202" s="5"/>
      <c r="U202" s="5"/>
      <c r="V202" s="5"/>
      <c r="W202" s="5">
        <v>0</v>
      </c>
      <c r="X202" s="5">
        <v>1</v>
      </c>
      <c r="Y202" s="5">
        <v>0</v>
      </c>
      <c r="Z202" s="5"/>
      <c r="AA202" s="5"/>
      <c r="AB202" s="5"/>
    </row>
    <row r="203" spans="1:255" x14ac:dyDescent="0.2">
      <c r="A203" s="5">
        <v>50</v>
      </c>
      <c r="B203" s="5">
        <v>0</v>
      </c>
      <c r="C203" s="5">
        <v>0</v>
      </c>
      <c r="D203" s="5">
        <v>1</v>
      </c>
      <c r="E203" s="5">
        <v>225</v>
      </c>
      <c r="F203" s="5">
        <f>ROUND(Source!AV198,O203)</f>
        <v>175.04</v>
      </c>
      <c r="G203" s="5" t="s">
        <v>103</v>
      </c>
      <c r="H203" s="5" t="s">
        <v>104</v>
      </c>
      <c r="I203" s="5"/>
      <c r="J203" s="5"/>
      <c r="K203" s="5">
        <v>225</v>
      </c>
      <c r="L203" s="5">
        <v>4</v>
      </c>
      <c r="M203" s="5">
        <v>3</v>
      </c>
      <c r="N203" s="5" t="s">
        <v>3</v>
      </c>
      <c r="O203" s="5">
        <v>2</v>
      </c>
      <c r="P203" s="5"/>
      <c r="Q203" s="5"/>
      <c r="R203" s="5"/>
      <c r="S203" s="5"/>
      <c r="T203" s="5"/>
      <c r="U203" s="5"/>
      <c r="V203" s="5"/>
      <c r="W203" s="5">
        <v>175.04</v>
      </c>
      <c r="X203" s="5">
        <v>1</v>
      </c>
      <c r="Y203" s="5">
        <v>175.04</v>
      </c>
      <c r="Z203" s="5"/>
      <c r="AA203" s="5"/>
      <c r="AB203" s="5"/>
    </row>
    <row r="204" spans="1:255" x14ac:dyDescent="0.2">
      <c r="A204" s="5">
        <v>50</v>
      </c>
      <c r="B204" s="5">
        <v>0</v>
      </c>
      <c r="C204" s="5">
        <v>0</v>
      </c>
      <c r="D204" s="5">
        <v>1</v>
      </c>
      <c r="E204" s="5">
        <v>226</v>
      </c>
      <c r="F204" s="5">
        <f>ROUND(Source!AW198,O204)</f>
        <v>175.04</v>
      </c>
      <c r="G204" s="5" t="s">
        <v>105</v>
      </c>
      <c r="H204" s="5" t="s">
        <v>106</v>
      </c>
      <c r="I204" s="5"/>
      <c r="J204" s="5"/>
      <c r="K204" s="5">
        <v>226</v>
      </c>
      <c r="L204" s="5">
        <v>5</v>
      </c>
      <c r="M204" s="5">
        <v>3</v>
      </c>
      <c r="N204" s="5" t="s">
        <v>3</v>
      </c>
      <c r="O204" s="5">
        <v>2</v>
      </c>
      <c r="P204" s="5"/>
      <c r="Q204" s="5"/>
      <c r="R204" s="5"/>
      <c r="S204" s="5"/>
      <c r="T204" s="5"/>
      <c r="U204" s="5"/>
      <c r="V204" s="5"/>
      <c r="W204" s="5">
        <v>175.04</v>
      </c>
      <c r="X204" s="5">
        <v>1</v>
      </c>
      <c r="Y204" s="5">
        <v>175.04</v>
      </c>
      <c r="Z204" s="5"/>
      <c r="AA204" s="5"/>
      <c r="AB204" s="5"/>
    </row>
    <row r="205" spans="1:255" x14ac:dyDescent="0.2">
      <c r="A205" s="5">
        <v>50</v>
      </c>
      <c r="B205" s="5">
        <v>0</v>
      </c>
      <c r="C205" s="5">
        <v>0</v>
      </c>
      <c r="D205" s="5">
        <v>1</v>
      </c>
      <c r="E205" s="5">
        <v>227</v>
      </c>
      <c r="F205" s="5">
        <f>ROUND(Source!AX198,O205)</f>
        <v>0</v>
      </c>
      <c r="G205" s="5" t="s">
        <v>107</v>
      </c>
      <c r="H205" s="5" t="s">
        <v>108</v>
      </c>
      <c r="I205" s="5"/>
      <c r="J205" s="5"/>
      <c r="K205" s="5">
        <v>227</v>
      </c>
      <c r="L205" s="5">
        <v>6</v>
      </c>
      <c r="M205" s="5">
        <v>3</v>
      </c>
      <c r="N205" s="5" t="s">
        <v>3</v>
      </c>
      <c r="O205" s="5">
        <v>2</v>
      </c>
      <c r="P205" s="5"/>
      <c r="Q205" s="5"/>
      <c r="R205" s="5"/>
      <c r="S205" s="5"/>
      <c r="T205" s="5"/>
      <c r="U205" s="5"/>
      <c r="V205" s="5"/>
      <c r="W205" s="5">
        <v>0</v>
      </c>
      <c r="X205" s="5">
        <v>1</v>
      </c>
      <c r="Y205" s="5">
        <v>0</v>
      </c>
      <c r="Z205" s="5"/>
      <c r="AA205" s="5"/>
      <c r="AB205" s="5"/>
    </row>
    <row r="206" spans="1:255" x14ac:dyDescent="0.2">
      <c r="A206" s="5">
        <v>50</v>
      </c>
      <c r="B206" s="5">
        <v>0</v>
      </c>
      <c r="C206" s="5">
        <v>0</v>
      </c>
      <c r="D206" s="5">
        <v>1</v>
      </c>
      <c r="E206" s="5">
        <v>228</v>
      </c>
      <c r="F206" s="5">
        <f>ROUND(Source!AY198,O206)</f>
        <v>175.04</v>
      </c>
      <c r="G206" s="5" t="s">
        <v>109</v>
      </c>
      <c r="H206" s="5" t="s">
        <v>110</v>
      </c>
      <c r="I206" s="5"/>
      <c r="J206" s="5"/>
      <c r="K206" s="5">
        <v>228</v>
      </c>
      <c r="L206" s="5">
        <v>7</v>
      </c>
      <c r="M206" s="5">
        <v>3</v>
      </c>
      <c r="N206" s="5" t="s">
        <v>3</v>
      </c>
      <c r="O206" s="5">
        <v>2</v>
      </c>
      <c r="P206" s="5"/>
      <c r="Q206" s="5"/>
      <c r="R206" s="5"/>
      <c r="S206" s="5"/>
      <c r="T206" s="5"/>
      <c r="U206" s="5"/>
      <c r="V206" s="5"/>
      <c r="W206" s="5">
        <v>175.04</v>
      </c>
      <c r="X206" s="5">
        <v>1</v>
      </c>
      <c r="Y206" s="5">
        <v>175.04</v>
      </c>
      <c r="Z206" s="5"/>
      <c r="AA206" s="5"/>
      <c r="AB206" s="5"/>
    </row>
    <row r="207" spans="1:255" x14ac:dyDescent="0.2">
      <c r="A207" s="5">
        <v>50</v>
      </c>
      <c r="B207" s="5">
        <v>0</v>
      </c>
      <c r="C207" s="5">
        <v>0</v>
      </c>
      <c r="D207" s="5">
        <v>1</v>
      </c>
      <c r="E207" s="5">
        <v>216</v>
      </c>
      <c r="F207" s="5">
        <f>ROUND(Source!AP198,O207)</f>
        <v>0</v>
      </c>
      <c r="G207" s="5" t="s">
        <v>111</v>
      </c>
      <c r="H207" s="5" t="s">
        <v>112</v>
      </c>
      <c r="I207" s="5"/>
      <c r="J207" s="5"/>
      <c r="K207" s="5">
        <v>216</v>
      </c>
      <c r="L207" s="5">
        <v>8</v>
      </c>
      <c r="M207" s="5">
        <v>3</v>
      </c>
      <c r="N207" s="5" t="s">
        <v>3</v>
      </c>
      <c r="O207" s="5">
        <v>2</v>
      </c>
      <c r="P207" s="5"/>
      <c r="Q207" s="5"/>
      <c r="R207" s="5"/>
      <c r="S207" s="5"/>
      <c r="T207" s="5"/>
      <c r="U207" s="5"/>
      <c r="V207" s="5"/>
      <c r="W207" s="5">
        <v>0</v>
      </c>
      <c r="X207" s="5">
        <v>1</v>
      </c>
      <c r="Y207" s="5">
        <v>0</v>
      </c>
      <c r="Z207" s="5"/>
      <c r="AA207" s="5"/>
      <c r="AB207" s="5"/>
    </row>
    <row r="208" spans="1:255" x14ac:dyDescent="0.2">
      <c r="A208" s="5">
        <v>50</v>
      </c>
      <c r="B208" s="5">
        <v>0</v>
      </c>
      <c r="C208" s="5">
        <v>0</v>
      </c>
      <c r="D208" s="5">
        <v>1</v>
      </c>
      <c r="E208" s="5">
        <v>223</v>
      </c>
      <c r="F208" s="5">
        <f>ROUND(Source!AQ198,O208)</f>
        <v>0</v>
      </c>
      <c r="G208" s="5" t="s">
        <v>113</v>
      </c>
      <c r="H208" s="5" t="s">
        <v>114</v>
      </c>
      <c r="I208" s="5"/>
      <c r="J208" s="5"/>
      <c r="K208" s="5">
        <v>223</v>
      </c>
      <c r="L208" s="5">
        <v>9</v>
      </c>
      <c r="M208" s="5">
        <v>3</v>
      </c>
      <c r="N208" s="5" t="s">
        <v>3</v>
      </c>
      <c r="O208" s="5">
        <v>2</v>
      </c>
      <c r="P208" s="5"/>
      <c r="Q208" s="5"/>
      <c r="R208" s="5"/>
      <c r="S208" s="5"/>
      <c r="T208" s="5"/>
      <c r="U208" s="5"/>
      <c r="V208" s="5"/>
      <c r="W208" s="5">
        <v>0</v>
      </c>
      <c r="X208" s="5">
        <v>1</v>
      </c>
      <c r="Y208" s="5">
        <v>0</v>
      </c>
      <c r="Z208" s="5"/>
      <c r="AA208" s="5"/>
      <c r="AB208" s="5"/>
    </row>
    <row r="209" spans="1:28" x14ac:dyDescent="0.2">
      <c r="A209" s="5">
        <v>50</v>
      </c>
      <c r="B209" s="5">
        <v>0</v>
      </c>
      <c r="C209" s="5">
        <v>0</v>
      </c>
      <c r="D209" s="5">
        <v>1</v>
      </c>
      <c r="E209" s="5">
        <v>229</v>
      </c>
      <c r="F209" s="5">
        <f>ROUND(Source!AZ198,O209)</f>
        <v>0</v>
      </c>
      <c r="G209" s="5" t="s">
        <v>115</v>
      </c>
      <c r="H209" s="5" t="s">
        <v>116</v>
      </c>
      <c r="I209" s="5"/>
      <c r="J209" s="5"/>
      <c r="K209" s="5">
        <v>229</v>
      </c>
      <c r="L209" s="5">
        <v>10</v>
      </c>
      <c r="M209" s="5">
        <v>3</v>
      </c>
      <c r="N209" s="5" t="s">
        <v>3</v>
      </c>
      <c r="O209" s="5">
        <v>2</v>
      </c>
      <c r="P209" s="5"/>
      <c r="Q209" s="5"/>
      <c r="R209" s="5"/>
      <c r="S209" s="5"/>
      <c r="T209" s="5"/>
      <c r="U209" s="5"/>
      <c r="V209" s="5"/>
      <c r="W209" s="5">
        <v>0</v>
      </c>
      <c r="X209" s="5">
        <v>1</v>
      </c>
      <c r="Y209" s="5">
        <v>0</v>
      </c>
      <c r="Z209" s="5"/>
      <c r="AA209" s="5"/>
      <c r="AB209" s="5"/>
    </row>
    <row r="210" spans="1:28" x14ac:dyDescent="0.2">
      <c r="A210" s="5">
        <v>50</v>
      </c>
      <c r="B210" s="5">
        <v>0</v>
      </c>
      <c r="C210" s="5">
        <v>0</v>
      </c>
      <c r="D210" s="5">
        <v>1</v>
      </c>
      <c r="E210" s="5">
        <v>203</v>
      </c>
      <c r="F210" s="5">
        <f>ROUND(Source!Q198,O210)</f>
        <v>0</v>
      </c>
      <c r="G210" s="5" t="s">
        <v>117</v>
      </c>
      <c r="H210" s="5" t="s">
        <v>118</v>
      </c>
      <c r="I210" s="5"/>
      <c r="J210" s="5"/>
      <c r="K210" s="5">
        <v>203</v>
      </c>
      <c r="L210" s="5">
        <v>11</v>
      </c>
      <c r="M210" s="5">
        <v>3</v>
      </c>
      <c r="N210" s="5" t="s">
        <v>3</v>
      </c>
      <c r="O210" s="5">
        <v>2</v>
      </c>
      <c r="P210" s="5"/>
      <c r="Q210" s="5"/>
      <c r="R210" s="5"/>
      <c r="S210" s="5"/>
      <c r="T210" s="5"/>
      <c r="U210" s="5"/>
      <c r="V210" s="5"/>
      <c r="W210" s="5">
        <v>0</v>
      </c>
      <c r="X210" s="5">
        <v>1</v>
      </c>
      <c r="Y210" s="5">
        <v>0</v>
      </c>
      <c r="Z210" s="5"/>
      <c r="AA210" s="5"/>
      <c r="AB210" s="5"/>
    </row>
    <row r="211" spans="1:28" x14ac:dyDescent="0.2">
      <c r="A211" s="5">
        <v>50</v>
      </c>
      <c r="B211" s="5">
        <v>0</v>
      </c>
      <c r="C211" s="5">
        <v>0</v>
      </c>
      <c r="D211" s="5">
        <v>1</v>
      </c>
      <c r="E211" s="5">
        <v>231</v>
      </c>
      <c r="F211" s="5">
        <f>ROUND(Source!BB198,O211)</f>
        <v>0</v>
      </c>
      <c r="G211" s="5" t="s">
        <v>119</v>
      </c>
      <c r="H211" s="5" t="s">
        <v>120</v>
      </c>
      <c r="I211" s="5"/>
      <c r="J211" s="5"/>
      <c r="K211" s="5">
        <v>231</v>
      </c>
      <c r="L211" s="5">
        <v>12</v>
      </c>
      <c r="M211" s="5">
        <v>3</v>
      </c>
      <c r="N211" s="5" t="s">
        <v>3</v>
      </c>
      <c r="O211" s="5">
        <v>2</v>
      </c>
      <c r="P211" s="5"/>
      <c r="Q211" s="5"/>
      <c r="R211" s="5"/>
      <c r="S211" s="5"/>
      <c r="T211" s="5"/>
      <c r="U211" s="5"/>
      <c r="V211" s="5"/>
      <c r="W211" s="5">
        <v>0</v>
      </c>
      <c r="X211" s="5">
        <v>1</v>
      </c>
      <c r="Y211" s="5">
        <v>0</v>
      </c>
      <c r="Z211" s="5"/>
      <c r="AA211" s="5"/>
      <c r="AB211" s="5"/>
    </row>
    <row r="212" spans="1:28" x14ac:dyDescent="0.2">
      <c r="A212" s="5">
        <v>50</v>
      </c>
      <c r="B212" s="5">
        <v>0</v>
      </c>
      <c r="C212" s="5">
        <v>0</v>
      </c>
      <c r="D212" s="5">
        <v>1</v>
      </c>
      <c r="E212" s="5">
        <v>204</v>
      </c>
      <c r="F212" s="5">
        <f>ROUND(Source!R198,O212)</f>
        <v>0</v>
      </c>
      <c r="G212" s="5" t="s">
        <v>121</v>
      </c>
      <c r="H212" s="5" t="s">
        <v>122</v>
      </c>
      <c r="I212" s="5"/>
      <c r="J212" s="5"/>
      <c r="K212" s="5">
        <v>204</v>
      </c>
      <c r="L212" s="5">
        <v>13</v>
      </c>
      <c r="M212" s="5">
        <v>3</v>
      </c>
      <c r="N212" s="5" t="s">
        <v>3</v>
      </c>
      <c r="O212" s="5">
        <v>2</v>
      </c>
      <c r="P212" s="5"/>
      <c r="Q212" s="5"/>
      <c r="R212" s="5"/>
      <c r="S212" s="5"/>
      <c r="T212" s="5"/>
      <c r="U212" s="5"/>
      <c r="V212" s="5"/>
      <c r="W212" s="5">
        <v>0</v>
      </c>
      <c r="X212" s="5">
        <v>1</v>
      </c>
      <c r="Y212" s="5">
        <v>0</v>
      </c>
      <c r="Z212" s="5"/>
      <c r="AA212" s="5"/>
      <c r="AB212" s="5"/>
    </row>
    <row r="213" spans="1:28" x14ac:dyDescent="0.2">
      <c r="A213" s="5">
        <v>50</v>
      </c>
      <c r="B213" s="5">
        <v>0</v>
      </c>
      <c r="C213" s="5">
        <v>0</v>
      </c>
      <c r="D213" s="5">
        <v>1</v>
      </c>
      <c r="E213" s="5">
        <v>205</v>
      </c>
      <c r="F213" s="5">
        <f>ROUND(Source!S198,O213)</f>
        <v>172.5</v>
      </c>
      <c r="G213" s="5" t="s">
        <v>123</v>
      </c>
      <c r="H213" s="5" t="s">
        <v>124</v>
      </c>
      <c r="I213" s="5"/>
      <c r="J213" s="5"/>
      <c r="K213" s="5">
        <v>205</v>
      </c>
      <c r="L213" s="5">
        <v>14</v>
      </c>
      <c r="M213" s="5">
        <v>3</v>
      </c>
      <c r="N213" s="5" t="s">
        <v>3</v>
      </c>
      <c r="O213" s="5">
        <v>2</v>
      </c>
      <c r="P213" s="5"/>
      <c r="Q213" s="5"/>
      <c r="R213" s="5"/>
      <c r="S213" s="5"/>
      <c r="T213" s="5"/>
      <c r="U213" s="5"/>
      <c r="V213" s="5"/>
      <c r="W213" s="5">
        <v>172.5</v>
      </c>
      <c r="X213" s="5">
        <v>1</v>
      </c>
      <c r="Y213" s="5">
        <v>172.5</v>
      </c>
      <c r="Z213" s="5"/>
      <c r="AA213" s="5"/>
      <c r="AB213" s="5"/>
    </row>
    <row r="214" spans="1:28" x14ac:dyDescent="0.2">
      <c r="A214" s="5">
        <v>50</v>
      </c>
      <c r="B214" s="5">
        <v>0</v>
      </c>
      <c r="C214" s="5">
        <v>0</v>
      </c>
      <c r="D214" s="5">
        <v>1</v>
      </c>
      <c r="E214" s="5">
        <v>232</v>
      </c>
      <c r="F214" s="5">
        <f>ROUND(Source!BC198,O214)</f>
        <v>0</v>
      </c>
      <c r="G214" s="5" t="s">
        <v>125</v>
      </c>
      <c r="H214" s="5" t="s">
        <v>126</v>
      </c>
      <c r="I214" s="5"/>
      <c r="J214" s="5"/>
      <c r="K214" s="5">
        <v>232</v>
      </c>
      <c r="L214" s="5">
        <v>15</v>
      </c>
      <c r="M214" s="5">
        <v>3</v>
      </c>
      <c r="N214" s="5" t="s">
        <v>3</v>
      </c>
      <c r="O214" s="5">
        <v>2</v>
      </c>
      <c r="P214" s="5"/>
      <c r="Q214" s="5"/>
      <c r="R214" s="5"/>
      <c r="S214" s="5"/>
      <c r="T214" s="5"/>
      <c r="U214" s="5"/>
      <c r="V214" s="5"/>
      <c r="W214" s="5">
        <v>0</v>
      </c>
      <c r="X214" s="5">
        <v>1</v>
      </c>
      <c r="Y214" s="5">
        <v>0</v>
      </c>
      <c r="Z214" s="5"/>
      <c r="AA214" s="5"/>
      <c r="AB214" s="5"/>
    </row>
    <row r="215" spans="1:28" x14ac:dyDescent="0.2">
      <c r="A215" s="5">
        <v>50</v>
      </c>
      <c r="B215" s="5">
        <v>0</v>
      </c>
      <c r="C215" s="5">
        <v>0</v>
      </c>
      <c r="D215" s="5">
        <v>1</v>
      </c>
      <c r="E215" s="5">
        <v>214</v>
      </c>
      <c r="F215" s="5">
        <f>ROUND(Source!AS198,O215)</f>
        <v>1212.5999999999999</v>
      </c>
      <c r="G215" s="5" t="s">
        <v>127</v>
      </c>
      <c r="H215" s="5" t="s">
        <v>128</v>
      </c>
      <c r="I215" s="5"/>
      <c r="J215" s="5"/>
      <c r="K215" s="5">
        <v>214</v>
      </c>
      <c r="L215" s="5">
        <v>16</v>
      </c>
      <c r="M215" s="5">
        <v>3</v>
      </c>
      <c r="N215" s="5" t="s">
        <v>3</v>
      </c>
      <c r="O215" s="5">
        <v>2</v>
      </c>
      <c r="P215" s="5"/>
      <c r="Q215" s="5"/>
      <c r="R215" s="5"/>
      <c r="S215" s="5"/>
      <c r="T215" s="5"/>
      <c r="U215" s="5"/>
      <c r="V215" s="5"/>
      <c r="W215" s="5">
        <v>1212.5999999999999</v>
      </c>
      <c r="X215" s="5">
        <v>1</v>
      </c>
      <c r="Y215" s="5">
        <v>1212.5999999999999</v>
      </c>
      <c r="Z215" s="5"/>
      <c r="AA215" s="5"/>
      <c r="AB215" s="5"/>
    </row>
    <row r="216" spans="1:28" x14ac:dyDescent="0.2">
      <c r="A216" s="5">
        <v>50</v>
      </c>
      <c r="B216" s="5">
        <v>0</v>
      </c>
      <c r="C216" s="5">
        <v>0</v>
      </c>
      <c r="D216" s="5">
        <v>1</v>
      </c>
      <c r="E216" s="5">
        <v>215</v>
      </c>
      <c r="F216" s="5">
        <f>ROUND(Source!AT198,O216)</f>
        <v>0</v>
      </c>
      <c r="G216" s="5" t="s">
        <v>129</v>
      </c>
      <c r="H216" s="5" t="s">
        <v>130</v>
      </c>
      <c r="I216" s="5"/>
      <c r="J216" s="5"/>
      <c r="K216" s="5">
        <v>215</v>
      </c>
      <c r="L216" s="5">
        <v>17</v>
      </c>
      <c r="M216" s="5">
        <v>3</v>
      </c>
      <c r="N216" s="5" t="s">
        <v>3</v>
      </c>
      <c r="O216" s="5">
        <v>2</v>
      </c>
      <c r="P216" s="5"/>
      <c r="Q216" s="5"/>
      <c r="R216" s="5"/>
      <c r="S216" s="5"/>
      <c r="T216" s="5"/>
      <c r="U216" s="5"/>
      <c r="V216" s="5"/>
      <c r="W216" s="5">
        <v>0</v>
      </c>
      <c r="X216" s="5">
        <v>1</v>
      </c>
      <c r="Y216" s="5">
        <v>0</v>
      </c>
      <c r="Z216" s="5"/>
      <c r="AA216" s="5"/>
      <c r="AB216" s="5"/>
    </row>
    <row r="217" spans="1:28" x14ac:dyDescent="0.2">
      <c r="A217" s="5">
        <v>50</v>
      </c>
      <c r="B217" s="5">
        <v>0</v>
      </c>
      <c r="C217" s="5">
        <v>0</v>
      </c>
      <c r="D217" s="5">
        <v>1</v>
      </c>
      <c r="E217" s="5">
        <v>217</v>
      </c>
      <c r="F217" s="5">
        <f>ROUND(Source!AU198,O217)</f>
        <v>0</v>
      </c>
      <c r="G217" s="5" t="s">
        <v>131</v>
      </c>
      <c r="H217" s="5" t="s">
        <v>132</v>
      </c>
      <c r="I217" s="5"/>
      <c r="J217" s="5"/>
      <c r="K217" s="5">
        <v>217</v>
      </c>
      <c r="L217" s="5">
        <v>18</v>
      </c>
      <c r="M217" s="5">
        <v>3</v>
      </c>
      <c r="N217" s="5" t="s">
        <v>3</v>
      </c>
      <c r="O217" s="5">
        <v>2</v>
      </c>
      <c r="P217" s="5"/>
      <c r="Q217" s="5"/>
      <c r="R217" s="5"/>
      <c r="S217" s="5"/>
      <c r="T217" s="5"/>
      <c r="U217" s="5"/>
      <c r="V217" s="5"/>
      <c r="W217" s="5">
        <v>0</v>
      </c>
      <c r="X217" s="5">
        <v>1</v>
      </c>
      <c r="Y217" s="5">
        <v>0</v>
      </c>
      <c r="Z217" s="5"/>
      <c r="AA217" s="5"/>
      <c r="AB217" s="5"/>
    </row>
    <row r="218" spans="1:28" x14ac:dyDescent="0.2">
      <c r="A218" s="5">
        <v>50</v>
      </c>
      <c r="B218" s="5">
        <v>0</v>
      </c>
      <c r="C218" s="5">
        <v>0</v>
      </c>
      <c r="D218" s="5">
        <v>1</v>
      </c>
      <c r="E218" s="5">
        <v>230</v>
      </c>
      <c r="F218" s="5">
        <f>ROUND(Source!BA198,O218)</f>
        <v>0</v>
      </c>
      <c r="G218" s="5" t="s">
        <v>133</v>
      </c>
      <c r="H218" s="5" t="s">
        <v>134</v>
      </c>
      <c r="I218" s="5"/>
      <c r="J218" s="5"/>
      <c r="K218" s="5">
        <v>230</v>
      </c>
      <c r="L218" s="5">
        <v>19</v>
      </c>
      <c r="M218" s="5">
        <v>3</v>
      </c>
      <c r="N218" s="5" t="s">
        <v>3</v>
      </c>
      <c r="O218" s="5">
        <v>2</v>
      </c>
      <c r="P218" s="5"/>
      <c r="Q218" s="5"/>
      <c r="R218" s="5"/>
      <c r="S218" s="5"/>
      <c r="T218" s="5"/>
      <c r="U218" s="5"/>
      <c r="V218" s="5"/>
      <c r="W218" s="5">
        <v>0</v>
      </c>
      <c r="X218" s="5">
        <v>1</v>
      </c>
      <c r="Y218" s="5">
        <v>0</v>
      </c>
      <c r="Z218" s="5"/>
      <c r="AA218" s="5"/>
      <c r="AB218" s="5"/>
    </row>
    <row r="219" spans="1:28" x14ac:dyDescent="0.2">
      <c r="A219" s="5">
        <v>50</v>
      </c>
      <c r="B219" s="5">
        <v>0</v>
      </c>
      <c r="C219" s="5">
        <v>0</v>
      </c>
      <c r="D219" s="5">
        <v>1</v>
      </c>
      <c r="E219" s="5">
        <v>206</v>
      </c>
      <c r="F219" s="5">
        <f>ROUND(Source!T198,O219)</f>
        <v>0</v>
      </c>
      <c r="G219" s="5" t="s">
        <v>135</v>
      </c>
      <c r="H219" s="5" t="s">
        <v>136</v>
      </c>
      <c r="I219" s="5"/>
      <c r="J219" s="5"/>
      <c r="K219" s="5">
        <v>206</v>
      </c>
      <c r="L219" s="5">
        <v>20</v>
      </c>
      <c r="M219" s="5">
        <v>3</v>
      </c>
      <c r="N219" s="5" t="s">
        <v>3</v>
      </c>
      <c r="O219" s="5">
        <v>2</v>
      </c>
      <c r="P219" s="5"/>
      <c r="Q219" s="5"/>
      <c r="R219" s="5"/>
      <c r="S219" s="5"/>
      <c r="T219" s="5"/>
      <c r="U219" s="5"/>
      <c r="V219" s="5"/>
      <c r="W219" s="5">
        <v>0</v>
      </c>
      <c r="X219" s="5">
        <v>1</v>
      </c>
      <c r="Y219" s="5">
        <v>0</v>
      </c>
      <c r="Z219" s="5"/>
      <c r="AA219" s="5"/>
      <c r="AB219" s="5"/>
    </row>
    <row r="220" spans="1:28" x14ac:dyDescent="0.2">
      <c r="A220" s="5">
        <v>50</v>
      </c>
      <c r="B220" s="5">
        <v>0</v>
      </c>
      <c r="C220" s="5">
        <v>0</v>
      </c>
      <c r="D220" s="5">
        <v>1</v>
      </c>
      <c r="E220" s="5">
        <v>207</v>
      </c>
      <c r="F220" s="5">
        <f>ROUND(Source!U198,O220)</f>
        <v>0.32012400000000002</v>
      </c>
      <c r="G220" s="5" t="s">
        <v>137</v>
      </c>
      <c r="H220" s="5" t="s">
        <v>138</v>
      </c>
      <c r="I220" s="5"/>
      <c r="J220" s="5"/>
      <c r="K220" s="5">
        <v>207</v>
      </c>
      <c r="L220" s="5">
        <v>21</v>
      </c>
      <c r="M220" s="5">
        <v>3</v>
      </c>
      <c r="N220" s="5" t="s">
        <v>3</v>
      </c>
      <c r="O220" s="5">
        <v>7</v>
      </c>
      <c r="P220" s="5"/>
      <c r="Q220" s="5"/>
      <c r="R220" s="5"/>
      <c r="S220" s="5"/>
      <c r="T220" s="5"/>
      <c r="U220" s="5"/>
      <c r="V220" s="5"/>
      <c r="W220" s="5">
        <v>0.32012400000000002</v>
      </c>
      <c r="X220" s="5">
        <v>1</v>
      </c>
      <c r="Y220" s="5">
        <v>0.32012400000000002</v>
      </c>
      <c r="Z220" s="5"/>
      <c r="AA220" s="5"/>
      <c r="AB220" s="5"/>
    </row>
    <row r="221" spans="1:28" x14ac:dyDescent="0.2">
      <c r="A221" s="5">
        <v>50</v>
      </c>
      <c r="B221" s="5">
        <v>0</v>
      </c>
      <c r="C221" s="5">
        <v>0</v>
      </c>
      <c r="D221" s="5">
        <v>1</v>
      </c>
      <c r="E221" s="5">
        <v>208</v>
      </c>
      <c r="F221" s="5">
        <f>ROUND(Source!V198,O221)</f>
        <v>0</v>
      </c>
      <c r="G221" s="5" t="s">
        <v>139</v>
      </c>
      <c r="H221" s="5" t="s">
        <v>140</v>
      </c>
      <c r="I221" s="5"/>
      <c r="J221" s="5"/>
      <c r="K221" s="5">
        <v>208</v>
      </c>
      <c r="L221" s="5">
        <v>22</v>
      </c>
      <c r="M221" s="5">
        <v>3</v>
      </c>
      <c r="N221" s="5" t="s">
        <v>3</v>
      </c>
      <c r="O221" s="5">
        <v>7</v>
      </c>
      <c r="P221" s="5"/>
      <c r="Q221" s="5"/>
      <c r="R221" s="5"/>
      <c r="S221" s="5"/>
      <c r="T221" s="5"/>
      <c r="U221" s="5"/>
      <c r="V221" s="5"/>
      <c r="W221" s="5">
        <v>0</v>
      </c>
      <c r="X221" s="5">
        <v>1</v>
      </c>
      <c r="Y221" s="5">
        <v>0</v>
      </c>
      <c r="Z221" s="5"/>
      <c r="AA221" s="5"/>
      <c r="AB221" s="5"/>
    </row>
    <row r="222" spans="1:28" x14ac:dyDescent="0.2">
      <c r="A222" s="5">
        <v>50</v>
      </c>
      <c r="B222" s="5">
        <v>0</v>
      </c>
      <c r="C222" s="5">
        <v>0</v>
      </c>
      <c r="D222" s="5">
        <v>1</v>
      </c>
      <c r="E222" s="5">
        <v>209</v>
      </c>
      <c r="F222" s="5">
        <f>ROUND(Source!W198,O222)</f>
        <v>0</v>
      </c>
      <c r="G222" s="5" t="s">
        <v>141</v>
      </c>
      <c r="H222" s="5" t="s">
        <v>142</v>
      </c>
      <c r="I222" s="5"/>
      <c r="J222" s="5"/>
      <c r="K222" s="5">
        <v>209</v>
      </c>
      <c r="L222" s="5">
        <v>23</v>
      </c>
      <c r="M222" s="5">
        <v>3</v>
      </c>
      <c r="N222" s="5" t="s">
        <v>3</v>
      </c>
      <c r="O222" s="5">
        <v>2</v>
      </c>
      <c r="P222" s="5"/>
      <c r="Q222" s="5"/>
      <c r="R222" s="5"/>
      <c r="S222" s="5"/>
      <c r="T222" s="5"/>
      <c r="U222" s="5"/>
      <c r="V222" s="5"/>
      <c r="W222" s="5">
        <v>0</v>
      </c>
      <c r="X222" s="5">
        <v>1</v>
      </c>
      <c r="Y222" s="5">
        <v>0</v>
      </c>
      <c r="Z222" s="5"/>
      <c r="AA222" s="5"/>
      <c r="AB222" s="5"/>
    </row>
    <row r="223" spans="1:28" x14ac:dyDescent="0.2">
      <c r="A223" s="5">
        <v>50</v>
      </c>
      <c r="B223" s="5">
        <v>0</v>
      </c>
      <c r="C223" s="5">
        <v>0</v>
      </c>
      <c r="D223" s="5">
        <v>1</v>
      </c>
      <c r="E223" s="5">
        <v>233</v>
      </c>
      <c r="F223" s="5">
        <f>ROUND(Source!BD198,O223)</f>
        <v>630.46</v>
      </c>
      <c r="G223" s="5" t="s">
        <v>143</v>
      </c>
      <c r="H223" s="5" t="s">
        <v>144</v>
      </c>
      <c r="I223" s="5"/>
      <c r="J223" s="5"/>
      <c r="K223" s="5">
        <v>233</v>
      </c>
      <c r="L223" s="5">
        <v>24</v>
      </c>
      <c r="M223" s="5">
        <v>3</v>
      </c>
      <c r="N223" s="5" t="s">
        <v>3</v>
      </c>
      <c r="O223" s="5">
        <v>2</v>
      </c>
      <c r="P223" s="5"/>
      <c r="Q223" s="5"/>
      <c r="R223" s="5"/>
      <c r="S223" s="5"/>
      <c r="T223" s="5"/>
      <c r="U223" s="5"/>
      <c r="V223" s="5"/>
      <c r="W223" s="5">
        <v>630.46</v>
      </c>
      <c r="X223" s="5">
        <v>1</v>
      </c>
      <c r="Y223" s="5">
        <v>630.46</v>
      </c>
      <c r="Z223" s="5"/>
      <c r="AA223" s="5"/>
      <c r="AB223" s="5"/>
    </row>
    <row r="224" spans="1:28" x14ac:dyDescent="0.2">
      <c r="A224" s="5">
        <v>50</v>
      </c>
      <c r="B224" s="5">
        <v>0</v>
      </c>
      <c r="C224" s="5">
        <v>0</v>
      </c>
      <c r="D224" s="5">
        <v>1</v>
      </c>
      <c r="E224" s="5">
        <v>210</v>
      </c>
      <c r="F224" s="5">
        <f>ROUND(Source!X198,O224)</f>
        <v>158.69999999999999</v>
      </c>
      <c r="G224" s="5" t="s">
        <v>145</v>
      </c>
      <c r="H224" s="5" t="s">
        <v>146</v>
      </c>
      <c r="I224" s="5"/>
      <c r="J224" s="5"/>
      <c r="K224" s="5">
        <v>210</v>
      </c>
      <c r="L224" s="5">
        <v>25</v>
      </c>
      <c r="M224" s="5">
        <v>3</v>
      </c>
      <c r="N224" s="5" t="s">
        <v>3</v>
      </c>
      <c r="O224" s="5">
        <v>2</v>
      </c>
      <c r="P224" s="5"/>
      <c r="Q224" s="5"/>
      <c r="R224" s="5"/>
      <c r="S224" s="5"/>
      <c r="T224" s="5"/>
      <c r="U224" s="5"/>
      <c r="V224" s="5"/>
      <c r="W224" s="5">
        <v>158.69999999999999</v>
      </c>
      <c r="X224" s="5">
        <v>1</v>
      </c>
      <c r="Y224" s="5">
        <v>158.69999999999999</v>
      </c>
      <c r="Z224" s="5"/>
      <c r="AA224" s="5"/>
      <c r="AB224" s="5"/>
    </row>
    <row r="225" spans="1:206" x14ac:dyDescent="0.2">
      <c r="A225" s="5">
        <v>50</v>
      </c>
      <c r="B225" s="5">
        <v>0</v>
      </c>
      <c r="C225" s="5">
        <v>0</v>
      </c>
      <c r="D225" s="5">
        <v>1</v>
      </c>
      <c r="E225" s="5">
        <v>211</v>
      </c>
      <c r="F225" s="5">
        <f>ROUND(Source!Y198,O225)</f>
        <v>75.900000000000006</v>
      </c>
      <c r="G225" s="5" t="s">
        <v>147</v>
      </c>
      <c r="H225" s="5" t="s">
        <v>148</v>
      </c>
      <c r="I225" s="5"/>
      <c r="J225" s="5"/>
      <c r="K225" s="5">
        <v>211</v>
      </c>
      <c r="L225" s="5">
        <v>26</v>
      </c>
      <c r="M225" s="5">
        <v>3</v>
      </c>
      <c r="N225" s="5" t="s">
        <v>3</v>
      </c>
      <c r="O225" s="5">
        <v>2</v>
      </c>
      <c r="P225" s="5"/>
      <c r="Q225" s="5"/>
      <c r="R225" s="5"/>
      <c r="S225" s="5"/>
      <c r="T225" s="5"/>
      <c r="U225" s="5"/>
      <c r="V225" s="5"/>
      <c r="W225" s="5">
        <v>75.900000000000006</v>
      </c>
      <c r="X225" s="5">
        <v>1</v>
      </c>
      <c r="Y225" s="5">
        <v>75.900000000000006</v>
      </c>
      <c r="Z225" s="5"/>
      <c r="AA225" s="5"/>
      <c r="AB225" s="5"/>
    </row>
    <row r="226" spans="1:206" x14ac:dyDescent="0.2">
      <c r="A226" s="5">
        <v>50</v>
      </c>
      <c r="B226" s="5">
        <v>0</v>
      </c>
      <c r="C226" s="5">
        <v>0</v>
      </c>
      <c r="D226" s="5">
        <v>1</v>
      </c>
      <c r="E226" s="5">
        <v>224</v>
      </c>
      <c r="F226" s="5">
        <f>ROUND(Source!AR198,O226)</f>
        <v>1212.5999999999999</v>
      </c>
      <c r="G226" s="5" t="s">
        <v>149</v>
      </c>
      <c r="H226" s="5" t="s">
        <v>150</v>
      </c>
      <c r="I226" s="5"/>
      <c r="J226" s="5"/>
      <c r="K226" s="5">
        <v>224</v>
      </c>
      <c r="L226" s="5">
        <v>27</v>
      </c>
      <c r="M226" s="5">
        <v>3</v>
      </c>
      <c r="N226" s="5" t="s">
        <v>3</v>
      </c>
      <c r="O226" s="5">
        <v>2</v>
      </c>
      <c r="P226" s="5"/>
      <c r="Q226" s="5"/>
      <c r="R226" s="5"/>
      <c r="S226" s="5"/>
      <c r="T226" s="5"/>
      <c r="U226" s="5"/>
      <c r="V226" s="5"/>
      <c r="W226" s="5">
        <v>1212.5999999999999</v>
      </c>
      <c r="X226" s="5">
        <v>1</v>
      </c>
      <c r="Y226" s="5">
        <v>1212.5999999999999</v>
      </c>
      <c r="Z226" s="5"/>
      <c r="AA226" s="5"/>
      <c r="AB226" s="5"/>
    </row>
    <row r="228" spans="1:206" x14ac:dyDescent="0.2">
      <c r="A228" s="3">
        <v>51</v>
      </c>
      <c r="B228" s="3">
        <f>B20</f>
        <v>1</v>
      </c>
      <c r="C228" s="3">
        <f>A20</f>
        <v>3</v>
      </c>
      <c r="D228" s="3">
        <f>ROW(A20)</f>
        <v>20</v>
      </c>
      <c r="E228" s="3"/>
      <c r="F228" s="3" t="str">
        <f>IF(F20&lt;&gt;"",F20,"")</f>
        <v/>
      </c>
      <c r="G228" s="3" t="str">
        <f>IF(G20&lt;&gt;"",G20,"")</f>
        <v>Замена элементов систем водоснабжения, отопления и канализации с последующими ремонтно-восстановительными работами</v>
      </c>
      <c r="H228" s="3">
        <v>0</v>
      </c>
      <c r="I228" s="3"/>
      <c r="J228" s="3"/>
      <c r="K228" s="3"/>
      <c r="L228" s="3"/>
      <c r="M228" s="3"/>
      <c r="N228" s="3"/>
      <c r="O228" s="3">
        <f t="shared" ref="O228:T228" si="113">ROUND(O43+O102+O160+O198+AB228,2)</f>
        <v>284270.24</v>
      </c>
      <c r="P228" s="3">
        <f t="shared" si="113"/>
        <v>154350.04</v>
      </c>
      <c r="Q228" s="3">
        <f t="shared" si="113"/>
        <v>1294.5</v>
      </c>
      <c r="R228" s="3">
        <f t="shared" si="113"/>
        <v>666.3</v>
      </c>
      <c r="S228" s="3">
        <f t="shared" si="113"/>
        <v>127959.4</v>
      </c>
      <c r="T228" s="3">
        <f t="shared" si="113"/>
        <v>0</v>
      </c>
      <c r="U228" s="3">
        <f>U43+U102+U160+U198+AH228</f>
        <v>179.30515219999998</v>
      </c>
      <c r="V228" s="3">
        <f>V43+V102+V160+V198+AI228</f>
        <v>0.84961500000000001</v>
      </c>
      <c r="W228" s="3">
        <f>ROUND(W43+W102+W160+W198+AJ228,2)</f>
        <v>0</v>
      </c>
      <c r="X228" s="3">
        <f>ROUND(X43+X102+X160+X198+AK228,2)</f>
        <v>130134.19</v>
      </c>
      <c r="Y228" s="3">
        <f>ROUND(Y43+Y102+Y160+Y198+AL228,2)</f>
        <v>68291.259999999995</v>
      </c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>
        <f t="shared" ref="AO228:BD228" si="114">ROUND(AO43+AO102+AO160+AO198+BX228,2)</f>
        <v>0</v>
      </c>
      <c r="AP228" s="3">
        <f t="shared" si="114"/>
        <v>38280.53</v>
      </c>
      <c r="AQ228" s="3">
        <f t="shared" si="114"/>
        <v>0</v>
      </c>
      <c r="AR228" s="3">
        <f t="shared" si="114"/>
        <v>483326.15</v>
      </c>
      <c r="AS228" s="3">
        <f t="shared" si="114"/>
        <v>358004.47999999998</v>
      </c>
      <c r="AT228" s="3">
        <f t="shared" si="114"/>
        <v>87041.14</v>
      </c>
      <c r="AU228" s="3">
        <f t="shared" si="114"/>
        <v>0</v>
      </c>
      <c r="AV228" s="3">
        <f t="shared" si="114"/>
        <v>154350.04</v>
      </c>
      <c r="AW228" s="3">
        <f t="shared" si="114"/>
        <v>116069.51</v>
      </c>
      <c r="AX228" s="3">
        <f t="shared" si="114"/>
        <v>0</v>
      </c>
      <c r="AY228" s="3">
        <f t="shared" si="114"/>
        <v>116069.51</v>
      </c>
      <c r="AZ228" s="3">
        <f t="shared" si="114"/>
        <v>38280.53</v>
      </c>
      <c r="BA228" s="3">
        <f t="shared" si="114"/>
        <v>0</v>
      </c>
      <c r="BB228" s="3">
        <f t="shared" si="114"/>
        <v>0</v>
      </c>
      <c r="BC228" s="3">
        <f t="shared" si="114"/>
        <v>0</v>
      </c>
      <c r="BD228" s="3">
        <f t="shared" si="114"/>
        <v>630.46</v>
      </c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>
        <v>0</v>
      </c>
    </row>
    <row r="230" spans="1:206" x14ac:dyDescent="0.2">
      <c r="A230" s="5">
        <v>50</v>
      </c>
      <c r="B230" s="5">
        <v>0</v>
      </c>
      <c r="C230" s="5">
        <v>0</v>
      </c>
      <c r="D230" s="5">
        <v>1</v>
      </c>
      <c r="E230" s="5">
        <v>201</v>
      </c>
      <c r="F230" s="5">
        <f>ROUND(Source!O228,O230)</f>
        <v>284270.24</v>
      </c>
      <c r="G230" s="5" t="s">
        <v>97</v>
      </c>
      <c r="H230" s="5" t="s">
        <v>98</v>
      </c>
      <c r="I230" s="5"/>
      <c r="J230" s="5"/>
      <c r="K230" s="5">
        <v>201</v>
      </c>
      <c r="L230" s="5">
        <v>1</v>
      </c>
      <c r="M230" s="5">
        <v>3</v>
      </c>
      <c r="N230" s="5" t="s">
        <v>3</v>
      </c>
      <c r="O230" s="5">
        <v>2</v>
      </c>
      <c r="P230" s="5"/>
      <c r="Q230" s="5"/>
      <c r="R230" s="5"/>
      <c r="S230" s="5"/>
      <c r="T230" s="5"/>
      <c r="U230" s="5"/>
      <c r="V230" s="5"/>
      <c r="W230" s="5">
        <v>246620.16999999998</v>
      </c>
      <c r="X230" s="5">
        <v>1</v>
      </c>
      <c r="Y230" s="5">
        <v>246620.16999999998</v>
      </c>
      <c r="Z230" s="5"/>
      <c r="AA230" s="5"/>
      <c r="AB230" s="5"/>
    </row>
    <row r="231" spans="1:206" x14ac:dyDescent="0.2">
      <c r="A231" s="5">
        <v>50</v>
      </c>
      <c r="B231" s="5">
        <v>0</v>
      </c>
      <c r="C231" s="5">
        <v>0</v>
      </c>
      <c r="D231" s="5">
        <v>1</v>
      </c>
      <c r="E231" s="5">
        <v>202</v>
      </c>
      <c r="F231" s="5">
        <f>ROUND(Source!P228,O231)</f>
        <v>154350.04</v>
      </c>
      <c r="G231" s="5" t="s">
        <v>99</v>
      </c>
      <c r="H231" s="5" t="s">
        <v>100</v>
      </c>
      <c r="I231" s="5"/>
      <c r="J231" s="5"/>
      <c r="K231" s="5">
        <v>202</v>
      </c>
      <c r="L231" s="5">
        <v>2</v>
      </c>
      <c r="M231" s="5">
        <v>3</v>
      </c>
      <c r="N231" s="5" t="s">
        <v>3</v>
      </c>
      <c r="O231" s="5">
        <v>2</v>
      </c>
      <c r="P231" s="5"/>
      <c r="Q231" s="5"/>
      <c r="R231" s="5"/>
      <c r="S231" s="5"/>
      <c r="T231" s="5"/>
      <c r="U231" s="5"/>
      <c r="V231" s="5"/>
      <c r="W231" s="5">
        <v>154350.03999999998</v>
      </c>
      <c r="X231" s="5">
        <v>1</v>
      </c>
      <c r="Y231" s="5">
        <v>154350.03999999998</v>
      </c>
      <c r="Z231" s="5"/>
      <c r="AA231" s="5"/>
      <c r="AB231" s="5"/>
    </row>
    <row r="232" spans="1:206" x14ac:dyDescent="0.2">
      <c r="A232" s="5">
        <v>50</v>
      </c>
      <c r="B232" s="5">
        <v>0</v>
      </c>
      <c r="C232" s="5">
        <v>0</v>
      </c>
      <c r="D232" s="5">
        <v>1</v>
      </c>
      <c r="E232" s="5">
        <v>222</v>
      </c>
      <c r="F232" s="5">
        <f>ROUND(Source!AO228,O232)</f>
        <v>0</v>
      </c>
      <c r="G232" s="5" t="s">
        <v>101</v>
      </c>
      <c r="H232" s="5" t="s">
        <v>102</v>
      </c>
      <c r="I232" s="5"/>
      <c r="J232" s="5"/>
      <c r="K232" s="5">
        <v>222</v>
      </c>
      <c r="L232" s="5">
        <v>3</v>
      </c>
      <c r="M232" s="5">
        <v>3</v>
      </c>
      <c r="N232" s="5" t="s">
        <v>3</v>
      </c>
      <c r="O232" s="5">
        <v>2</v>
      </c>
      <c r="P232" s="5"/>
      <c r="Q232" s="5"/>
      <c r="R232" s="5"/>
      <c r="S232" s="5"/>
      <c r="T232" s="5"/>
      <c r="U232" s="5"/>
      <c r="V232" s="5"/>
      <c r="W232" s="5">
        <v>0</v>
      </c>
      <c r="X232" s="5">
        <v>1</v>
      </c>
      <c r="Y232" s="5">
        <v>0</v>
      </c>
      <c r="Z232" s="5"/>
      <c r="AA232" s="5"/>
      <c r="AB232" s="5"/>
    </row>
    <row r="233" spans="1:206" x14ac:dyDescent="0.2">
      <c r="A233" s="5">
        <v>50</v>
      </c>
      <c r="B233" s="5">
        <v>0</v>
      </c>
      <c r="C233" s="5">
        <v>0</v>
      </c>
      <c r="D233" s="5">
        <v>1</v>
      </c>
      <c r="E233" s="5">
        <v>225</v>
      </c>
      <c r="F233" s="5">
        <f>ROUND(Source!AV228,O233)</f>
        <v>154350.04</v>
      </c>
      <c r="G233" s="5" t="s">
        <v>103</v>
      </c>
      <c r="H233" s="5" t="s">
        <v>104</v>
      </c>
      <c r="I233" s="5"/>
      <c r="J233" s="5"/>
      <c r="K233" s="5">
        <v>225</v>
      </c>
      <c r="L233" s="5">
        <v>4</v>
      </c>
      <c r="M233" s="5">
        <v>3</v>
      </c>
      <c r="N233" s="5" t="s">
        <v>3</v>
      </c>
      <c r="O233" s="5">
        <v>2</v>
      </c>
      <c r="P233" s="5"/>
      <c r="Q233" s="5"/>
      <c r="R233" s="5"/>
      <c r="S233" s="5"/>
      <c r="T233" s="5"/>
      <c r="U233" s="5"/>
      <c r="V233" s="5"/>
      <c r="W233" s="5">
        <v>154350.04</v>
      </c>
      <c r="X233" s="5">
        <v>1</v>
      </c>
      <c r="Y233" s="5">
        <v>154350.04</v>
      </c>
      <c r="Z233" s="5"/>
      <c r="AA233" s="5"/>
      <c r="AB233" s="5"/>
    </row>
    <row r="234" spans="1:206" x14ac:dyDescent="0.2">
      <c r="A234" s="5">
        <v>50</v>
      </c>
      <c r="B234" s="5">
        <v>0</v>
      </c>
      <c r="C234" s="5">
        <v>0</v>
      </c>
      <c r="D234" s="5">
        <v>1</v>
      </c>
      <c r="E234" s="5">
        <v>226</v>
      </c>
      <c r="F234" s="5">
        <f>ROUND(Source!AW228,O234)</f>
        <v>116069.51</v>
      </c>
      <c r="G234" s="5" t="s">
        <v>105</v>
      </c>
      <c r="H234" s="5" t="s">
        <v>106</v>
      </c>
      <c r="I234" s="5"/>
      <c r="J234" s="5"/>
      <c r="K234" s="5">
        <v>226</v>
      </c>
      <c r="L234" s="5">
        <v>5</v>
      </c>
      <c r="M234" s="5">
        <v>3</v>
      </c>
      <c r="N234" s="5" t="s">
        <v>3</v>
      </c>
      <c r="O234" s="5">
        <v>2</v>
      </c>
      <c r="P234" s="5"/>
      <c r="Q234" s="5"/>
      <c r="R234" s="5"/>
      <c r="S234" s="5"/>
      <c r="T234" s="5"/>
      <c r="U234" s="5"/>
      <c r="V234" s="5"/>
      <c r="W234" s="5">
        <v>116069.51</v>
      </c>
      <c r="X234" s="5">
        <v>1</v>
      </c>
      <c r="Y234" s="5">
        <v>116069.51</v>
      </c>
      <c r="Z234" s="5"/>
      <c r="AA234" s="5"/>
      <c r="AB234" s="5"/>
    </row>
    <row r="235" spans="1:206" x14ac:dyDescent="0.2">
      <c r="A235" s="5">
        <v>50</v>
      </c>
      <c r="B235" s="5">
        <v>0</v>
      </c>
      <c r="C235" s="5">
        <v>0</v>
      </c>
      <c r="D235" s="5">
        <v>1</v>
      </c>
      <c r="E235" s="5">
        <v>227</v>
      </c>
      <c r="F235" s="5">
        <f>ROUND(Source!AX228,O235)</f>
        <v>0</v>
      </c>
      <c r="G235" s="5" t="s">
        <v>107</v>
      </c>
      <c r="H235" s="5" t="s">
        <v>108</v>
      </c>
      <c r="I235" s="5"/>
      <c r="J235" s="5"/>
      <c r="K235" s="5">
        <v>227</v>
      </c>
      <c r="L235" s="5">
        <v>6</v>
      </c>
      <c r="M235" s="5">
        <v>3</v>
      </c>
      <c r="N235" s="5" t="s">
        <v>3</v>
      </c>
      <c r="O235" s="5">
        <v>2</v>
      </c>
      <c r="P235" s="5"/>
      <c r="Q235" s="5"/>
      <c r="R235" s="5"/>
      <c r="S235" s="5"/>
      <c r="T235" s="5"/>
      <c r="U235" s="5"/>
      <c r="V235" s="5"/>
      <c r="W235" s="5">
        <v>0</v>
      </c>
      <c r="X235" s="5">
        <v>1</v>
      </c>
      <c r="Y235" s="5">
        <v>0</v>
      </c>
      <c r="Z235" s="5"/>
      <c r="AA235" s="5"/>
      <c r="AB235" s="5"/>
    </row>
    <row r="236" spans="1:206" x14ac:dyDescent="0.2">
      <c r="A236" s="5">
        <v>50</v>
      </c>
      <c r="B236" s="5">
        <v>0</v>
      </c>
      <c r="C236" s="5">
        <v>0</v>
      </c>
      <c r="D236" s="5">
        <v>1</v>
      </c>
      <c r="E236" s="5">
        <v>228</v>
      </c>
      <c r="F236" s="5">
        <f>ROUND(Source!AY228,O236)</f>
        <v>116069.51</v>
      </c>
      <c r="G236" s="5" t="s">
        <v>109</v>
      </c>
      <c r="H236" s="5" t="s">
        <v>110</v>
      </c>
      <c r="I236" s="5"/>
      <c r="J236" s="5"/>
      <c r="K236" s="5">
        <v>228</v>
      </c>
      <c r="L236" s="5">
        <v>7</v>
      </c>
      <c r="M236" s="5">
        <v>3</v>
      </c>
      <c r="N236" s="5" t="s">
        <v>3</v>
      </c>
      <c r="O236" s="5">
        <v>2</v>
      </c>
      <c r="P236" s="5"/>
      <c r="Q236" s="5"/>
      <c r="R236" s="5"/>
      <c r="S236" s="5"/>
      <c r="T236" s="5"/>
      <c r="U236" s="5"/>
      <c r="V236" s="5"/>
      <c r="W236" s="5">
        <v>116069.51</v>
      </c>
      <c r="X236" s="5">
        <v>1</v>
      </c>
      <c r="Y236" s="5">
        <v>116069.51</v>
      </c>
      <c r="Z236" s="5"/>
      <c r="AA236" s="5"/>
      <c r="AB236" s="5"/>
    </row>
    <row r="237" spans="1:206" x14ac:dyDescent="0.2">
      <c r="A237" s="5">
        <v>50</v>
      </c>
      <c r="B237" s="5">
        <v>0</v>
      </c>
      <c r="C237" s="5">
        <v>0</v>
      </c>
      <c r="D237" s="5">
        <v>1</v>
      </c>
      <c r="E237" s="5">
        <v>216</v>
      </c>
      <c r="F237" s="5">
        <f>ROUND(Source!AP228,O237)</f>
        <v>38280.53</v>
      </c>
      <c r="G237" s="5" t="s">
        <v>111</v>
      </c>
      <c r="H237" s="5" t="s">
        <v>112</v>
      </c>
      <c r="I237" s="5"/>
      <c r="J237" s="5"/>
      <c r="K237" s="5">
        <v>216</v>
      </c>
      <c r="L237" s="5">
        <v>8</v>
      </c>
      <c r="M237" s="5">
        <v>3</v>
      </c>
      <c r="N237" s="5" t="s">
        <v>3</v>
      </c>
      <c r="O237" s="5">
        <v>2</v>
      </c>
      <c r="P237" s="5"/>
      <c r="Q237" s="5"/>
      <c r="R237" s="5"/>
      <c r="S237" s="5"/>
      <c r="T237" s="5"/>
      <c r="U237" s="5"/>
      <c r="V237" s="5"/>
      <c r="W237" s="5">
        <v>38280.53</v>
      </c>
      <c r="X237" s="5">
        <v>1</v>
      </c>
      <c r="Y237" s="5">
        <v>38280.53</v>
      </c>
      <c r="Z237" s="5"/>
      <c r="AA237" s="5"/>
      <c r="AB237" s="5"/>
    </row>
    <row r="238" spans="1:206" x14ac:dyDescent="0.2">
      <c r="A238" s="5">
        <v>50</v>
      </c>
      <c r="B238" s="5">
        <v>0</v>
      </c>
      <c r="C238" s="5">
        <v>0</v>
      </c>
      <c r="D238" s="5">
        <v>1</v>
      </c>
      <c r="E238" s="5">
        <v>223</v>
      </c>
      <c r="F238" s="5">
        <f>ROUND(Source!AQ228,O238)</f>
        <v>0</v>
      </c>
      <c r="G238" s="5" t="s">
        <v>113</v>
      </c>
      <c r="H238" s="5" t="s">
        <v>114</v>
      </c>
      <c r="I238" s="5"/>
      <c r="J238" s="5"/>
      <c r="K238" s="5">
        <v>223</v>
      </c>
      <c r="L238" s="5">
        <v>9</v>
      </c>
      <c r="M238" s="5">
        <v>3</v>
      </c>
      <c r="N238" s="5" t="s">
        <v>3</v>
      </c>
      <c r="O238" s="5">
        <v>2</v>
      </c>
      <c r="P238" s="5"/>
      <c r="Q238" s="5"/>
      <c r="R238" s="5"/>
      <c r="S238" s="5"/>
      <c r="T238" s="5"/>
      <c r="U238" s="5"/>
      <c r="V238" s="5"/>
      <c r="W238" s="5">
        <v>0</v>
      </c>
      <c r="X238" s="5">
        <v>1</v>
      </c>
      <c r="Y238" s="5">
        <v>0</v>
      </c>
      <c r="Z238" s="5"/>
      <c r="AA238" s="5"/>
      <c r="AB238" s="5"/>
    </row>
    <row r="239" spans="1:206" x14ac:dyDescent="0.2">
      <c r="A239" s="5">
        <v>50</v>
      </c>
      <c r="B239" s="5">
        <v>0</v>
      </c>
      <c r="C239" s="5">
        <v>0</v>
      </c>
      <c r="D239" s="5">
        <v>1</v>
      </c>
      <c r="E239" s="5">
        <v>229</v>
      </c>
      <c r="F239" s="5">
        <f>ROUND(Source!AZ228,O239)</f>
        <v>38280.53</v>
      </c>
      <c r="G239" s="5" t="s">
        <v>115</v>
      </c>
      <c r="H239" s="5" t="s">
        <v>116</v>
      </c>
      <c r="I239" s="5"/>
      <c r="J239" s="5"/>
      <c r="K239" s="5">
        <v>229</v>
      </c>
      <c r="L239" s="5">
        <v>10</v>
      </c>
      <c r="M239" s="5">
        <v>3</v>
      </c>
      <c r="N239" s="5" t="s">
        <v>3</v>
      </c>
      <c r="O239" s="5">
        <v>2</v>
      </c>
      <c r="P239" s="5"/>
      <c r="Q239" s="5"/>
      <c r="R239" s="5"/>
      <c r="S239" s="5"/>
      <c r="T239" s="5"/>
      <c r="U239" s="5"/>
      <c r="V239" s="5"/>
      <c r="W239" s="5">
        <v>38280.53</v>
      </c>
      <c r="X239" s="5">
        <v>1</v>
      </c>
      <c r="Y239" s="5">
        <v>38280.53</v>
      </c>
      <c r="Z239" s="5"/>
      <c r="AA239" s="5"/>
      <c r="AB239" s="5"/>
    </row>
    <row r="240" spans="1:206" x14ac:dyDescent="0.2">
      <c r="A240" s="5">
        <v>50</v>
      </c>
      <c r="B240" s="5">
        <v>0</v>
      </c>
      <c r="C240" s="5">
        <v>0</v>
      </c>
      <c r="D240" s="5">
        <v>1</v>
      </c>
      <c r="E240" s="5">
        <v>203</v>
      </c>
      <c r="F240" s="5">
        <f>ROUND(Source!Q228,O240)</f>
        <v>1294.5</v>
      </c>
      <c r="G240" s="5" t="s">
        <v>117</v>
      </c>
      <c r="H240" s="5" t="s">
        <v>118</v>
      </c>
      <c r="I240" s="5"/>
      <c r="J240" s="5"/>
      <c r="K240" s="5">
        <v>203</v>
      </c>
      <c r="L240" s="5">
        <v>11</v>
      </c>
      <c r="M240" s="5">
        <v>3</v>
      </c>
      <c r="N240" s="5" t="s">
        <v>3</v>
      </c>
      <c r="O240" s="5">
        <v>2</v>
      </c>
      <c r="P240" s="5"/>
      <c r="Q240" s="5"/>
      <c r="R240" s="5"/>
      <c r="S240" s="5"/>
      <c r="T240" s="5"/>
      <c r="U240" s="5"/>
      <c r="V240" s="5"/>
      <c r="W240" s="5">
        <v>1294.5</v>
      </c>
      <c r="X240" s="5">
        <v>1</v>
      </c>
      <c r="Y240" s="5">
        <v>1294.5</v>
      </c>
      <c r="Z240" s="5"/>
      <c r="AA240" s="5"/>
      <c r="AB240" s="5"/>
    </row>
    <row r="241" spans="1:28" x14ac:dyDescent="0.2">
      <c r="A241" s="5">
        <v>50</v>
      </c>
      <c r="B241" s="5">
        <v>0</v>
      </c>
      <c r="C241" s="5">
        <v>0</v>
      </c>
      <c r="D241" s="5">
        <v>1</v>
      </c>
      <c r="E241" s="5">
        <v>231</v>
      </c>
      <c r="F241" s="5">
        <f>ROUND(Source!BB228,O241)</f>
        <v>0</v>
      </c>
      <c r="G241" s="5" t="s">
        <v>119</v>
      </c>
      <c r="H241" s="5" t="s">
        <v>120</v>
      </c>
      <c r="I241" s="5"/>
      <c r="J241" s="5"/>
      <c r="K241" s="5">
        <v>231</v>
      </c>
      <c r="L241" s="5">
        <v>12</v>
      </c>
      <c r="M241" s="5">
        <v>3</v>
      </c>
      <c r="N241" s="5" t="s">
        <v>3</v>
      </c>
      <c r="O241" s="5">
        <v>2</v>
      </c>
      <c r="P241" s="5"/>
      <c r="Q241" s="5"/>
      <c r="R241" s="5"/>
      <c r="S241" s="5"/>
      <c r="T241" s="5"/>
      <c r="U241" s="5"/>
      <c r="V241" s="5"/>
      <c r="W241" s="5">
        <v>0</v>
      </c>
      <c r="X241" s="5">
        <v>1</v>
      </c>
      <c r="Y241" s="5">
        <v>0</v>
      </c>
      <c r="Z241" s="5"/>
      <c r="AA241" s="5"/>
      <c r="AB241" s="5"/>
    </row>
    <row r="242" spans="1:28" x14ac:dyDescent="0.2">
      <c r="A242" s="5">
        <v>50</v>
      </c>
      <c r="B242" s="5">
        <v>0</v>
      </c>
      <c r="C242" s="5">
        <v>0</v>
      </c>
      <c r="D242" s="5">
        <v>1</v>
      </c>
      <c r="E242" s="5">
        <v>204</v>
      </c>
      <c r="F242" s="5">
        <f>ROUND(Source!R228,O242)</f>
        <v>666.3</v>
      </c>
      <c r="G242" s="5" t="s">
        <v>121</v>
      </c>
      <c r="H242" s="5" t="s">
        <v>122</v>
      </c>
      <c r="I242" s="5"/>
      <c r="J242" s="5"/>
      <c r="K242" s="5">
        <v>204</v>
      </c>
      <c r="L242" s="5">
        <v>13</v>
      </c>
      <c r="M242" s="5">
        <v>3</v>
      </c>
      <c r="N242" s="5" t="s">
        <v>3</v>
      </c>
      <c r="O242" s="5">
        <v>2</v>
      </c>
      <c r="P242" s="5"/>
      <c r="Q242" s="5"/>
      <c r="R242" s="5"/>
      <c r="S242" s="5"/>
      <c r="T242" s="5"/>
      <c r="U242" s="5"/>
      <c r="V242" s="5"/>
      <c r="W242" s="5">
        <v>666.3</v>
      </c>
      <c r="X242" s="5">
        <v>1</v>
      </c>
      <c r="Y242" s="5">
        <v>666.3</v>
      </c>
      <c r="Z242" s="5"/>
      <c r="AA242" s="5"/>
      <c r="AB242" s="5"/>
    </row>
    <row r="243" spans="1:28" x14ac:dyDescent="0.2">
      <c r="A243" s="5">
        <v>50</v>
      </c>
      <c r="B243" s="5">
        <v>0</v>
      </c>
      <c r="C243" s="5">
        <v>0</v>
      </c>
      <c r="D243" s="5">
        <v>1</v>
      </c>
      <c r="E243" s="5">
        <v>205</v>
      </c>
      <c r="F243" s="5">
        <f>ROUND(Source!S228,O243)</f>
        <v>127959.4</v>
      </c>
      <c r="G243" s="5" t="s">
        <v>123</v>
      </c>
      <c r="H243" s="5" t="s">
        <v>124</v>
      </c>
      <c r="I243" s="5"/>
      <c r="J243" s="5"/>
      <c r="K243" s="5">
        <v>205</v>
      </c>
      <c r="L243" s="5">
        <v>14</v>
      </c>
      <c r="M243" s="5">
        <v>3</v>
      </c>
      <c r="N243" s="5" t="s">
        <v>3</v>
      </c>
      <c r="O243" s="5">
        <v>2</v>
      </c>
      <c r="P243" s="5"/>
      <c r="Q243" s="5"/>
      <c r="R243" s="5"/>
      <c r="S243" s="5"/>
      <c r="T243" s="5"/>
      <c r="U243" s="5"/>
      <c r="V243" s="5"/>
      <c r="W243" s="5">
        <v>127959.4</v>
      </c>
      <c r="X243" s="5">
        <v>1</v>
      </c>
      <c r="Y243" s="5">
        <v>127959.4</v>
      </c>
      <c r="Z243" s="5"/>
      <c r="AA243" s="5"/>
      <c r="AB243" s="5"/>
    </row>
    <row r="244" spans="1:28" x14ac:dyDescent="0.2">
      <c r="A244" s="5">
        <v>50</v>
      </c>
      <c r="B244" s="5">
        <v>0</v>
      </c>
      <c r="C244" s="5">
        <v>0</v>
      </c>
      <c r="D244" s="5">
        <v>1</v>
      </c>
      <c r="E244" s="5">
        <v>232</v>
      </c>
      <c r="F244" s="5">
        <f>ROUND(Source!BC228,O244)</f>
        <v>0</v>
      </c>
      <c r="G244" s="5" t="s">
        <v>125</v>
      </c>
      <c r="H244" s="5" t="s">
        <v>126</v>
      </c>
      <c r="I244" s="5"/>
      <c r="J244" s="5"/>
      <c r="K244" s="5">
        <v>232</v>
      </c>
      <c r="L244" s="5">
        <v>15</v>
      </c>
      <c r="M244" s="5">
        <v>3</v>
      </c>
      <c r="N244" s="5" t="s">
        <v>3</v>
      </c>
      <c r="O244" s="5">
        <v>2</v>
      </c>
      <c r="P244" s="5"/>
      <c r="Q244" s="5"/>
      <c r="R244" s="5"/>
      <c r="S244" s="5"/>
      <c r="T244" s="5"/>
      <c r="U244" s="5"/>
      <c r="V244" s="5"/>
      <c r="W244" s="5">
        <v>0</v>
      </c>
      <c r="X244" s="5">
        <v>1</v>
      </c>
      <c r="Y244" s="5">
        <v>0</v>
      </c>
      <c r="Z244" s="5"/>
      <c r="AA244" s="5"/>
      <c r="AB244" s="5"/>
    </row>
    <row r="245" spans="1:28" x14ac:dyDescent="0.2">
      <c r="A245" s="5">
        <v>50</v>
      </c>
      <c r="B245" s="5">
        <v>0</v>
      </c>
      <c r="C245" s="5">
        <v>0</v>
      </c>
      <c r="D245" s="5">
        <v>1</v>
      </c>
      <c r="E245" s="5">
        <v>214</v>
      </c>
      <c r="F245" s="5">
        <f>ROUND(Source!AS228,O245)</f>
        <v>358004.47999999998</v>
      </c>
      <c r="G245" s="5" t="s">
        <v>127</v>
      </c>
      <c r="H245" s="5" t="s">
        <v>128</v>
      </c>
      <c r="I245" s="5"/>
      <c r="J245" s="5"/>
      <c r="K245" s="5">
        <v>214</v>
      </c>
      <c r="L245" s="5">
        <v>16</v>
      </c>
      <c r="M245" s="5">
        <v>3</v>
      </c>
      <c r="N245" s="5" t="s">
        <v>3</v>
      </c>
      <c r="O245" s="5">
        <v>2</v>
      </c>
      <c r="P245" s="5"/>
      <c r="Q245" s="5"/>
      <c r="R245" s="5"/>
      <c r="S245" s="5"/>
      <c r="T245" s="5"/>
      <c r="U245" s="5"/>
      <c r="V245" s="5"/>
      <c r="W245" s="5">
        <v>358004.47999999998</v>
      </c>
      <c r="X245" s="5">
        <v>1</v>
      </c>
      <c r="Y245" s="5">
        <v>358004.47999999998</v>
      </c>
      <c r="Z245" s="5"/>
      <c r="AA245" s="5"/>
      <c r="AB245" s="5"/>
    </row>
    <row r="246" spans="1:28" x14ac:dyDescent="0.2">
      <c r="A246" s="5">
        <v>50</v>
      </c>
      <c r="B246" s="5">
        <v>0</v>
      </c>
      <c r="C246" s="5">
        <v>0</v>
      </c>
      <c r="D246" s="5">
        <v>1</v>
      </c>
      <c r="E246" s="5">
        <v>215</v>
      </c>
      <c r="F246" s="5">
        <f>ROUND(Source!AT228,O246)</f>
        <v>87041.14</v>
      </c>
      <c r="G246" s="5" t="s">
        <v>129</v>
      </c>
      <c r="H246" s="5" t="s">
        <v>130</v>
      </c>
      <c r="I246" s="5"/>
      <c r="J246" s="5"/>
      <c r="K246" s="5">
        <v>215</v>
      </c>
      <c r="L246" s="5">
        <v>17</v>
      </c>
      <c r="M246" s="5">
        <v>3</v>
      </c>
      <c r="N246" s="5" t="s">
        <v>3</v>
      </c>
      <c r="O246" s="5">
        <v>2</v>
      </c>
      <c r="P246" s="5"/>
      <c r="Q246" s="5"/>
      <c r="R246" s="5"/>
      <c r="S246" s="5"/>
      <c r="T246" s="5"/>
      <c r="U246" s="5"/>
      <c r="V246" s="5"/>
      <c r="W246" s="5">
        <v>87041.14</v>
      </c>
      <c r="X246" s="5">
        <v>1</v>
      </c>
      <c r="Y246" s="5">
        <v>87041.14</v>
      </c>
      <c r="Z246" s="5"/>
      <c r="AA246" s="5"/>
      <c r="AB246" s="5"/>
    </row>
    <row r="247" spans="1:28" x14ac:dyDescent="0.2">
      <c r="A247" s="5">
        <v>50</v>
      </c>
      <c r="B247" s="5">
        <v>0</v>
      </c>
      <c r="C247" s="5">
        <v>0</v>
      </c>
      <c r="D247" s="5">
        <v>1</v>
      </c>
      <c r="E247" s="5">
        <v>217</v>
      </c>
      <c r="F247" s="5">
        <f>ROUND(Source!AU228,O247)</f>
        <v>0</v>
      </c>
      <c r="G247" s="5" t="s">
        <v>131</v>
      </c>
      <c r="H247" s="5" t="s">
        <v>132</v>
      </c>
      <c r="I247" s="5"/>
      <c r="J247" s="5"/>
      <c r="K247" s="5">
        <v>217</v>
      </c>
      <c r="L247" s="5">
        <v>18</v>
      </c>
      <c r="M247" s="5">
        <v>3</v>
      </c>
      <c r="N247" s="5" t="s">
        <v>3</v>
      </c>
      <c r="O247" s="5">
        <v>2</v>
      </c>
      <c r="P247" s="5"/>
      <c r="Q247" s="5"/>
      <c r="R247" s="5"/>
      <c r="S247" s="5"/>
      <c r="T247" s="5"/>
      <c r="U247" s="5"/>
      <c r="V247" s="5"/>
      <c r="W247" s="5">
        <v>0</v>
      </c>
      <c r="X247" s="5">
        <v>1</v>
      </c>
      <c r="Y247" s="5">
        <v>0</v>
      </c>
      <c r="Z247" s="5"/>
      <c r="AA247" s="5"/>
      <c r="AB247" s="5"/>
    </row>
    <row r="248" spans="1:28" x14ac:dyDescent="0.2">
      <c r="A248" s="5">
        <v>50</v>
      </c>
      <c r="B248" s="5">
        <v>0</v>
      </c>
      <c r="C248" s="5">
        <v>0</v>
      </c>
      <c r="D248" s="5">
        <v>1</v>
      </c>
      <c r="E248" s="5">
        <v>230</v>
      </c>
      <c r="F248" s="5">
        <f>ROUND(Source!BA228,O248)</f>
        <v>0</v>
      </c>
      <c r="G248" s="5" t="s">
        <v>133</v>
      </c>
      <c r="H248" s="5" t="s">
        <v>134</v>
      </c>
      <c r="I248" s="5"/>
      <c r="J248" s="5"/>
      <c r="K248" s="5">
        <v>230</v>
      </c>
      <c r="L248" s="5">
        <v>19</v>
      </c>
      <c r="M248" s="5">
        <v>3</v>
      </c>
      <c r="N248" s="5" t="s">
        <v>3</v>
      </c>
      <c r="O248" s="5">
        <v>2</v>
      </c>
      <c r="P248" s="5"/>
      <c r="Q248" s="5"/>
      <c r="R248" s="5"/>
      <c r="S248" s="5"/>
      <c r="T248" s="5"/>
      <c r="U248" s="5"/>
      <c r="V248" s="5"/>
      <c r="W248" s="5">
        <v>0</v>
      </c>
      <c r="X248" s="5">
        <v>1</v>
      </c>
      <c r="Y248" s="5">
        <v>0</v>
      </c>
      <c r="Z248" s="5"/>
      <c r="AA248" s="5"/>
      <c r="AB248" s="5"/>
    </row>
    <row r="249" spans="1:28" x14ac:dyDescent="0.2">
      <c r="A249" s="5">
        <v>50</v>
      </c>
      <c r="B249" s="5">
        <v>0</v>
      </c>
      <c r="C249" s="5">
        <v>0</v>
      </c>
      <c r="D249" s="5">
        <v>1</v>
      </c>
      <c r="E249" s="5">
        <v>206</v>
      </c>
      <c r="F249" s="5">
        <f>ROUND(Source!T228,O249)</f>
        <v>0</v>
      </c>
      <c r="G249" s="5" t="s">
        <v>135</v>
      </c>
      <c r="H249" s="5" t="s">
        <v>136</v>
      </c>
      <c r="I249" s="5"/>
      <c r="J249" s="5"/>
      <c r="K249" s="5">
        <v>206</v>
      </c>
      <c r="L249" s="5">
        <v>20</v>
      </c>
      <c r="M249" s="5">
        <v>3</v>
      </c>
      <c r="N249" s="5" t="s">
        <v>3</v>
      </c>
      <c r="O249" s="5">
        <v>2</v>
      </c>
      <c r="P249" s="5"/>
      <c r="Q249" s="5"/>
      <c r="R249" s="5"/>
      <c r="S249" s="5"/>
      <c r="T249" s="5"/>
      <c r="U249" s="5"/>
      <c r="V249" s="5"/>
      <c r="W249" s="5">
        <v>0</v>
      </c>
      <c r="X249" s="5">
        <v>1</v>
      </c>
      <c r="Y249" s="5">
        <v>0</v>
      </c>
      <c r="Z249" s="5"/>
      <c r="AA249" s="5"/>
      <c r="AB249" s="5"/>
    </row>
    <row r="250" spans="1:28" x14ac:dyDescent="0.2">
      <c r="A250" s="5">
        <v>50</v>
      </c>
      <c r="B250" s="5">
        <v>0</v>
      </c>
      <c r="C250" s="5">
        <v>0</v>
      </c>
      <c r="D250" s="5">
        <v>1</v>
      </c>
      <c r="E250" s="5">
        <v>207</v>
      </c>
      <c r="F250" s="5">
        <f>ROUND(Source!U228,O250)</f>
        <v>179.30515220000001</v>
      </c>
      <c r="G250" s="5" t="s">
        <v>137</v>
      </c>
      <c r="H250" s="5" t="s">
        <v>138</v>
      </c>
      <c r="I250" s="5"/>
      <c r="J250" s="5"/>
      <c r="K250" s="5">
        <v>207</v>
      </c>
      <c r="L250" s="5">
        <v>21</v>
      </c>
      <c r="M250" s="5">
        <v>3</v>
      </c>
      <c r="N250" s="5" t="s">
        <v>3</v>
      </c>
      <c r="O250" s="5">
        <v>7</v>
      </c>
      <c r="P250" s="5"/>
      <c r="Q250" s="5"/>
      <c r="R250" s="5"/>
      <c r="S250" s="5"/>
      <c r="T250" s="5"/>
      <c r="U250" s="5"/>
      <c r="V250" s="5"/>
      <c r="W250" s="5">
        <v>179.30515220000001</v>
      </c>
      <c r="X250" s="5">
        <v>1</v>
      </c>
      <c r="Y250" s="5">
        <v>179.30515220000001</v>
      </c>
      <c r="Z250" s="5"/>
      <c r="AA250" s="5"/>
      <c r="AB250" s="5"/>
    </row>
    <row r="251" spans="1:28" x14ac:dyDescent="0.2">
      <c r="A251" s="5">
        <v>50</v>
      </c>
      <c r="B251" s="5">
        <v>0</v>
      </c>
      <c r="C251" s="5">
        <v>0</v>
      </c>
      <c r="D251" s="5">
        <v>1</v>
      </c>
      <c r="E251" s="5">
        <v>208</v>
      </c>
      <c r="F251" s="5">
        <f>ROUND(Source!V228,O251)</f>
        <v>0.84961500000000001</v>
      </c>
      <c r="G251" s="5" t="s">
        <v>139</v>
      </c>
      <c r="H251" s="5" t="s">
        <v>140</v>
      </c>
      <c r="I251" s="5"/>
      <c r="J251" s="5"/>
      <c r="K251" s="5">
        <v>208</v>
      </c>
      <c r="L251" s="5">
        <v>22</v>
      </c>
      <c r="M251" s="5">
        <v>3</v>
      </c>
      <c r="N251" s="5" t="s">
        <v>3</v>
      </c>
      <c r="O251" s="5">
        <v>7</v>
      </c>
      <c r="P251" s="5"/>
      <c r="Q251" s="5"/>
      <c r="R251" s="5"/>
      <c r="S251" s="5"/>
      <c r="T251" s="5"/>
      <c r="U251" s="5"/>
      <c r="V251" s="5"/>
      <c r="W251" s="5">
        <v>0.84961500000000001</v>
      </c>
      <c r="X251" s="5">
        <v>1</v>
      </c>
      <c r="Y251" s="5">
        <v>0.84961500000000001</v>
      </c>
      <c r="Z251" s="5"/>
      <c r="AA251" s="5"/>
      <c r="AB251" s="5"/>
    </row>
    <row r="252" spans="1:28" x14ac:dyDescent="0.2">
      <c r="A252" s="5">
        <v>50</v>
      </c>
      <c r="B252" s="5">
        <v>0</v>
      </c>
      <c r="C252" s="5">
        <v>0</v>
      </c>
      <c r="D252" s="5">
        <v>1</v>
      </c>
      <c r="E252" s="5">
        <v>209</v>
      </c>
      <c r="F252" s="5">
        <f>ROUND(Source!W228,O252)</f>
        <v>0</v>
      </c>
      <c r="G252" s="5" t="s">
        <v>141</v>
      </c>
      <c r="H252" s="5" t="s">
        <v>142</v>
      </c>
      <c r="I252" s="5"/>
      <c r="J252" s="5"/>
      <c r="K252" s="5">
        <v>209</v>
      </c>
      <c r="L252" s="5">
        <v>23</v>
      </c>
      <c r="M252" s="5">
        <v>3</v>
      </c>
      <c r="N252" s="5" t="s">
        <v>3</v>
      </c>
      <c r="O252" s="5">
        <v>2</v>
      </c>
      <c r="P252" s="5"/>
      <c r="Q252" s="5"/>
      <c r="R252" s="5"/>
      <c r="S252" s="5"/>
      <c r="T252" s="5"/>
      <c r="U252" s="5"/>
      <c r="V252" s="5"/>
      <c r="W252" s="5">
        <v>0</v>
      </c>
      <c r="X252" s="5">
        <v>1</v>
      </c>
      <c r="Y252" s="5">
        <v>0</v>
      </c>
      <c r="Z252" s="5"/>
      <c r="AA252" s="5"/>
      <c r="AB252" s="5"/>
    </row>
    <row r="253" spans="1:28" x14ac:dyDescent="0.2">
      <c r="A253" s="5">
        <v>50</v>
      </c>
      <c r="B253" s="5">
        <v>0</v>
      </c>
      <c r="C253" s="5">
        <v>0</v>
      </c>
      <c r="D253" s="5">
        <v>1</v>
      </c>
      <c r="E253" s="5">
        <v>233</v>
      </c>
      <c r="F253" s="5">
        <f>ROUND(Source!BD228,O253)</f>
        <v>630.46</v>
      </c>
      <c r="G253" s="5" t="s">
        <v>143</v>
      </c>
      <c r="H253" s="5" t="s">
        <v>144</v>
      </c>
      <c r="I253" s="5"/>
      <c r="J253" s="5"/>
      <c r="K253" s="5">
        <v>233</v>
      </c>
      <c r="L253" s="5">
        <v>24</v>
      </c>
      <c r="M253" s="5">
        <v>3</v>
      </c>
      <c r="N253" s="5" t="s">
        <v>3</v>
      </c>
      <c r="O253" s="5">
        <v>2</v>
      </c>
      <c r="P253" s="5"/>
      <c r="Q253" s="5"/>
      <c r="R253" s="5"/>
      <c r="S253" s="5"/>
      <c r="T253" s="5"/>
      <c r="U253" s="5"/>
      <c r="V253" s="5"/>
      <c r="W253" s="5">
        <v>630.46</v>
      </c>
      <c r="X253" s="5">
        <v>1</v>
      </c>
      <c r="Y253" s="5">
        <v>630.46</v>
      </c>
      <c r="Z253" s="5"/>
      <c r="AA253" s="5"/>
      <c r="AB253" s="5"/>
    </row>
    <row r="254" spans="1:28" x14ac:dyDescent="0.2">
      <c r="A254" s="5">
        <v>50</v>
      </c>
      <c r="B254" s="5">
        <v>0</v>
      </c>
      <c r="C254" s="5">
        <v>0</v>
      </c>
      <c r="D254" s="5">
        <v>1</v>
      </c>
      <c r="E254" s="5">
        <v>210</v>
      </c>
      <c r="F254" s="5">
        <f>ROUND(Source!X228,O254)</f>
        <v>130134.19</v>
      </c>
      <c r="G254" s="5" t="s">
        <v>145</v>
      </c>
      <c r="H254" s="5" t="s">
        <v>146</v>
      </c>
      <c r="I254" s="5"/>
      <c r="J254" s="5"/>
      <c r="K254" s="5">
        <v>210</v>
      </c>
      <c r="L254" s="5">
        <v>25</v>
      </c>
      <c r="M254" s="5">
        <v>3</v>
      </c>
      <c r="N254" s="5" t="s">
        <v>3</v>
      </c>
      <c r="O254" s="5">
        <v>2</v>
      </c>
      <c r="P254" s="5"/>
      <c r="Q254" s="5"/>
      <c r="R254" s="5"/>
      <c r="S254" s="5"/>
      <c r="T254" s="5"/>
      <c r="U254" s="5"/>
      <c r="V254" s="5"/>
      <c r="W254" s="5">
        <v>130134.19</v>
      </c>
      <c r="X254" s="5">
        <v>1</v>
      </c>
      <c r="Y254" s="5">
        <v>130134.19</v>
      </c>
      <c r="Z254" s="5"/>
      <c r="AA254" s="5"/>
      <c r="AB254" s="5"/>
    </row>
    <row r="255" spans="1:28" x14ac:dyDescent="0.2">
      <c r="A255" s="5">
        <v>50</v>
      </c>
      <c r="B255" s="5">
        <v>0</v>
      </c>
      <c r="C255" s="5">
        <v>0</v>
      </c>
      <c r="D255" s="5">
        <v>1</v>
      </c>
      <c r="E255" s="5">
        <v>211</v>
      </c>
      <c r="F255" s="5">
        <f>ROUND(Source!Y228,O255)</f>
        <v>68291.259999999995</v>
      </c>
      <c r="G255" s="5" t="s">
        <v>147</v>
      </c>
      <c r="H255" s="5" t="s">
        <v>148</v>
      </c>
      <c r="I255" s="5"/>
      <c r="J255" s="5"/>
      <c r="K255" s="5">
        <v>211</v>
      </c>
      <c r="L255" s="5">
        <v>26</v>
      </c>
      <c r="M255" s="5">
        <v>3</v>
      </c>
      <c r="N255" s="5" t="s">
        <v>3</v>
      </c>
      <c r="O255" s="5">
        <v>2</v>
      </c>
      <c r="P255" s="5"/>
      <c r="Q255" s="5"/>
      <c r="R255" s="5"/>
      <c r="S255" s="5"/>
      <c r="T255" s="5"/>
      <c r="U255" s="5"/>
      <c r="V255" s="5"/>
      <c r="W255" s="5">
        <v>68291.259999999995</v>
      </c>
      <c r="X255" s="5">
        <v>1</v>
      </c>
      <c r="Y255" s="5">
        <v>68291.259999999995</v>
      </c>
      <c r="Z255" s="5"/>
      <c r="AA255" s="5"/>
      <c r="AB255" s="5"/>
    </row>
    <row r="256" spans="1:28" x14ac:dyDescent="0.2">
      <c r="A256" s="5">
        <v>50</v>
      </c>
      <c r="B256" s="5">
        <v>0</v>
      </c>
      <c r="C256" s="5">
        <v>0</v>
      </c>
      <c r="D256" s="5">
        <v>1</v>
      </c>
      <c r="E256" s="5">
        <v>224</v>
      </c>
      <c r="F256" s="5">
        <f>ROUND(Source!AR228,O256)</f>
        <v>483326.15</v>
      </c>
      <c r="G256" s="5" t="s">
        <v>149</v>
      </c>
      <c r="H256" s="5" t="s">
        <v>150</v>
      </c>
      <c r="I256" s="5"/>
      <c r="J256" s="5"/>
      <c r="K256" s="5">
        <v>224</v>
      </c>
      <c r="L256" s="5">
        <v>27</v>
      </c>
      <c r="M256" s="5">
        <v>3</v>
      </c>
      <c r="N256" s="5" t="s">
        <v>3</v>
      </c>
      <c r="O256" s="5">
        <v>2</v>
      </c>
      <c r="P256" s="5"/>
      <c r="Q256" s="5"/>
      <c r="R256" s="5"/>
      <c r="S256" s="5"/>
      <c r="T256" s="5"/>
      <c r="U256" s="5"/>
      <c r="V256" s="5"/>
      <c r="W256" s="5">
        <v>483326.15</v>
      </c>
      <c r="X256" s="5">
        <v>1</v>
      </c>
      <c r="Y256" s="5">
        <v>483326.15</v>
      </c>
      <c r="Z256" s="5"/>
      <c r="AA256" s="5"/>
      <c r="AB256" s="5"/>
    </row>
    <row r="258" spans="1:206" x14ac:dyDescent="0.2">
      <c r="A258" s="3">
        <v>51</v>
      </c>
      <c r="B258" s="3">
        <f>B12</f>
        <v>318</v>
      </c>
      <c r="C258" s="3">
        <f>A12</f>
        <v>1</v>
      </c>
      <c r="D258" s="3">
        <f>ROW(A12)</f>
        <v>12</v>
      </c>
      <c r="E258" s="3"/>
      <c r="F258" s="3" t="str">
        <f>IF(F12&lt;&gt;"",F12,"")</f>
        <v/>
      </c>
      <c r="G258" s="3" t="str">
        <f>IF(G12&lt;&gt;"",G12,"")</f>
        <v xml:space="preserve">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  <c r="H258" s="3">
        <v>0</v>
      </c>
      <c r="I258" s="3"/>
      <c r="J258" s="3"/>
      <c r="K258" s="3"/>
      <c r="L258" s="3"/>
      <c r="M258" s="3"/>
      <c r="N258" s="3"/>
      <c r="O258" s="3">
        <f t="shared" ref="O258:T258" si="115">ROUND(O228,2)</f>
        <v>284270.24</v>
      </c>
      <c r="P258" s="3">
        <f t="shared" si="115"/>
        <v>154350.04</v>
      </c>
      <c r="Q258" s="3">
        <f t="shared" si="115"/>
        <v>1294.5</v>
      </c>
      <c r="R258" s="3">
        <f t="shared" si="115"/>
        <v>666.3</v>
      </c>
      <c r="S258" s="3">
        <f t="shared" si="115"/>
        <v>127959.4</v>
      </c>
      <c r="T258" s="3">
        <f t="shared" si="115"/>
        <v>0</v>
      </c>
      <c r="U258" s="3">
        <f>U228</f>
        <v>179.30515219999998</v>
      </c>
      <c r="V258" s="3">
        <f>V228</f>
        <v>0.84961500000000001</v>
      </c>
      <c r="W258" s="3">
        <f>ROUND(W228,2)</f>
        <v>0</v>
      </c>
      <c r="X258" s="3">
        <f>ROUND(X228,2)</f>
        <v>130134.19</v>
      </c>
      <c r="Y258" s="3">
        <f>ROUND(Y228,2)</f>
        <v>68291.259999999995</v>
      </c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>
        <f t="shared" ref="AO258:BD258" si="116">ROUND(AO228,2)</f>
        <v>0</v>
      </c>
      <c r="AP258" s="3">
        <f t="shared" si="116"/>
        <v>38280.53</v>
      </c>
      <c r="AQ258" s="3">
        <f t="shared" si="116"/>
        <v>0</v>
      </c>
      <c r="AR258" s="3">
        <f t="shared" si="116"/>
        <v>483326.15</v>
      </c>
      <c r="AS258" s="3">
        <f t="shared" si="116"/>
        <v>358004.47999999998</v>
      </c>
      <c r="AT258" s="3">
        <f t="shared" si="116"/>
        <v>87041.14</v>
      </c>
      <c r="AU258" s="3">
        <f t="shared" si="116"/>
        <v>0</v>
      </c>
      <c r="AV258" s="3">
        <f t="shared" si="116"/>
        <v>154350.04</v>
      </c>
      <c r="AW258" s="3">
        <f t="shared" si="116"/>
        <v>116069.51</v>
      </c>
      <c r="AX258" s="3">
        <f t="shared" si="116"/>
        <v>0</v>
      </c>
      <c r="AY258" s="3">
        <f t="shared" si="116"/>
        <v>116069.51</v>
      </c>
      <c r="AZ258" s="3">
        <f t="shared" si="116"/>
        <v>38280.53</v>
      </c>
      <c r="BA258" s="3">
        <f t="shared" si="116"/>
        <v>0</v>
      </c>
      <c r="BB258" s="3">
        <f t="shared" si="116"/>
        <v>0</v>
      </c>
      <c r="BC258" s="3">
        <f t="shared" si="116"/>
        <v>0</v>
      </c>
      <c r="BD258" s="3">
        <f t="shared" si="116"/>
        <v>630.46</v>
      </c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>
        <v>0</v>
      </c>
    </row>
    <row r="260" spans="1:206" x14ac:dyDescent="0.2">
      <c r="A260" s="5">
        <v>50</v>
      </c>
      <c r="B260" s="5">
        <v>0</v>
      </c>
      <c r="C260" s="5">
        <v>0</v>
      </c>
      <c r="D260" s="5">
        <v>1</v>
      </c>
      <c r="E260" s="5">
        <v>201</v>
      </c>
      <c r="F260" s="5">
        <f>ROUND(Source!O258,O260)</f>
        <v>284270.24</v>
      </c>
      <c r="G260" s="5" t="s">
        <v>97</v>
      </c>
      <c r="H260" s="5" t="s">
        <v>98</v>
      </c>
      <c r="I260" s="5"/>
      <c r="J260" s="5"/>
      <c r="K260" s="5">
        <v>201</v>
      </c>
      <c r="L260" s="5">
        <v>1</v>
      </c>
      <c r="M260" s="5">
        <v>3</v>
      </c>
      <c r="N260" s="5" t="s">
        <v>3</v>
      </c>
      <c r="O260" s="5">
        <v>2</v>
      </c>
      <c r="P260" s="5"/>
      <c r="Q260" s="5"/>
      <c r="R260" s="5"/>
      <c r="S260" s="5"/>
      <c r="T260" s="5"/>
      <c r="U260" s="5"/>
      <c r="V260" s="5"/>
      <c r="W260" s="5">
        <v>246620.16999999995</v>
      </c>
      <c r="X260" s="5">
        <v>1</v>
      </c>
      <c r="Y260" s="5">
        <v>246620.16999999995</v>
      </c>
      <c r="Z260" s="5"/>
      <c r="AA260" s="5"/>
      <c r="AB260" s="5"/>
    </row>
    <row r="261" spans="1:206" x14ac:dyDescent="0.2">
      <c r="A261" s="5">
        <v>50</v>
      </c>
      <c r="B261" s="5">
        <v>0</v>
      </c>
      <c r="C261" s="5">
        <v>0</v>
      </c>
      <c r="D261" s="5">
        <v>1</v>
      </c>
      <c r="E261" s="5">
        <v>202</v>
      </c>
      <c r="F261" s="5">
        <f>ROUND(Source!P258,O261)</f>
        <v>154350.04</v>
      </c>
      <c r="G261" s="5" t="s">
        <v>99</v>
      </c>
      <c r="H261" s="5" t="s">
        <v>100</v>
      </c>
      <c r="I261" s="5"/>
      <c r="J261" s="5"/>
      <c r="K261" s="5">
        <v>202</v>
      </c>
      <c r="L261" s="5">
        <v>2</v>
      </c>
      <c r="M261" s="5">
        <v>3</v>
      </c>
      <c r="N261" s="5" t="s">
        <v>3</v>
      </c>
      <c r="O261" s="5">
        <v>2</v>
      </c>
      <c r="P261" s="5"/>
      <c r="Q261" s="5"/>
      <c r="R261" s="5"/>
      <c r="S261" s="5"/>
      <c r="T261" s="5"/>
      <c r="U261" s="5"/>
      <c r="V261" s="5"/>
      <c r="W261" s="5">
        <v>154350.03999999998</v>
      </c>
      <c r="X261" s="5">
        <v>1</v>
      </c>
      <c r="Y261" s="5">
        <v>154350.03999999998</v>
      </c>
      <c r="Z261" s="5"/>
      <c r="AA261" s="5"/>
      <c r="AB261" s="5"/>
    </row>
    <row r="262" spans="1:206" x14ac:dyDescent="0.2">
      <c r="A262" s="5">
        <v>50</v>
      </c>
      <c r="B262" s="5">
        <v>0</v>
      </c>
      <c r="C262" s="5">
        <v>0</v>
      </c>
      <c r="D262" s="5">
        <v>1</v>
      </c>
      <c r="E262" s="5">
        <v>222</v>
      </c>
      <c r="F262" s="5">
        <f>ROUND(Source!AO258,O262)</f>
        <v>0</v>
      </c>
      <c r="G262" s="5" t="s">
        <v>101</v>
      </c>
      <c r="H262" s="5" t="s">
        <v>102</v>
      </c>
      <c r="I262" s="5"/>
      <c r="J262" s="5"/>
      <c r="K262" s="5">
        <v>222</v>
      </c>
      <c r="L262" s="5">
        <v>3</v>
      </c>
      <c r="M262" s="5">
        <v>3</v>
      </c>
      <c r="N262" s="5" t="s">
        <v>3</v>
      </c>
      <c r="O262" s="5">
        <v>2</v>
      </c>
      <c r="P262" s="5"/>
      <c r="Q262" s="5"/>
      <c r="R262" s="5"/>
      <c r="S262" s="5"/>
      <c r="T262" s="5"/>
      <c r="U262" s="5"/>
      <c r="V262" s="5"/>
      <c r="W262" s="5">
        <v>0</v>
      </c>
      <c r="X262" s="5">
        <v>1</v>
      </c>
      <c r="Y262" s="5">
        <v>0</v>
      </c>
      <c r="Z262" s="5"/>
      <c r="AA262" s="5"/>
      <c r="AB262" s="5"/>
    </row>
    <row r="263" spans="1:206" x14ac:dyDescent="0.2">
      <c r="A263" s="5">
        <v>50</v>
      </c>
      <c r="B263" s="5">
        <v>0</v>
      </c>
      <c r="C263" s="5">
        <v>0</v>
      </c>
      <c r="D263" s="5">
        <v>1</v>
      </c>
      <c r="E263" s="5">
        <v>225</v>
      </c>
      <c r="F263" s="5">
        <f>ROUND(Source!AV258,O263)</f>
        <v>154350.04</v>
      </c>
      <c r="G263" s="5" t="s">
        <v>103</v>
      </c>
      <c r="H263" s="5" t="s">
        <v>104</v>
      </c>
      <c r="I263" s="5"/>
      <c r="J263" s="5"/>
      <c r="K263" s="5">
        <v>225</v>
      </c>
      <c r="L263" s="5">
        <v>4</v>
      </c>
      <c r="M263" s="5">
        <v>3</v>
      </c>
      <c r="N263" s="5" t="s">
        <v>3</v>
      </c>
      <c r="O263" s="5">
        <v>2</v>
      </c>
      <c r="P263" s="5"/>
      <c r="Q263" s="5"/>
      <c r="R263" s="5"/>
      <c r="S263" s="5"/>
      <c r="T263" s="5"/>
      <c r="U263" s="5"/>
      <c r="V263" s="5"/>
      <c r="W263" s="5">
        <v>154350.04</v>
      </c>
      <c r="X263" s="5">
        <v>1</v>
      </c>
      <c r="Y263" s="5">
        <v>154350.04</v>
      </c>
      <c r="Z263" s="5"/>
      <c r="AA263" s="5"/>
      <c r="AB263" s="5"/>
    </row>
    <row r="264" spans="1:206" x14ac:dyDescent="0.2">
      <c r="A264" s="5">
        <v>50</v>
      </c>
      <c r="B264" s="5">
        <v>0</v>
      </c>
      <c r="C264" s="5">
        <v>0</v>
      </c>
      <c r="D264" s="5">
        <v>1</v>
      </c>
      <c r="E264" s="5">
        <v>226</v>
      </c>
      <c r="F264" s="5">
        <f>ROUND(Source!AW258,O264)</f>
        <v>116069.51</v>
      </c>
      <c r="G264" s="5" t="s">
        <v>105</v>
      </c>
      <c r="H264" s="5" t="s">
        <v>106</v>
      </c>
      <c r="I264" s="5"/>
      <c r="J264" s="5"/>
      <c r="K264" s="5">
        <v>226</v>
      </c>
      <c r="L264" s="5">
        <v>5</v>
      </c>
      <c r="M264" s="5">
        <v>3</v>
      </c>
      <c r="N264" s="5" t="s">
        <v>3</v>
      </c>
      <c r="O264" s="5">
        <v>2</v>
      </c>
      <c r="P264" s="5"/>
      <c r="Q264" s="5"/>
      <c r="R264" s="5"/>
      <c r="S264" s="5"/>
      <c r="T264" s="5"/>
      <c r="U264" s="5"/>
      <c r="V264" s="5"/>
      <c r="W264" s="5">
        <v>116069.51</v>
      </c>
      <c r="X264" s="5">
        <v>1</v>
      </c>
      <c r="Y264" s="5">
        <v>116069.51</v>
      </c>
      <c r="Z264" s="5"/>
      <c r="AA264" s="5"/>
      <c r="AB264" s="5"/>
    </row>
    <row r="265" spans="1:206" x14ac:dyDescent="0.2">
      <c r="A265" s="5">
        <v>50</v>
      </c>
      <c r="B265" s="5">
        <v>0</v>
      </c>
      <c r="C265" s="5">
        <v>0</v>
      </c>
      <c r="D265" s="5">
        <v>1</v>
      </c>
      <c r="E265" s="5">
        <v>227</v>
      </c>
      <c r="F265" s="5">
        <f>ROUND(Source!AX258,O265)</f>
        <v>0</v>
      </c>
      <c r="G265" s="5" t="s">
        <v>107</v>
      </c>
      <c r="H265" s="5" t="s">
        <v>108</v>
      </c>
      <c r="I265" s="5"/>
      <c r="J265" s="5"/>
      <c r="K265" s="5">
        <v>227</v>
      </c>
      <c r="L265" s="5">
        <v>6</v>
      </c>
      <c r="M265" s="5">
        <v>3</v>
      </c>
      <c r="N265" s="5" t="s">
        <v>3</v>
      </c>
      <c r="O265" s="5">
        <v>2</v>
      </c>
      <c r="P265" s="5"/>
      <c r="Q265" s="5"/>
      <c r="R265" s="5"/>
      <c r="S265" s="5"/>
      <c r="T265" s="5"/>
      <c r="U265" s="5"/>
      <c r="V265" s="5"/>
      <c r="W265" s="5">
        <v>0</v>
      </c>
      <c r="X265" s="5">
        <v>1</v>
      </c>
      <c r="Y265" s="5">
        <v>0</v>
      </c>
      <c r="Z265" s="5"/>
      <c r="AA265" s="5"/>
      <c r="AB265" s="5"/>
    </row>
    <row r="266" spans="1:206" x14ac:dyDescent="0.2">
      <c r="A266" s="5">
        <v>50</v>
      </c>
      <c r="B266" s="5">
        <v>0</v>
      </c>
      <c r="C266" s="5">
        <v>0</v>
      </c>
      <c r="D266" s="5">
        <v>1</v>
      </c>
      <c r="E266" s="5">
        <v>228</v>
      </c>
      <c r="F266" s="5">
        <f>ROUND(Source!AY258,O266)</f>
        <v>116069.51</v>
      </c>
      <c r="G266" s="5" t="s">
        <v>109</v>
      </c>
      <c r="H266" s="5" t="s">
        <v>110</v>
      </c>
      <c r="I266" s="5"/>
      <c r="J266" s="5"/>
      <c r="K266" s="5">
        <v>228</v>
      </c>
      <c r="L266" s="5">
        <v>7</v>
      </c>
      <c r="M266" s="5">
        <v>3</v>
      </c>
      <c r="N266" s="5" t="s">
        <v>3</v>
      </c>
      <c r="O266" s="5">
        <v>2</v>
      </c>
      <c r="P266" s="5"/>
      <c r="Q266" s="5"/>
      <c r="R266" s="5"/>
      <c r="S266" s="5"/>
      <c r="T266" s="5"/>
      <c r="U266" s="5"/>
      <c r="V266" s="5"/>
      <c r="W266" s="5">
        <v>116069.51</v>
      </c>
      <c r="X266" s="5">
        <v>1</v>
      </c>
      <c r="Y266" s="5">
        <v>116069.51</v>
      </c>
      <c r="Z266" s="5"/>
      <c r="AA266" s="5"/>
      <c r="AB266" s="5"/>
    </row>
    <row r="267" spans="1:206" x14ac:dyDescent="0.2">
      <c r="A267" s="5">
        <v>50</v>
      </c>
      <c r="B267" s="5">
        <v>0</v>
      </c>
      <c r="C267" s="5">
        <v>0</v>
      </c>
      <c r="D267" s="5">
        <v>1</v>
      </c>
      <c r="E267" s="5">
        <v>216</v>
      </c>
      <c r="F267" s="5">
        <f>ROUND(Source!AP258,O267)</f>
        <v>38280.53</v>
      </c>
      <c r="G267" s="5" t="s">
        <v>111</v>
      </c>
      <c r="H267" s="5" t="s">
        <v>112</v>
      </c>
      <c r="I267" s="5"/>
      <c r="J267" s="5"/>
      <c r="K267" s="5">
        <v>216</v>
      </c>
      <c r="L267" s="5">
        <v>8</v>
      </c>
      <c r="M267" s="5">
        <v>3</v>
      </c>
      <c r="N267" s="5" t="s">
        <v>3</v>
      </c>
      <c r="O267" s="5">
        <v>2</v>
      </c>
      <c r="P267" s="5"/>
      <c r="Q267" s="5"/>
      <c r="R267" s="5"/>
      <c r="S267" s="5"/>
      <c r="T267" s="5"/>
      <c r="U267" s="5"/>
      <c r="V267" s="5"/>
      <c r="W267" s="5">
        <v>38280.53</v>
      </c>
      <c r="X267" s="5">
        <v>1</v>
      </c>
      <c r="Y267" s="5">
        <v>38280.53</v>
      </c>
      <c r="Z267" s="5"/>
      <c r="AA267" s="5"/>
      <c r="AB267" s="5"/>
    </row>
    <row r="268" spans="1:206" x14ac:dyDescent="0.2">
      <c r="A268" s="5">
        <v>50</v>
      </c>
      <c r="B268" s="5">
        <v>0</v>
      </c>
      <c r="C268" s="5">
        <v>0</v>
      </c>
      <c r="D268" s="5">
        <v>1</v>
      </c>
      <c r="E268" s="5">
        <v>223</v>
      </c>
      <c r="F268" s="5">
        <f>ROUND(Source!AQ258,O268)</f>
        <v>0</v>
      </c>
      <c r="G268" s="5" t="s">
        <v>113</v>
      </c>
      <c r="H268" s="5" t="s">
        <v>114</v>
      </c>
      <c r="I268" s="5"/>
      <c r="J268" s="5"/>
      <c r="K268" s="5">
        <v>223</v>
      </c>
      <c r="L268" s="5">
        <v>9</v>
      </c>
      <c r="M268" s="5">
        <v>3</v>
      </c>
      <c r="N268" s="5" t="s">
        <v>3</v>
      </c>
      <c r="O268" s="5">
        <v>2</v>
      </c>
      <c r="P268" s="5"/>
      <c r="Q268" s="5"/>
      <c r="R268" s="5"/>
      <c r="S268" s="5"/>
      <c r="T268" s="5"/>
      <c r="U268" s="5"/>
      <c r="V268" s="5"/>
      <c r="W268" s="5">
        <v>0</v>
      </c>
      <c r="X268" s="5">
        <v>1</v>
      </c>
      <c r="Y268" s="5">
        <v>0</v>
      </c>
      <c r="Z268" s="5"/>
      <c r="AA268" s="5"/>
      <c r="AB268" s="5"/>
    </row>
    <row r="269" spans="1:206" x14ac:dyDescent="0.2">
      <c r="A269" s="5">
        <v>50</v>
      </c>
      <c r="B269" s="5">
        <v>0</v>
      </c>
      <c r="C269" s="5">
        <v>0</v>
      </c>
      <c r="D269" s="5">
        <v>1</v>
      </c>
      <c r="E269" s="5">
        <v>229</v>
      </c>
      <c r="F269" s="5">
        <f>ROUND(Source!AZ258,O269)</f>
        <v>38280.53</v>
      </c>
      <c r="G269" s="5" t="s">
        <v>115</v>
      </c>
      <c r="H269" s="5" t="s">
        <v>116</v>
      </c>
      <c r="I269" s="5"/>
      <c r="J269" s="5"/>
      <c r="K269" s="5">
        <v>229</v>
      </c>
      <c r="L269" s="5">
        <v>10</v>
      </c>
      <c r="M269" s="5">
        <v>3</v>
      </c>
      <c r="N269" s="5" t="s">
        <v>3</v>
      </c>
      <c r="O269" s="5">
        <v>2</v>
      </c>
      <c r="P269" s="5"/>
      <c r="Q269" s="5"/>
      <c r="R269" s="5"/>
      <c r="S269" s="5"/>
      <c r="T269" s="5"/>
      <c r="U269" s="5"/>
      <c r="V269" s="5"/>
      <c r="W269" s="5">
        <v>38280.53</v>
      </c>
      <c r="X269" s="5">
        <v>1</v>
      </c>
      <c r="Y269" s="5">
        <v>38280.53</v>
      </c>
      <c r="Z269" s="5"/>
      <c r="AA269" s="5"/>
      <c r="AB269" s="5"/>
    </row>
    <row r="270" spans="1:206" x14ac:dyDescent="0.2">
      <c r="A270" s="5">
        <v>50</v>
      </c>
      <c r="B270" s="5">
        <v>0</v>
      </c>
      <c r="C270" s="5">
        <v>0</v>
      </c>
      <c r="D270" s="5">
        <v>1</v>
      </c>
      <c r="E270" s="5">
        <v>203</v>
      </c>
      <c r="F270" s="5">
        <f>ROUND(Source!Q258,O270)</f>
        <v>1294.5</v>
      </c>
      <c r="G270" s="5" t="s">
        <v>117</v>
      </c>
      <c r="H270" s="5" t="s">
        <v>118</v>
      </c>
      <c r="I270" s="5"/>
      <c r="J270" s="5"/>
      <c r="K270" s="5">
        <v>203</v>
      </c>
      <c r="L270" s="5">
        <v>11</v>
      </c>
      <c r="M270" s="5">
        <v>3</v>
      </c>
      <c r="N270" s="5" t="s">
        <v>3</v>
      </c>
      <c r="O270" s="5">
        <v>2</v>
      </c>
      <c r="P270" s="5"/>
      <c r="Q270" s="5"/>
      <c r="R270" s="5"/>
      <c r="S270" s="5"/>
      <c r="T270" s="5"/>
      <c r="U270" s="5"/>
      <c r="V270" s="5"/>
      <c r="W270" s="5">
        <v>1294.5</v>
      </c>
      <c r="X270" s="5">
        <v>1</v>
      </c>
      <c r="Y270" s="5">
        <v>1294.5</v>
      </c>
      <c r="Z270" s="5"/>
      <c r="AA270" s="5"/>
      <c r="AB270" s="5"/>
    </row>
    <row r="271" spans="1:206" x14ac:dyDescent="0.2">
      <c r="A271" s="5">
        <v>50</v>
      </c>
      <c r="B271" s="5">
        <v>0</v>
      </c>
      <c r="C271" s="5">
        <v>0</v>
      </c>
      <c r="D271" s="5">
        <v>1</v>
      </c>
      <c r="E271" s="5">
        <v>231</v>
      </c>
      <c r="F271" s="5">
        <f>ROUND(Source!BB258,O271)</f>
        <v>0</v>
      </c>
      <c r="G271" s="5" t="s">
        <v>119</v>
      </c>
      <c r="H271" s="5" t="s">
        <v>120</v>
      </c>
      <c r="I271" s="5"/>
      <c r="J271" s="5"/>
      <c r="K271" s="5">
        <v>231</v>
      </c>
      <c r="L271" s="5">
        <v>12</v>
      </c>
      <c r="M271" s="5">
        <v>3</v>
      </c>
      <c r="N271" s="5" t="s">
        <v>3</v>
      </c>
      <c r="O271" s="5">
        <v>2</v>
      </c>
      <c r="P271" s="5"/>
      <c r="Q271" s="5"/>
      <c r="R271" s="5"/>
      <c r="S271" s="5"/>
      <c r="T271" s="5"/>
      <c r="U271" s="5"/>
      <c r="V271" s="5"/>
      <c r="W271" s="5">
        <v>0</v>
      </c>
      <c r="X271" s="5">
        <v>1</v>
      </c>
      <c r="Y271" s="5">
        <v>0</v>
      </c>
      <c r="Z271" s="5"/>
      <c r="AA271" s="5"/>
      <c r="AB271" s="5"/>
    </row>
    <row r="272" spans="1:206" x14ac:dyDescent="0.2">
      <c r="A272" s="5">
        <v>50</v>
      </c>
      <c r="B272" s="5">
        <v>0</v>
      </c>
      <c r="C272" s="5">
        <v>0</v>
      </c>
      <c r="D272" s="5">
        <v>1</v>
      </c>
      <c r="E272" s="5">
        <v>204</v>
      </c>
      <c r="F272" s="5">
        <f>ROUND(Source!R258,O272)</f>
        <v>666.3</v>
      </c>
      <c r="G272" s="5" t="s">
        <v>121</v>
      </c>
      <c r="H272" s="5" t="s">
        <v>122</v>
      </c>
      <c r="I272" s="5"/>
      <c r="J272" s="5"/>
      <c r="K272" s="5">
        <v>204</v>
      </c>
      <c r="L272" s="5">
        <v>13</v>
      </c>
      <c r="M272" s="5">
        <v>3</v>
      </c>
      <c r="N272" s="5" t="s">
        <v>3</v>
      </c>
      <c r="O272" s="5">
        <v>2</v>
      </c>
      <c r="P272" s="5"/>
      <c r="Q272" s="5"/>
      <c r="R272" s="5"/>
      <c r="S272" s="5"/>
      <c r="T272" s="5"/>
      <c r="U272" s="5"/>
      <c r="V272" s="5"/>
      <c r="W272" s="5">
        <v>666.30000000000007</v>
      </c>
      <c r="X272" s="5">
        <v>1</v>
      </c>
      <c r="Y272" s="5">
        <v>666.30000000000007</v>
      </c>
      <c r="Z272" s="5"/>
      <c r="AA272" s="5"/>
      <c r="AB272" s="5"/>
    </row>
    <row r="273" spans="1:28" x14ac:dyDescent="0.2">
      <c r="A273" s="5">
        <v>50</v>
      </c>
      <c r="B273" s="5">
        <v>0</v>
      </c>
      <c r="C273" s="5">
        <v>0</v>
      </c>
      <c r="D273" s="5">
        <v>1</v>
      </c>
      <c r="E273" s="5">
        <v>205</v>
      </c>
      <c r="F273" s="5">
        <f>ROUND(Source!S258,O273)</f>
        <v>127959.4</v>
      </c>
      <c r="G273" s="5" t="s">
        <v>123</v>
      </c>
      <c r="H273" s="5" t="s">
        <v>124</v>
      </c>
      <c r="I273" s="5"/>
      <c r="J273" s="5"/>
      <c r="K273" s="5">
        <v>205</v>
      </c>
      <c r="L273" s="5">
        <v>14</v>
      </c>
      <c r="M273" s="5">
        <v>3</v>
      </c>
      <c r="N273" s="5" t="s">
        <v>3</v>
      </c>
      <c r="O273" s="5">
        <v>2</v>
      </c>
      <c r="P273" s="5"/>
      <c r="Q273" s="5"/>
      <c r="R273" s="5"/>
      <c r="S273" s="5"/>
      <c r="T273" s="5"/>
      <c r="U273" s="5"/>
      <c r="V273" s="5"/>
      <c r="W273" s="5">
        <v>127959.39999999998</v>
      </c>
      <c r="X273" s="5">
        <v>1</v>
      </c>
      <c r="Y273" s="5">
        <v>127959.39999999998</v>
      </c>
      <c r="Z273" s="5"/>
      <c r="AA273" s="5"/>
      <c r="AB273" s="5"/>
    </row>
    <row r="274" spans="1:28" x14ac:dyDescent="0.2">
      <c r="A274" s="5">
        <v>50</v>
      </c>
      <c r="B274" s="5">
        <v>0</v>
      </c>
      <c r="C274" s="5">
        <v>0</v>
      </c>
      <c r="D274" s="5">
        <v>1</v>
      </c>
      <c r="E274" s="5">
        <v>232</v>
      </c>
      <c r="F274" s="5">
        <f>ROUND(Source!BC258,O274)</f>
        <v>0</v>
      </c>
      <c r="G274" s="5" t="s">
        <v>125</v>
      </c>
      <c r="H274" s="5" t="s">
        <v>126</v>
      </c>
      <c r="I274" s="5"/>
      <c r="J274" s="5"/>
      <c r="K274" s="5">
        <v>232</v>
      </c>
      <c r="L274" s="5">
        <v>15</v>
      </c>
      <c r="M274" s="5">
        <v>3</v>
      </c>
      <c r="N274" s="5" t="s">
        <v>3</v>
      </c>
      <c r="O274" s="5">
        <v>2</v>
      </c>
      <c r="P274" s="5"/>
      <c r="Q274" s="5"/>
      <c r="R274" s="5"/>
      <c r="S274" s="5"/>
      <c r="T274" s="5"/>
      <c r="U274" s="5"/>
      <c r="V274" s="5"/>
      <c r="W274" s="5">
        <v>0</v>
      </c>
      <c r="X274" s="5">
        <v>1</v>
      </c>
      <c r="Y274" s="5">
        <v>0</v>
      </c>
      <c r="Z274" s="5"/>
      <c r="AA274" s="5"/>
      <c r="AB274" s="5"/>
    </row>
    <row r="275" spans="1:28" x14ac:dyDescent="0.2">
      <c r="A275" s="5">
        <v>50</v>
      </c>
      <c r="B275" s="5">
        <v>0</v>
      </c>
      <c r="C275" s="5">
        <v>0</v>
      </c>
      <c r="D275" s="5">
        <v>1</v>
      </c>
      <c r="E275" s="5">
        <v>214</v>
      </c>
      <c r="F275" s="5">
        <f>ROUND(Source!AS258,O275)</f>
        <v>358004.47999999998</v>
      </c>
      <c r="G275" s="5" t="s">
        <v>127</v>
      </c>
      <c r="H275" s="5" t="s">
        <v>128</v>
      </c>
      <c r="I275" s="5"/>
      <c r="J275" s="5"/>
      <c r="K275" s="5">
        <v>214</v>
      </c>
      <c r="L275" s="5">
        <v>16</v>
      </c>
      <c r="M275" s="5">
        <v>3</v>
      </c>
      <c r="N275" s="5" t="s">
        <v>3</v>
      </c>
      <c r="O275" s="5">
        <v>2</v>
      </c>
      <c r="P275" s="5"/>
      <c r="Q275" s="5"/>
      <c r="R275" s="5"/>
      <c r="S275" s="5"/>
      <c r="T275" s="5"/>
      <c r="U275" s="5"/>
      <c r="V275" s="5"/>
      <c r="W275" s="5">
        <v>358004.47999999998</v>
      </c>
      <c r="X275" s="5">
        <v>1</v>
      </c>
      <c r="Y275" s="5">
        <v>358004.47999999998</v>
      </c>
      <c r="Z275" s="5"/>
      <c r="AA275" s="5"/>
      <c r="AB275" s="5"/>
    </row>
    <row r="276" spans="1:28" x14ac:dyDescent="0.2">
      <c r="A276" s="5">
        <v>50</v>
      </c>
      <c r="B276" s="5">
        <v>0</v>
      </c>
      <c r="C276" s="5">
        <v>0</v>
      </c>
      <c r="D276" s="5">
        <v>1</v>
      </c>
      <c r="E276" s="5">
        <v>215</v>
      </c>
      <c r="F276" s="5">
        <f>ROUND(Source!AT258,O276)</f>
        <v>87041.14</v>
      </c>
      <c r="G276" s="5" t="s">
        <v>129</v>
      </c>
      <c r="H276" s="5" t="s">
        <v>130</v>
      </c>
      <c r="I276" s="5"/>
      <c r="J276" s="5"/>
      <c r="K276" s="5">
        <v>215</v>
      </c>
      <c r="L276" s="5">
        <v>17</v>
      </c>
      <c r="M276" s="5">
        <v>3</v>
      </c>
      <c r="N276" s="5" t="s">
        <v>3</v>
      </c>
      <c r="O276" s="5">
        <v>2</v>
      </c>
      <c r="P276" s="5"/>
      <c r="Q276" s="5"/>
      <c r="R276" s="5"/>
      <c r="S276" s="5"/>
      <c r="T276" s="5"/>
      <c r="U276" s="5"/>
      <c r="V276" s="5"/>
      <c r="W276" s="5">
        <v>87041.14</v>
      </c>
      <c r="X276" s="5">
        <v>1</v>
      </c>
      <c r="Y276" s="5">
        <v>87041.14</v>
      </c>
      <c r="Z276" s="5"/>
      <c r="AA276" s="5"/>
      <c r="AB276" s="5"/>
    </row>
    <row r="277" spans="1:28" x14ac:dyDescent="0.2">
      <c r="A277" s="5">
        <v>50</v>
      </c>
      <c r="B277" s="5">
        <v>0</v>
      </c>
      <c r="C277" s="5">
        <v>0</v>
      </c>
      <c r="D277" s="5">
        <v>1</v>
      </c>
      <c r="E277" s="5">
        <v>217</v>
      </c>
      <c r="F277" s="5">
        <f>ROUND(Source!AU258,O277)</f>
        <v>0</v>
      </c>
      <c r="G277" s="5" t="s">
        <v>131</v>
      </c>
      <c r="H277" s="5" t="s">
        <v>132</v>
      </c>
      <c r="I277" s="5"/>
      <c r="J277" s="5"/>
      <c r="K277" s="5">
        <v>217</v>
      </c>
      <c r="L277" s="5">
        <v>18</v>
      </c>
      <c r="M277" s="5">
        <v>3</v>
      </c>
      <c r="N277" s="5" t="s">
        <v>3</v>
      </c>
      <c r="O277" s="5">
        <v>2</v>
      </c>
      <c r="P277" s="5"/>
      <c r="Q277" s="5"/>
      <c r="R277" s="5"/>
      <c r="S277" s="5"/>
      <c r="T277" s="5"/>
      <c r="U277" s="5"/>
      <c r="V277" s="5"/>
      <c r="W277" s="5">
        <v>0</v>
      </c>
      <c r="X277" s="5">
        <v>1</v>
      </c>
      <c r="Y277" s="5">
        <v>0</v>
      </c>
      <c r="Z277" s="5"/>
      <c r="AA277" s="5"/>
      <c r="AB277" s="5"/>
    </row>
    <row r="278" spans="1:28" x14ac:dyDescent="0.2">
      <c r="A278" s="5">
        <v>50</v>
      </c>
      <c r="B278" s="5">
        <v>0</v>
      </c>
      <c r="C278" s="5">
        <v>0</v>
      </c>
      <c r="D278" s="5">
        <v>1</v>
      </c>
      <c r="E278" s="5">
        <v>230</v>
      </c>
      <c r="F278" s="5">
        <f>ROUND(Source!BA258,O278)</f>
        <v>0</v>
      </c>
      <c r="G278" s="5" t="s">
        <v>133</v>
      </c>
      <c r="H278" s="5" t="s">
        <v>134</v>
      </c>
      <c r="I278" s="5"/>
      <c r="J278" s="5"/>
      <c r="K278" s="5">
        <v>230</v>
      </c>
      <c r="L278" s="5">
        <v>19</v>
      </c>
      <c r="M278" s="5">
        <v>3</v>
      </c>
      <c r="N278" s="5" t="s">
        <v>3</v>
      </c>
      <c r="O278" s="5">
        <v>2</v>
      </c>
      <c r="P278" s="5"/>
      <c r="Q278" s="5"/>
      <c r="R278" s="5"/>
      <c r="S278" s="5"/>
      <c r="T278" s="5"/>
      <c r="U278" s="5"/>
      <c r="V278" s="5"/>
      <c r="W278" s="5">
        <v>0</v>
      </c>
      <c r="X278" s="5">
        <v>1</v>
      </c>
      <c r="Y278" s="5">
        <v>0</v>
      </c>
      <c r="Z278" s="5"/>
      <c r="AA278" s="5"/>
      <c r="AB278" s="5"/>
    </row>
    <row r="279" spans="1:28" x14ac:dyDescent="0.2">
      <c r="A279" s="5">
        <v>50</v>
      </c>
      <c r="B279" s="5">
        <v>0</v>
      </c>
      <c r="C279" s="5">
        <v>0</v>
      </c>
      <c r="D279" s="5">
        <v>1</v>
      </c>
      <c r="E279" s="5">
        <v>206</v>
      </c>
      <c r="F279" s="5">
        <f>ROUND(Source!T258,O279)</f>
        <v>0</v>
      </c>
      <c r="G279" s="5" t="s">
        <v>135</v>
      </c>
      <c r="H279" s="5" t="s">
        <v>136</v>
      </c>
      <c r="I279" s="5"/>
      <c r="J279" s="5"/>
      <c r="K279" s="5">
        <v>206</v>
      </c>
      <c r="L279" s="5">
        <v>20</v>
      </c>
      <c r="M279" s="5">
        <v>3</v>
      </c>
      <c r="N279" s="5" t="s">
        <v>3</v>
      </c>
      <c r="O279" s="5">
        <v>2</v>
      </c>
      <c r="P279" s="5"/>
      <c r="Q279" s="5"/>
      <c r="R279" s="5"/>
      <c r="S279" s="5"/>
      <c r="T279" s="5"/>
      <c r="U279" s="5"/>
      <c r="V279" s="5"/>
      <c r="W279" s="5">
        <v>0</v>
      </c>
      <c r="X279" s="5">
        <v>1</v>
      </c>
      <c r="Y279" s="5">
        <v>0</v>
      </c>
      <c r="Z279" s="5"/>
      <c r="AA279" s="5"/>
      <c r="AB279" s="5"/>
    </row>
    <row r="280" spans="1:28" x14ac:dyDescent="0.2">
      <c r="A280" s="5">
        <v>50</v>
      </c>
      <c r="B280" s="5">
        <v>0</v>
      </c>
      <c r="C280" s="5">
        <v>0</v>
      </c>
      <c r="D280" s="5">
        <v>1</v>
      </c>
      <c r="E280" s="5">
        <v>207</v>
      </c>
      <c r="F280" s="5">
        <f>ROUND(Source!U258,O280)</f>
        <v>179.30515220000001</v>
      </c>
      <c r="G280" s="5" t="s">
        <v>137</v>
      </c>
      <c r="H280" s="5" t="s">
        <v>138</v>
      </c>
      <c r="I280" s="5"/>
      <c r="J280" s="5"/>
      <c r="K280" s="5">
        <v>207</v>
      </c>
      <c r="L280" s="5">
        <v>21</v>
      </c>
      <c r="M280" s="5">
        <v>3</v>
      </c>
      <c r="N280" s="5" t="s">
        <v>3</v>
      </c>
      <c r="O280" s="5">
        <v>7</v>
      </c>
      <c r="P280" s="5"/>
      <c r="Q280" s="5"/>
      <c r="R280" s="5"/>
      <c r="S280" s="5"/>
      <c r="T280" s="5"/>
      <c r="U280" s="5"/>
      <c r="V280" s="5"/>
      <c r="W280" s="5">
        <v>179.30515220000001</v>
      </c>
      <c r="X280" s="5">
        <v>1</v>
      </c>
      <c r="Y280" s="5">
        <v>179.30515220000001</v>
      </c>
      <c r="Z280" s="5"/>
      <c r="AA280" s="5"/>
      <c r="AB280" s="5"/>
    </row>
    <row r="281" spans="1:28" x14ac:dyDescent="0.2">
      <c r="A281" s="5">
        <v>50</v>
      </c>
      <c r="B281" s="5">
        <v>0</v>
      </c>
      <c r="C281" s="5">
        <v>0</v>
      </c>
      <c r="D281" s="5">
        <v>1</v>
      </c>
      <c r="E281" s="5">
        <v>208</v>
      </c>
      <c r="F281" s="5">
        <f>ROUND(Source!V258,O281)</f>
        <v>0.84961500000000001</v>
      </c>
      <c r="G281" s="5" t="s">
        <v>139</v>
      </c>
      <c r="H281" s="5" t="s">
        <v>140</v>
      </c>
      <c r="I281" s="5"/>
      <c r="J281" s="5"/>
      <c r="K281" s="5">
        <v>208</v>
      </c>
      <c r="L281" s="5">
        <v>22</v>
      </c>
      <c r="M281" s="5">
        <v>3</v>
      </c>
      <c r="N281" s="5" t="s">
        <v>3</v>
      </c>
      <c r="O281" s="5">
        <v>7</v>
      </c>
      <c r="P281" s="5"/>
      <c r="Q281" s="5"/>
      <c r="R281" s="5"/>
      <c r="S281" s="5"/>
      <c r="T281" s="5"/>
      <c r="U281" s="5"/>
      <c r="V281" s="5"/>
      <c r="W281" s="5">
        <v>0.84961500000000001</v>
      </c>
      <c r="X281" s="5">
        <v>1</v>
      </c>
      <c r="Y281" s="5">
        <v>0.84961500000000001</v>
      </c>
      <c r="Z281" s="5"/>
      <c r="AA281" s="5"/>
      <c r="AB281" s="5"/>
    </row>
    <row r="282" spans="1:28" x14ac:dyDescent="0.2">
      <c r="A282" s="5">
        <v>50</v>
      </c>
      <c r="B282" s="5">
        <v>0</v>
      </c>
      <c r="C282" s="5">
        <v>0</v>
      </c>
      <c r="D282" s="5">
        <v>1</v>
      </c>
      <c r="E282" s="5">
        <v>209</v>
      </c>
      <c r="F282" s="5">
        <f>ROUND(Source!W258,O282)</f>
        <v>0</v>
      </c>
      <c r="G282" s="5" t="s">
        <v>141</v>
      </c>
      <c r="H282" s="5" t="s">
        <v>142</v>
      </c>
      <c r="I282" s="5"/>
      <c r="J282" s="5"/>
      <c r="K282" s="5">
        <v>209</v>
      </c>
      <c r="L282" s="5">
        <v>23</v>
      </c>
      <c r="M282" s="5">
        <v>3</v>
      </c>
      <c r="N282" s="5" t="s">
        <v>3</v>
      </c>
      <c r="O282" s="5">
        <v>2</v>
      </c>
      <c r="P282" s="5"/>
      <c r="Q282" s="5"/>
      <c r="R282" s="5"/>
      <c r="S282" s="5"/>
      <c r="T282" s="5"/>
      <c r="U282" s="5"/>
      <c r="V282" s="5"/>
      <c r="W282" s="5">
        <v>0</v>
      </c>
      <c r="X282" s="5">
        <v>1</v>
      </c>
      <c r="Y282" s="5">
        <v>0</v>
      </c>
      <c r="Z282" s="5"/>
      <c r="AA282" s="5"/>
      <c r="AB282" s="5"/>
    </row>
    <row r="283" spans="1:28" x14ac:dyDescent="0.2">
      <c r="A283" s="5">
        <v>50</v>
      </c>
      <c r="B283" s="5">
        <v>0</v>
      </c>
      <c r="C283" s="5">
        <v>0</v>
      </c>
      <c r="D283" s="5">
        <v>1</v>
      </c>
      <c r="E283" s="5">
        <v>233</v>
      </c>
      <c r="F283" s="5">
        <f>ROUND(Source!BD258,O283)</f>
        <v>630.46</v>
      </c>
      <c r="G283" s="5" t="s">
        <v>143</v>
      </c>
      <c r="H283" s="5" t="s">
        <v>144</v>
      </c>
      <c r="I283" s="5"/>
      <c r="J283" s="5"/>
      <c r="K283" s="5">
        <v>233</v>
      </c>
      <c r="L283" s="5">
        <v>24</v>
      </c>
      <c r="M283" s="5">
        <v>3</v>
      </c>
      <c r="N283" s="5" t="s">
        <v>3</v>
      </c>
      <c r="O283" s="5">
        <v>2</v>
      </c>
      <c r="P283" s="5"/>
      <c r="Q283" s="5"/>
      <c r="R283" s="5"/>
      <c r="S283" s="5"/>
      <c r="T283" s="5"/>
      <c r="U283" s="5"/>
      <c r="V283" s="5"/>
      <c r="W283" s="5">
        <v>630.46</v>
      </c>
      <c r="X283" s="5">
        <v>1</v>
      </c>
      <c r="Y283" s="5">
        <v>630.46</v>
      </c>
      <c r="Z283" s="5"/>
      <c r="AA283" s="5"/>
      <c r="AB283" s="5"/>
    </row>
    <row r="284" spans="1:28" x14ac:dyDescent="0.2">
      <c r="A284" s="5">
        <v>50</v>
      </c>
      <c r="B284" s="5">
        <v>0</v>
      </c>
      <c r="C284" s="5">
        <v>0</v>
      </c>
      <c r="D284" s="5">
        <v>1</v>
      </c>
      <c r="E284" s="5">
        <v>210</v>
      </c>
      <c r="F284" s="5">
        <f>ROUND(Source!X258,O284)</f>
        <v>130134.19</v>
      </c>
      <c r="G284" s="5" t="s">
        <v>145</v>
      </c>
      <c r="H284" s="5" t="s">
        <v>146</v>
      </c>
      <c r="I284" s="5"/>
      <c r="J284" s="5"/>
      <c r="K284" s="5">
        <v>210</v>
      </c>
      <c r="L284" s="5">
        <v>25</v>
      </c>
      <c r="M284" s="5">
        <v>3</v>
      </c>
      <c r="N284" s="5" t="s">
        <v>3</v>
      </c>
      <c r="O284" s="5">
        <v>2</v>
      </c>
      <c r="P284" s="5"/>
      <c r="Q284" s="5"/>
      <c r="R284" s="5"/>
      <c r="S284" s="5"/>
      <c r="T284" s="5"/>
      <c r="U284" s="5"/>
      <c r="V284" s="5"/>
      <c r="W284" s="5">
        <v>130134.19</v>
      </c>
      <c r="X284" s="5">
        <v>1</v>
      </c>
      <c r="Y284" s="5">
        <v>130134.19</v>
      </c>
      <c r="Z284" s="5"/>
      <c r="AA284" s="5"/>
      <c r="AB284" s="5"/>
    </row>
    <row r="285" spans="1:28" x14ac:dyDescent="0.2">
      <c r="A285" s="5">
        <v>50</v>
      </c>
      <c r="B285" s="5">
        <v>0</v>
      </c>
      <c r="C285" s="5">
        <v>0</v>
      </c>
      <c r="D285" s="5">
        <v>1</v>
      </c>
      <c r="E285" s="5">
        <v>211</v>
      </c>
      <c r="F285" s="5">
        <f>ROUND(Source!Y258,O285)</f>
        <v>68291.259999999995</v>
      </c>
      <c r="G285" s="5" t="s">
        <v>147</v>
      </c>
      <c r="H285" s="5" t="s">
        <v>148</v>
      </c>
      <c r="I285" s="5"/>
      <c r="J285" s="5"/>
      <c r="K285" s="5">
        <v>211</v>
      </c>
      <c r="L285" s="5">
        <v>26</v>
      </c>
      <c r="M285" s="5">
        <v>3</v>
      </c>
      <c r="N285" s="5" t="s">
        <v>3</v>
      </c>
      <c r="O285" s="5">
        <v>2</v>
      </c>
      <c r="P285" s="5"/>
      <c r="Q285" s="5"/>
      <c r="R285" s="5"/>
      <c r="S285" s="5"/>
      <c r="T285" s="5"/>
      <c r="U285" s="5"/>
      <c r="V285" s="5"/>
      <c r="W285" s="5">
        <v>68291.259999999995</v>
      </c>
      <c r="X285" s="5">
        <v>1</v>
      </c>
      <c r="Y285" s="5">
        <v>68291.259999999995</v>
      </c>
      <c r="Z285" s="5"/>
      <c r="AA285" s="5"/>
      <c r="AB285" s="5"/>
    </row>
    <row r="286" spans="1:28" x14ac:dyDescent="0.2">
      <c r="A286" s="5">
        <v>50</v>
      </c>
      <c r="B286" s="5">
        <v>0</v>
      </c>
      <c r="C286" s="5">
        <v>0</v>
      </c>
      <c r="D286" s="5">
        <v>1</v>
      </c>
      <c r="E286" s="5">
        <v>224</v>
      </c>
      <c r="F286" s="5">
        <f>ROUND(Source!AR258,O286)</f>
        <v>483326.15</v>
      </c>
      <c r="G286" s="5" t="s">
        <v>149</v>
      </c>
      <c r="H286" s="5" t="s">
        <v>150</v>
      </c>
      <c r="I286" s="5"/>
      <c r="J286" s="5"/>
      <c r="K286" s="5">
        <v>224</v>
      </c>
      <c r="L286" s="5">
        <v>27</v>
      </c>
      <c r="M286" s="5">
        <v>3</v>
      </c>
      <c r="N286" s="5" t="s">
        <v>3</v>
      </c>
      <c r="O286" s="5">
        <v>2</v>
      </c>
      <c r="P286" s="5"/>
      <c r="Q286" s="5"/>
      <c r="R286" s="5"/>
      <c r="S286" s="5"/>
      <c r="T286" s="5"/>
      <c r="U286" s="5"/>
      <c r="V286" s="5"/>
      <c r="W286" s="5">
        <v>483326.15</v>
      </c>
      <c r="X286" s="5">
        <v>1</v>
      </c>
      <c r="Y286" s="5">
        <v>483326.15</v>
      </c>
      <c r="Z286" s="5"/>
      <c r="AA286" s="5"/>
      <c r="AB286" s="5"/>
    </row>
    <row r="287" spans="1:28" x14ac:dyDescent="0.2">
      <c r="A287" s="5">
        <v>50</v>
      </c>
      <c r="B287" s="5">
        <v>1</v>
      </c>
      <c r="C287" s="5">
        <v>0</v>
      </c>
      <c r="D287" s="5">
        <v>2</v>
      </c>
      <c r="E287" s="5">
        <v>0</v>
      </c>
      <c r="F287" s="5">
        <f>ROUND(F286,O287)</f>
        <v>483326.15</v>
      </c>
      <c r="G287" s="5" t="s">
        <v>365</v>
      </c>
      <c r="H287" s="5" t="s">
        <v>366</v>
      </c>
      <c r="I287" s="5"/>
      <c r="J287" s="5"/>
      <c r="K287" s="5">
        <v>212</v>
      </c>
      <c r="L287" s="5">
        <v>28</v>
      </c>
      <c r="M287" s="5">
        <v>0</v>
      </c>
      <c r="N287" s="5" t="s">
        <v>3</v>
      </c>
      <c r="O287" s="5">
        <v>2</v>
      </c>
      <c r="P287" s="5"/>
      <c r="Q287" s="5"/>
      <c r="R287" s="5"/>
      <c r="S287" s="5"/>
      <c r="T287" s="5"/>
      <c r="U287" s="5"/>
      <c r="V287" s="5"/>
      <c r="W287" s="5">
        <v>483326.15</v>
      </c>
      <c r="X287" s="5">
        <v>1</v>
      </c>
      <c r="Y287" s="5">
        <v>483326.15</v>
      </c>
      <c r="Z287" s="5"/>
      <c r="AA287" s="5"/>
      <c r="AB287" s="5"/>
    </row>
    <row r="288" spans="1:28" x14ac:dyDescent="0.2">
      <c r="A288" s="5">
        <v>50</v>
      </c>
      <c r="B288" s="5">
        <v>1</v>
      </c>
      <c r="C288" s="5">
        <v>0</v>
      </c>
      <c r="D288" s="5">
        <v>2</v>
      </c>
      <c r="E288" s="5">
        <v>0</v>
      </c>
      <c r="F288" s="5">
        <f>ROUND(F287*0.22,O288)</f>
        <v>106331.75</v>
      </c>
      <c r="G288" s="5" t="s">
        <v>367</v>
      </c>
      <c r="H288" s="5" t="s">
        <v>368</v>
      </c>
      <c r="I288" s="5"/>
      <c r="J288" s="5"/>
      <c r="K288" s="5">
        <v>212</v>
      </c>
      <c r="L288" s="5">
        <v>29</v>
      </c>
      <c r="M288" s="5">
        <v>0</v>
      </c>
      <c r="N288" s="5" t="s">
        <v>3</v>
      </c>
      <c r="O288" s="5">
        <v>2</v>
      </c>
      <c r="P288" s="5"/>
      <c r="Q288" s="5"/>
      <c r="R288" s="5"/>
      <c r="S288" s="5"/>
      <c r="T288" s="5"/>
      <c r="U288" s="5"/>
      <c r="V288" s="5"/>
      <c r="W288" s="5">
        <v>106331.75</v>
      </c>
      <c r="X288" s="5">
        <v>1</v>
      </c>
      <c r="Y288" s="5">
        <v>106331.75</v>
      </c>
      <c r="Z288" s="5"/>
      <c r="AA288" s="5"/>
      <c r="AB288" s="5"/>
    </row>
    <row r="289" spans="1:28" x14ac:dyDescent="0.2">
      <c r="A289" s="5">
        <v>50</v>
      </c>
      <c r="B289" s="5">
        <v>1</v>
      </c>
      <c r="C289" s="5">
        <v>0</v>
      </c>
      <c r="D289" s="5">
        <v>2</v>
      </c>
      <c r="E289" s="5">
        <v>213</v>
      </c>
      <c r="F289" s="5">
        <f>ROUND(F287+F288,O289)</f>
        <v>589657.9</v>
      </c>
      <c r="G289" s="5" t="s">
        <v>369</v>
      </c>
      <c r="H289" s="5" t="s">
        <v>370</v>
      </c>
      <c r="I289" s="5"/>
      <c r="J289" s="5"/>
      <c r="K289" s="5">
        <v>212</v>
      </c>
      <c r="L289" s="5">
        <v>30</v>
      </c>
      <c r="M289" s="5">
        <v>0</v>
      </c>
      <c r="N289" s="5" t="s">
        <v>3</v>
      </c>
      <c r="O289" s="5">
        <v>2</v>
      </c>
      <c r="P289" s="5"/>
      <c r="Q289" s="5"/>
      <c r="R289" s="5"/>
      <c r="S289" s="5"/>
      <c r="T289" s="5"/>
      <c r="U289" s="5"/>
      <c r="V289" s="5"/>
      <c r="W289" s="5">
        <v>589657.9</v>
      </c>
      <c r="X289" s="5">
        <v>1</v>
      </c>
      <c r="Y289" s="5">
        <v>589657.9</v>
      </c>
      <c r="Z289" s="5"/>
      <c r="AA289" s="5"/>
      <c r="AB289" s="5"/>
    </row>
    <row r="292" spans="1:28" x14ac:dyDescent="0.2">
      <c r="A292">
        <v>70</v>
      </c>
      <c r="B292">
        <v>1</v>
      </c>
      <c r="D292">
        <v>1</v>
      </c>
      <c r="E292" t="s">
        <v>371</v>
      </c>
      <c r="F292" t="s">
        <v>372</v>
      </c>
      <c r="G292">
        <v>0</v>
      </c>
      <c r="H292">
        <v>0</v>
      </c>
      <c r="I292" t="s">
        <v>3</v>
      </c>
      <c r="J292">
        <v>1</v>
      </c>
      <c r="K292">
        <v>0</v>
      </c>
      <c r="L292" t="s">
        <v>3</v>
      </c>
      <c r="M292" t="s">
        <v>3</v>
      </c>
      <c r="N292">
        <v>0</v>
      </c>
      <c r="P292" t="s">
        <v>373</v>
      </c>
    </row>
    <row r="293" spans="1:28" x14ac:dyDescent="0.2">
      <c r="A293">
        <v>70</v>
      </c>
      <c r="B293">
        <v>1</v>
      </c>
      <c r="D293">
        <v>2</v>
      </c>
      <c r="E293" t="s">
        <v>374</v>
      </c>
      <c r="F293" t="s">
        <v>375</v>
      </c>
      <c r="G293">
        <v>1</v>
      </c>
      <c r="H293">
        <v>0</v>
      </c>
      <c r="I293" t="s">
        <v>3</v>
      </c>
      <c r="J293">
        <v>1</v>
      </c>
      <c r="K293">
        <v>0</v>
      </c>
      <c r="L293" t="s">
        <v>3</v>
      </c>
      <c r="M293" t="s">
        <v>3</v>
      </c>
      <c r="N293">
        <v>0</v>
      </c>
      <c r="P293" t="s">
        <v>376</v>
      </c>
    </row>
    <row r="294" spans="1:28" x14ac:dyDescent="0.2">
      <c r="A294">
        <v>70</v>
      </c>
      <c r="B294">
        <v>1</v>
      </c>
      <c r="D294">
        <v>3</v>
      </c>
      <c r="E294" t="s">
        <v>377</v>
      </c>
      <c r="F294" t="s">
        <v>378</v>
      </c>
      <c r="G294">
        <v>0</v>
      </c>
      <c r="H294">
        <v>0</v>
      </c>
      <c r="I294" t="s">
        <v>3</v>
      </c>
      <c r="J294">
        <v>1</v>
      </c>
      <c r="K294">
        <v>0</v>
      </c>
      <c r="L294" t="s">
        <v>3</v>
      </c>
      <c r="M294" t="s">
        <v>3</v>
      </c>
      <c r="N294">
        <v>0</v>
      </c>
      <c r="P294" t="s">
        <v>379</v>
      </c>
    </row>
    <row r="295" spans="1:28" x14ac:dyDescent="0.2">
      <c r="A295">
        <v>70</v>
      </c>
      <c r="B295">
        <v>1</v>
      </c>
      <c r="D295">
        <v>4</v>
      </c>
      <c r="E295" t="s">
        <v>380</v>
      </c>
      <c r="F295" t="s">
        <v>381</v>
      </c>
      <c r="G295">
        <v>1</v>
      </c>
      <c r="H295">
        <v>0</v>
      </c>
      <c r="I295" t="s">
        <v>3</v>
      </c>
      <c r="J295">
        <v>2</v>
      </c>
      <c r="K295">
        <v>0</v>
      </c>
      <c r="L295" t="s">
        <v>3</v>
      </c>
      <c r="M295" t="s">
        <v>3</v>
      </c>
      <c r="N295">
        <v>0</v>
      </c>
      <c r="P295" t="s">
        <v>3</v>
      </c>
    </row>
    <row r="296" spans="1:28" x14ac:dyDescent="0.2">
      <c r="A296">
        <v>70</v>
      </c>
      <c r="B296">
        <v>1</v>
      </c>
      <c r="D296">
        <v>5</v>
      </c>
      <c r="E296" t="s">
        <v>382</v>
      </c>
      <c r="F296" t="s">
        <v>383</v>
      </c>
      <c r="G296">
        <v>0</v>
      </c>
      <c r="H296">
        <v>0</v>
      </c>
      <c r="I296" t="s">
        <v>3</v>
      </c>
      <c r="J296">
        <v>2</v>
      </c>
      <c r="K296">
        <v>0</v>
      </c>
      <c r="L296" t="s">
        <v>3</v>
      </c>
      <c r="M296" t="s">
        <v>3</v>
      </c>
      <c r="N296">
        <v>0</v>
      </c>
      <c r="P296" t="s">
        <v>3</v>
      </c>
    </row>
    <row r="297" spans="1:28" x14ac:dyDescent="0.2">
      <c r="A297">
        <v>70</v>
      </c>
      <c r="B297">
        <v>1</v>
      </c>
      <c r="D297">
        <v>6</v>
      </c>
      <c r="E297" t="s">
        <v>384</v>
      </c>
      <c r="F297" t="s">
        <v>385</v>
      </c>
      <c r="G297">
        <v>0</v>
      </c>
      <c r="H297">
        <v>0</v>
      </c>
      <c r="I297" t="s">
        <v>3</v>
      </c>
      <c r="J297">
        <v>2</v>
      </c>
      <c r="K297">
        <v>0</v>
      </c>
      <c r="L297" t="s">
        <v>3</v>
      </c>
      <c r="M297" t="s">
        <v>3</v>
      </c>
      <c r="N297">
        <v>0</v>
      </c>
      <c r="P297" t="s">
        <v>3</v>
      </c>
    </row>
    <row r="298" spans="1:28" x14ac:dyDescent="0.2">
      <c r="A298">
        <v>70</v>
      </c>
      <c r="B298">
        <v>1</v>
      </c>
      <c r="D298">
        <v>7</v>
      </c>
      <c r="E298" t="s">
        <v>386</v>
      </c>
      <c r="F298" t="s">
        <v>387</v>
      </c>
      <c r="G298">
        <v>0</v>
      </c>
      <c r="H298">
        <v>0</v>
      </c>
      <c r="I298" t="s">
        <v>388</v>
      </c>
      <c r="J298">
        <v>0</v>
      </c>
      <c r="K298">
        <v>0</v>
      </c>
      <c r="L298" t="s">
        <v>3</v>
      </c>
      <c r="M298" t="s">
        <v>3</v>
      </c>
      <c r="N298">
        <v>0</v>
      </c>
      <c r="P298" t="s">
        <v>389</v>
      </c>
    </row>
    <row r="299" spans="1:28" x14ac:dyDescent="0.2">
      <c r="A299">
        <v>70</v>
      </c>
      <c r="B299">
        <v>1</v>
      </c>
      <c r="D299">
        <v>8</v>
      </c>
      <c r="E299" t="s">
        <v>390</v>
      </c>
      <c r="F299" t="s">
        <v>391</v>
      </c>
      <c r="G299">
        <v>1</v>
      </c>
      <c r="H299">
        <v>0</v>
      </c>
      <c r="I299" t="s">
        <v>3</v>
      </c>
      <c r="J299">
        <v>5</v>
      </c>
      <c r="K299">
        <v>0</v>
      </c>
      <c r="L299" t="s">
        <v>3</v>
      </c>
      <c r="M299" t="s">
        <v>3</v>
      </c>
      <c r="N299">
        <v>0</v>
      </c>
      <c r="P299" t="s">
        <v>3</v>
      </c>
    </row>
    <row r="300" spans="1:28" x14ac:dyDescent="0.2">
      <c r="A300">
        <v>70</v>
      </c>
      <c r="B300">
        <v>1</v>
      </c>
      <c r="D300">
        <v>9</v>
      </c>
      <c r="E300" t="s">
        <v>392</v>
      </c>
      <c r="F300" t="s">
        <v>393</v>
      </c>
      <c r="G300">
        <v>0</v>
      </c>
      <c r="H300">
        <v>0</v>
      </c>
      <c r="I300" t="s">
        <v>3</v>
      </c>
      <c r="J300">
        <v>5</v>
      </c>
      <c r="K300">
        <v>0</v>
      </c>
      <c r="L300" t="s">
        <v>3</v>
      </c>
      <c r="M300" t="s">
        <v>3</v>
      </c>
      <c r="N300">
        <v>0</v>
      </c>
      <c r="P300" t="s">
        <v>394</v>
      </c>
    </row>
    <row r="301" spans="1:28" x14ac:dyDescent="0.2">
      <c r="A301">
        <v>70</v>
      </c>
      <c r="B301">
        <v>1</v>
      </c>
      <c r="D301">
        <v>10</v>
      </c>
      <c r="E301" t="s">
        <v>395</v>
      </c>
      <c r="F301" t="s">
        <v>396</v>
      </c>
      <c r="G301">
        <v>0</v>
      </c>
      <c r="H301">
        <v>0</v>
      </c>
      <c r="I301" t="s">
        <v>397</v>
      </c>
      <c r="J301">
        <v>5</v>
      </c>
      <c r="K301">
        <v>0</v>
      </c>
      <c r="L301" t="s">
        <v>3</v>
      </c>
      <c r="M301" t="s">
        <v>3</v>
      </c>
      <c r="N301">
        <v>0</v>
      </c>
      <c r="P301" t="s">
        <v>398</v>
      </c>
    </row>
    <row r="302" spans="1:28" x14ac:dyDescent="0.2">
      <c r="A302">
        <v>70</v>
      </c>
      <c r="B302">
        <v>1</v>
      </c>
      <c r="D302">
        <v>11</v>
      </c>
      <c r="E302" t="s">
        <v>399</v>
      </c>
      <c r="F302" t="s">
        <v>400</v>
      </c>
      <c r="G302">
        <v>0</v>
      </c>
      <c r="H302">
        <v>0</v>
      </c>
      <c r="I302" t="s">
        <v>401</v>
      </c>
      <c r="J302">
        <v>0</v>
      </c>
      <c r="K302">
        <v>0</v>
      </c>
      <c r="L302" t="s">
        <v>3</v>
      </c>
      <c r="M302" t="s">
        <v>3</v>
      </c>
      <c r="N302">
        <v>0</v>
      </c>
      <c r="P302" t="s">
        <v>402</v>
      </c>
    </row>
    <row r="303" spans="1:28" x14ac:dyDescent="0.2">
      <c r="A303">
        <v>70</v>
      </c>
      <c r="B303">
        <v>1</v>
      </c>
      <c r="D303">
        <v>12</v>
      </c>
      <c r="E303" t="s">
        <v>403</v>
      </c>
      <c r="F303" t="s">
        <v>404</v>
      </c>
      <c r="G303">
        <v>0</v>
      </c>
      <c r="H303">
        <v>0</v>
      </c>
      <c r="I303" t="s">
        <v>405</v>
      </c>
      <c r="J303">
        <v>0</v>
      </c>
      <c r="K303">
        <v>0</v>
      </c>
      <c r="L303" t="s">
        <v>3</v>
      </c>
      <c r="M303" t="s">
        <v>3</v>
      </c>
      <c r="N303">
        <v>0</v>
      </c>
      <c r="P303" t="s">
        <v>406</v>
      </c>
    </row>
    <row r="304" spans="1:28" x14ac:dyDescent="0.2">
      <c r="A304">
        <v>70</v>
      </c>
      <c r="B304">
        <v>1</v>
      </c>
      <c r="D304">
        <v>13</v>
      </c>
      <c r="E304" t="s">
        <v>407</v>
      </c>
      <c r="F304" t="s">
        <v>408</v>
      </c>
      <c r="G304">
        <v>0</v>
      </c>
      <c r="H304">
        <v>0</v>
      </c>
      <c r="I304" t="s">
        <v>409</v>
      </c>
      <c r="J304">
        <v>0</v>
      </c>
      <c r="K304">
        <v>0</v>
      </c>
      <c r="L304" t="s">
        <v>3</v>
      </c>
      <c r="M304" t="s">
        <v>3</v>
      </c>
      <c r="N304">
        <v>0</v>
      </c>
      <c r="P304" t="s">
        <v>410</v>
      </c>
    </row>
    <row r="305" spans="1:50" x14ac:dyDescent="0.2">
      <c r="A305">
        <v>70</v>
      </c>
      <c r="B305">
        <v>1</v>
      </c>
      <c r="D305">
        <v>14</v>
      </c>
      <c r="E305" t="s">
        <v>411</v>
      </c>
      <c r="F305" t="s">
        <v>412</v>
      </c>
      <c r="G305">
        <v>0</v>
      </c>
      <c r="H305">
        <v>0</v>
      </c>
      <c r="I305" t="s">
        <v>3</v>
      </c>
      <c r="J305">
        <v>0</v>
      </c>
      <c r="K305">
        <v>0</v>
      </c>
      <c r="L305" t="s">
        <v>3</v>
      </c>
      <c r="M305" t="s">
        <v>3</v>
      </c>
      <c r="N305">
        <v>0</v>
      </c>
      <c r="P305" t="s">
        <v>3</v>
      </c>
    </row>
    <row r="306" spans="1:50" x14ac:dyDescent="0.2">
      <c r="A306">
        <v>70</v>
      </c>
      <c r="B306">
        <v>1</v>
      </c>
      <c r="D306">
        <v>15</v>
      </c>
      <c r="E306" t="s">
        <v>413</v>
      </c>
      <c r="F306" t="s">
        <v>414</v>
      </c>
      <c r="G306">
        <v>0</v>
      </c>
      <c r="H306">
        <v>0</v>
      </c>
      <c r="I306" t="s">
        <v>3</v>
      </c>
      <c r="J306">
        <v>0</v>
      </c>
      <c r="K306">
        <v>0</v>
      </c>
      <c r="L306" t="s">
        <v>3</v>
      </c>
      <c r="M306" t="s">
        <v>3</v>
      </c>
      <c r="N306">
        <v>0</v>
      </c>
      <c r="P306" t="s">
        <v>415</v>
      </c>
    </row>
    <row r="307" spans="1:50" x14ac:dyDescent="0.2">
      <c r="A307">
        <v>70</v>
      </c>
      <c r="B307">
        <v>1</v>
      </c>
      <c r="D307">
        <v>16</v>
      </c>
      <c r="E307" t="s">
        <v>416</v>
      </c>
      <c r="F307" t="s">
        <v>417</v>
      </c>
      <c r="G307">
        <v>0</v>
      </c>
      <c r="H307">
        <v>0</v>
      </c>
      <c r="I307" t="s">
        <v>3</v>
      </c>
      <c r="J307">
        <v>3</v>
      </c>
      <c r="K307">
        <v>0</v>
      </c>
      <c r="L307" t="s">
        <v>3</v>
      </c>
      <c r="M307" t="s">
        <v>3</v>
      </c>
      <c r="N307">
        <v>0</v>
      </c>
      <c r="P307" t="s">
        <v>3</v>
      </c>
    </row>
    <row r="308" spans="1:50" x14ac:dyDescent="0.2">
      <c r="A308">
        <v>70</v>
      </c>
      <c r="B308">
        <v>1</v>
      </c>
      <c r="D308">
        <v>17</v>
      </c>
      <c r="E308" t="s">
        <v>418</v>
      </c>
      <c r="F308" t="s">
        <v>419</v>
      </c>
      <c r="G308">
        <v>1</v>
      </c>
      <c r="H308">
        <v>0</v>
      </c>
      <c r="I308" t="s">
        <v>3</v>
      </c>
      <c r="J308">
        <v>3</v>
      </c>
      <c r="K308">
        <v>0</v>
      </c>
      <c r="L308" t="s">
        <v>3</v>
      </c>
      <c r="M308" t="s">
        <v>3</v>
      </c>
      <c r="N308">
        <v>0</v>
      </c>
      <c r="P308" t="s">
        <v>3</v>
      </c>
    </row>
    <row r="309" spans="1:50" x14ac:dyDescent="0.2">
      <c r="A309">
        <v>70</v>
      </c>
      <c r="B309">
        <v>1</v>
      </c>
      <c r="D309">
        <v>1</v>
      </c>
      <c r="E309" t="s">
        <v>420</v>
      </c>
      <c r="F309" t="s">
        <v>421</v>
      </c>
      <c r="G309">
        <v>0.9</v>
      </c>
      <c r="H309">
        <v>1</v>
      </c>
      <c r="I309" t="s">
        <v>422</v>
      </c>
      <c r="J309">
        <v>0</v>
      </c>
      <c r="K309">
        <v>0</v>
      </c>
      <c r="L309" t="s">
        <v>3</v>
      </c>
      <c r="M309" t="s">
        <v>3</v>
      </c>
      <c r="N309">
        <v>0</v>
      </c>
      <c r="P309" t="s">
        <v>423</v>
      </c>
    </row>
    <row r="310" spans="1:50" x14ac:dyDescent="0.2">
      <c r="A310">
        <v>70</v>
      </c>
      <c r="B310">
        <v>1</v>
      </c>
      <c r="D310">
        <v>2</v>
      </c>
      <c r="E310" t="s">
        <v>424</v>
      </c>
      <c r="F310" t="s">
        <v>425</v>
      </c>
      <c r="G310">
        <v>0.85</v>
      </c>
      <c r="H310">
        <v>1</v>
      </c>
      <c r="I310" t="s">
        <v>426</v>
      </c>
      <c r="J310">
        <v>0</v>
      </c>
      <c r="K310">
        <v>0</v>
      </c>
      <c r="L310" t="s">
        <v>3</v>
      </c>
      <c r="M310" t="s">
        <v>3</v>
      </c>
      <c r="N310">
        <v>0</v>
      </c>
      <c r="P310" t="s">
        <v>427</v>
      </c>
    </row>
    <row r="311" spans="1:50" x14ac:dyDescent="0.2">
      <c r="A311">
        <v>70</v>
      </c>
      <c r="B311">
        <v>1</v>
      </c>
      <c r="D311">
        <v>3</v>
      </c>
      <c r="E311" t="s">
        <v>428</v>
      </c>
      <c r="F311" t="s">
        <v>429</v>
      </c>
      <c r="G311">
        <v>1.03</v>
      </c>
      <c r="H311">
        <v>0</v>
      </c>
      <c r="I311" t="s">
        <v>3</v>
      </c>
      <c r="J311">
        <v>0</v>
      </c>
      <c r="K311">
        <v>0</v>
      </c>
      <c r="L311" t="s">
        <v>3</v>
      </c>
      <c r="M311" t="s">
        <v>3</v>
      </c>
      <c r="N311">
        <v>0</v>
      </c>
      <c r="P311" t="s">
        <v>430</v>
      </c>
    </row>
    <row r="312" spans="1:50" x14ac:dyDescent="0.2">
      <c r="A312">
        <v>70</v>
      </c>
      <c r="B312">
        <v>1</v>
      </c>
      <c r="D312">
        <v>4</v>
      </c>
      <c r="E312" t="s">
        <v>431</v>
      </c>
      <c r="F312" t="s">
        <v>432</v>
      </c>
      <c r="G312">
        <v>1.1499999999999999</v>
      </c>
      <c r="H312">
        <v>0</v>
      </c>
      <c r="I312" t="s">
        <v>3</v>
      </c>
      <c r="J312">
        <v>0</v>
      </c>
      <c r="K312">
        <v>0</v>
      </c>
      <c r="L312" t="s">
        <v>3</v>
      </c>
      <c r="M312" t="s">
        <v>3</v>
      </c>
      <c r="N312">
        <v>0</v>
      </c>
      <c r="P312" t="s">
        <v>433</v>
      </c>
    </row>
    <row r="313" spans="1:50" x14ac:dyDescent="0.2">
      <c r="A313">
        <v>70</v>
      </c>
      <c r="B313">
        <v>1</v>
      </c>
      <c r="D313">
        <v>5</v>
      </c>
      <c r="E313" t="s">
        <v>434</v>
      </c>
      <c r="F313" t="s">
        <v>435</v>
      </c>
      <c r="G313">
        <v>7</v>
      </c>
      <c r="H313">
        <v>0</v>
      </c>
      <c r="I313" t="s">
        <v>3</v>
      </c>
      <c r="J313">
        <v>0</v>
      </c>
      <c r="K313">
        <v>0</v>
      </c>
      <c r="L313" t="s">
        <v>3</v>
      </c>
      <c r="M313" t="s">
        <v>3</v>
      </c>
      <c r="N313">
        <v>0</v>
      </c>
      <c r="P313" t="s">
        <v>3</v>
      </c>
    </row>
    <row r="314" spans="1:50" x14ac:dyDescent="0.2">
      <c r="A314">
        <v>70</v>
      </c>
      <c r="B314">
        <v>1</v>
      </c>
      <c r="D314">
        <v>6</v>
      </c>
      <c r="E314" t="s">
        <v>436</v>
      </c>
      <c r="F314" t="s">
        <v>3</v>
      </c>
      <c r="G314">
        <v>2</v>
      </c>
      <c r="H314">
        <v>0</v>
      </c>
      <c r="I314" t="s">
        <v>3</v>
      </c>
      <c r="J314">
        <v>0</v>
      </c>
      <c r="K314">
        <v>0</v>
      </c>
      <c r="L314" t="s">
        <v>3</v>
      </c>
      <c r="M314" t="s">
        <v>3</v>
      </c>
      <c r="N314">
        <v>0</v>
      </c>
      <c r="P314" t="s">
        <v>3</v>
      </c>
    </row>
    <row r="316" spans="1:50" x14ac:dyDescent="0.2">
      <c r="A316">
        <v>-1</v>
      </c>
    </row>
    <row r="318" spans="1:50" x14ac:dyDescent="0.2">
      <c r="A318" s="4">
        <v>75</v>
      </c>
      <c r="B318" s="4" t="s">
        <v>437</v>
      </c>
      <c r="C318" s="4">
        <v>2026</v>
      </c>
      <c r="D318" s="4">
        <v>1</v>
      </c>
      <c r="E318" s="4">
        <v>0</v>
      </c>
      <c r="F318" s="4">
        <v>1</v>
      </c>
      <c r="G318" s="4">
        <v>0</v>
      </c>
      <c r="H318" s="4">
        <v>1</v>
      </c>
      <c r="I318" s="4">
        <v>0</v>
      </c>
      <c r="J318" s="4">
        <v>3</v>
      </c>
      <c r="K318" s="4">
        <v>0</v>
      </c>
      <c r="L318" s="4">
        <v>0</v>
      </c>
      <c r="M318" s="4">
        <v>0</v>
      </c>
      <c r="N318" s="4">
        <v>80308166</v>
      </c>
      <c r="O318" s="4">
        <v>1</v>
      </c>
    </row>
    <row r="319" spans="1:50" x14ac:dyDescent="0.2">
      <c r="A319" s="6">
        <v>2</v>
      </c>
      <c r="B319" s="6" t="s">
        <v>438</v>
      </c>
      <c r="C319" s="6" t="s">
        <v>439</v>
      </c>
      <c r="D319" s="6">
        <v>0</v>
      </c>
      <c r="E319" s="6">
        <v>0</v>
      </c>
      <c r="F319" s="6">
        <v>0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>
        <v>80308167</v>
      </c>
    </row>
    <row r="320" spans="1:50" x14ac:dyDescent="0.2">
      <c r="A320" s="6">
        <v>1</v>
      </c>
      <c r="B320" s="6" t="s">
        <v>440</v>
      </c>
      <c r="C320" s="6" t="s">
        <v>441</v>
      </c>
      <c r="D320" s="6">
        <v>2026</v>
      </c>
      <c r="E320" s="6">
        <v>3</v>
      </c>
      <c r="F320" s="6">
        <v>1</v>
      </c>
      <c r="G320" s="6">
        <v>1</v>
      </c>
      <c r="H320" s="6">
        <v>0</v>
      </c>
      <c r="I320" s="6">
        <v>2</v>
      </c>
      <c r="J320" s="6">
        <v>1</v>
      </c>
      <c r="K320" s="6">
        <v>1</v>
      </c>
      <c r="L320" s="6">
        <v>1</v>
      </c>
      <c r="M320" s="6">
        <v>1</v>
      </c>
      <c r="N320" s="6">
        <v>1</v>
      </c>
      <c r="O320" s="6">
        <v>1</v>
      </c>
      <c r="P320" s="6">
        <v>1</v>
      </c>
      <c r="Q320" s="6">
        <v>1</v>
      </c>
      <c r="R320" s="6" t="s">
        <v>3</v>
      </c>
      <c r="S320" s="6" t="s">
        <v>3</v>
      </c>
      <c r="T320" s="6" t="s">
        <v>3</v>
      </c>
      <c r="U320" s="6" t="s">
        <v>3</v>
      </c>
      <c r="V320" s="6" t="s">
        <v>3</v>
      </c>
      <c r="W320" s="6" t="s">
        <v>3</v>
      </c>
      <c r="X320" s="6" t="s">
        <v>3</v>
      </c>
      <c r="Y320" s="6" t="s">
        <v>3</v>
      </c>
      <c r="Z320" s="6" t="s">
        <v>3</v>
      </c>
      <c r="AA320" s="6" t="s">
        <v>3</v>
      </c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>
        <v>80308168</v>
      </c>
      <c r="AO320" s="6" t="s">
        <v>442</v>
      </c>
      <c r="AP320" s="6" t="s">
        <v>443</v>
      </c>
      <c r="AQ320" s="6">
        <v>46078</v>
      </c>
      <c r="AR320" s="6">
        <v>409</v>
      </c>
      <c r="AS320" s="6" t="s">
        <v>444</v>
      </c>
      <c r="AT320" s="6" t="s">
        <v>3</v>
      </c>
      <c r="AU320" s="6" t="s">
        <v>443</v>
      </c>
      <c r="AV320" s="6">
        <v>45957</v>
      </c>
      <c r="AW320" s="6">
        <v>23615</v>
      </c>
      <c r="AX320" s="6" t="s">
        <v>445</v>
      </c>
    </row>
    <row r="324" spans="1:5" x14ac:dyDescent="0.2">
      <c r="A324">
        <v>65</v>
      </c>
      <c r="C324">
        <v>1</v>
      </c>
      <c r="D324">
        <v>0</v>
      </c>
      <c r="E324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6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446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72597</v>
      </c>
      <c r="M1" s="2">
        <v>63736869</v>
      </c>
      <c r="N1" s="2">
        <v>12</v>
      </c>
      <c r="O1" s="2">
        <v>1</v>
      </c>
      <c r="P1" s="2">
        <v>0</v>
      </c>
      <c r="Q1" s="2">
        <v>4</v>
      </c>
    </row>
    <row r="12" spans="1:133" x14ac:dyDescent="0.2">
      <c r="A12" s="8">
        <v>1</v>
      </c>
      <c r="B12" s="8">
        <v>54</v>
      </c>
      <c r="C12" s="8">
        <v>0</v>
      </c>
      <c r="D12" s="8"/>
      <c r="E12" s="8">
        <v>0</v>
      </c>
      <c r="F12" s="8" t="s">
        <v>3</v>
      </c>
      <c r="G12" s="8" t="s">
        <v>4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5</v>
      </c>
      <c r="BI12" s="8" t="s">
        <v>6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1</v>
      </c>
      <c r="BU12" s="8">
        <v>0</v>
      </c>
      <c r="BV12" s="8">
        <v>1</v>
      </c>
      <c r="BW12" s="8">
        <v>1</v>
      </c>
      <c r="BX12" s="8">
        <v>0</v>
      </c>
      <c r="BY12" s="8" t="s">
        <v>7</v>
      </c>
      <c r="BZ12" s="8" t="s">
        <v>8</v>
      </c>
      <c r="CA12" s="8" t="s">
        <v>9</v>
      </c>
      <c r="CB12" s="8" t="s">
        <v>9</v>
      </c>
      <c r="CC12" s="8" t="s">
        <v>9</v>
      </c>
      <c r="CD12" s="8" t="s">
        <v>9</v>
      </c>
      <c r="CE12" s="8" t="s">
        <v>10</v>
      </c>
      <c r="CF12" s="8">
        <v>0</v>
      </c>
      <c r="CG12" s="8">
        <v>0</v>
      </c>
      <c r="CH12" s="8">
        <v>487096330</v>
      </c>
      <c r="CI12" s="8" t="s">
        <v>3</v>
      </c>
      <c r="CJ12" s="8" t="s">
        <v>3</v>
      </c>
      <c r="CK12" s="8">
        <v>18</v>
      </c>
      <c r="CL12" s="8"/>
      <c r="CM12" s="8"/>
      <c r="CN12" s="8"/>
      <c r="CO12" s="8"/>
      <c r="CP12" s="8"/>
      <c r="CQ12" s="8" t="s">
        <v>11</v>
      </c>
      <c r="CR12" s="8" t="s">
        <v>12</v>
      </c>
      <c r="CS12" s="8">
        <v>46073</v>
      </c>
      <c r="CT12" s="8">
        <v>540</v>
      </c>
      <c r="CU12" s="8">
        <v>17</v>
      </c>
      <c r="CV12" s="8" t="s">
        <v>649</v>
      </c>
      <c r="CW12" s="8"/>
      <c r="CX12" s="8"/>
      <c r="CY12" s="8">
        <v>0</v>
      </c>
      <c r="CZ12" s="8" t="s">
        <v>3</v>
      </c>
      <c r="DA12" s="8" t="s">
        <v>3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80308166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3</v>
      </c>
      <c r="D16" s="9" t="s">
        <v>13</v>
      </c>
      <c r="E16" s="10">
        <f>ROUND((Source!F245)/1000,2)</f>
        <v>358</v>
      </c>
      <c r="F16" s="10">
        <f>ROUND((Source!F246)/1000,2)</f>
        <v>87.04</v>
      </c>
      <c r="G16" s="10">
        <f>ROUND((Source!F237)/1000,2)</f>
        <v>38.28</v>
      </c>
      <c r="H16" s="10">
        <f>ROUND((Source!F247)/1000+(Source!F248)/1000,2)</f>
        <v>0</v>
      </c>
      <c r="I16" s="10">
        <f>E16+F16+G16+H16</f>
        <v>483.32000000000005</v>
      </c>
      <c r="J16" s="10">
        <f>ROUND((Source!F243+Source!F242)/1000,2)</f>
        <v>128.63</v>
      </c>
      <c r="K16" s="10">
        <v>438.62</v>
      </c>
      <c r="L16" s="10">
        <v>0</v>
      </c>
      <c r="M16" s="10">
        <v>0</v>
      </c>
      <c r="N16" s="10">
        <f>I16+L16+M16</f>
        <v>483.32000000000005</v>
      </c>
      <c r="AI16" s="9">
        <v>0</v>
      </c>
      <c r="AJ16" s="9">
        <v>0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246620.16999999998</v>
      </c>
      <c r="AU16" s="10">
        <v>154350.03999999998</v>
      </c>
      <c r="AV16" s="10">
        <v>0</v>
      </c>
      <c r="AW16" s="10">
        <v>38280.53</v>
      </c>
      <c r="AX16" s="10">
        <v>0</v>
      </c>
      <c r="AY16" s="10">
        <v>1294.5</v>
      </c>
      <c r="AZ16" s="10">
        <v>666.3</v>
      </c>
      <c r="BA16" s="10">
        <v>127959.4</v>
      </c>
      <c r="BB16" s="10">
        <v>358004.47999999998</v>
      </c>
      <c r="BC16" s="10">
        <v>87041.14</v>
      </c>
      <c r="BD16" s="10">
        <v>0</v>
      </c>
      <c r="BE16" s="10">
        <v>0</v>
      </c>
      <c r="BF16" s="10">
        <v>179.30515220000001</v>
      </c>
      <c r="BG16" s="10">
        <v>0.84961500000000001</v>
      </c>
      <c r="BH16" s="10">
        <v>0</v>
      </c>
      <c r="BI16" s="10">
        <v>130134.19</v>
      </c>
      <c r="BJ16" s="10">
        <v>68291.259999999995</v>
      </c>
      <c r="BK16" s="10">
        <v>483326.15</v>
      </c>
    </row>
    <row r="18" spans="1:16" x14ac:dyDescent="0.2">
      <c r="A18" s="2">
        <v>51</v>
      </c>
      <c r="E18" s="2">
        <v>358</v>
      </c>
      <c r="F18" s="2">
        <v>87.04</v>
      </c>
      <c r="G18" s="2">
        <v>38.28</v>
      </c>
      <c r="H18" s="2">
        <v>0</v>
      </c>
      <c r="I18" s="2">
        <v>483.32</v>
      </c>
      <c r="J18" s="2">
        <v>128.63</v>
      </c>
      <c r="K18" s="2">
        <v>438.62</v>
      </c>
      <c r="L18" s="2">
        <v>0</v>
      </c>
      <c r="M18" s="2">
        <v>0</v>
      </c>
      <c r="N18" s="2">
        <v>483.32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246620.16999999995</v>
      </c>
      <c r="G20" s="11" t="s">
        <v>97</v>
      </c>
      <c r="H20" s="11" t="s">
        <v>98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154350.03999999998</v>
      </c>
      <c r="G21" s="11" t="s">
        <v>99</v>
      </c>
      <c r="H21" s="11" t="s">
        <v>100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101</v>
      </c>
      <c r="H22" s="11" t="s">
        <v>102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154350.04</v>
      </c>
      <c r="G23" s="11" t="s">
        <v>103</v>
      </c>
      <c r="H23" s="11" t="s">
        <v>104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116069.51</v>
      </c>
      <c r="G24" s="11" t="s">
        <v>105</v>
      </c>
      <c r="H24" s="11" t="s">
        <v>106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107</v>
      </c>
      <c r="H25" s="11" t="s">
        <v>108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116069.51</v>
      </c>
      <c r="G26" s="11" t="s">
        <v>109</v>
      </c>
      <c r="H26" s="11" t="s">
        <v>110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38280.53</v>
      </c>
      <c r="G27" s="11" t="s">
        <v>111</v>
      </c>
      <c r="H27" s="11" t="s">
        <v>112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113</v>
      </c>
      <c r="H28" s="11" t="s">
        <v>114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38280.53</v>
      </c>
      <c r="G29" s="11" t="s">
        <v>115</v>
      </c>
      <c r="H29" s="11" t="s">
        <v>116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1294.5</v>
      </c>
      <c r="G30" s="11" t="s">
        <v>117</v>
      </c>
      <c r="H30" s="11" t="s">
        <v>118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119</v>
      </c>
      <c r="H31" s="11" t="s">
        <v>120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666.30000000000007</v>
      </c>
      <c r="G32" s="11" t="s">
        <v>121</v>
      </c>
      <c r="H32" s="11" t="s">
        <v>122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127959.39999999998</v>
      </c>
      <c r="G33" s="11" t="s">
        <v>123</v>
      </c>
      <c r="H33" s="11" t="s">
        <v>124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125</v>
      </c>
      <c r="H34" s="11" t="s">
        <v>126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358004.47999999998</v>
      </c>
      <c r="G35" s="11" t="s">
        <v>127</v>
      </c>
      <c r="H35" s="11" t="s">
        <v>128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87041.14</v>
      </c>
      <c r="G36" s="11" t="s">
        <v>129</v>
      </c>
      <c r="H36" s="11" t="s">
        <v>130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131</v>
      </c>
      <c r="H37" s="11" t="s">
        <v>132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133</v>
      </c>
      <c r="H38" s="11" t="s">
        <v>134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135</v>
      </c>
      <c r="H39" s="11" t="s">
        <v>136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179.30515220000001</v>
      </c>
      <c r="G40" s="11" t="s">
        <v>137</v>
      </c>
      <c r="H40" s="11" t="s">
        <v>138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0.84961500000000001</v>
      </c>
      <c r="G41" s="11" t="s">
        <v>139</v>
      </c>
      <c r="H41" s="11" t="s">
        <v>140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141</v>
      </c>
      <c r="H42" s="11" t="s">
        <v>142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630.46</v>
      </c>
      <c r="G43" s="11" t="s">
        <v>143</v>
      </c>
      <c r="H43" s="11" t="s">
        <v>144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130134.19</v>
      </c>
      <c r="G44" s="11" t="s">
        <v>145</v>
      </c>
      <c r="H44" s="11" t="s">
        <v>146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68291.259999999995</v>
      </c>
      <c r="G45" s="11" t="s">
        <v>147</v>
      </c>
      <c r="H45" s="11" t="s">
        <v>148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483326.15</v>
      </c>
      <c r="G46" s="11" t="s">
        <v>149</v>
      </c>
      <c r="H46" s="11" t="s">
        <v>150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7" spans="1:16" x14ac:dyDescent="0.2">
      <c r="A47" s="11">
        <v>50</v>
      </c>
      <c r="B47" s="11">
        <v>1</v>
      </c>
      <c r="C47" s="11">
        <v>0</v>
      </c>
      <c r="D47" s="11">
        <v>2</v>
      </c>
      <c r="E47" s="11">
        <v>0</v>
      </c>
      <c r="F47" s="11">
        <v>483326.15</v>
      </c>
      <c r="G47" s="11" t="s">
        <v>365</v>
      </c>
      <c r="H47" s="11" t="s">
        <v>366</v>
      </c>
      <c r="I47" s="11"/>
      <c r="J47" s="11"/>
      <c r="K47" s="11">
        <v>212</v>
      </c>
      <c r="L47" s="11">
        <v>28</v>
      </c>
      <c r="M47" s="11">
        <v>0</v>
      </c>
      <c r="N47" s="11" t="s">
        <v>3</v>
      </c>
      <c r="O47" s="11">
        <v>2</v>
      </c>
      <c r="P47" s="11"/>
    </row>
    <row r="48" spans="1:16" x14ac:dyDescent="0.2">
      <c r="A48" s="11">
        <v>50</v>
      </c>
      <c r="B48" s="11">
        <v>1</v>
      </c>
      <c r="C48" s="11">
        <v>0</v>
      </c>
      <c r="D48" s="11">
        <v>2</v>
      </c>
      <c r="E48" s="11">
        <v>0</v>
      </c>
      <c r="F48" s="11">
        <v>106331.75</v>
      </c>
      <c r="G48" s="11" t="s">
        <v>367</v>
      </c>
      <c r="H48" s="11" t="s">
        <v>368</v>
      </c>
      <c r="I48" s="11"/>
      <c r="J48" s="11"/>
      <c r="K48" s="11">
        <v>212</v>
      </c>
      <c r="L48" s="11">
        <v>29</v>
      </c>
      <c r="M48" s="11">
        <v>0</v>
      </c>
      <c r="N48" s="11" t="s">
        <v>3</v>
      </c>
      <c r="O48" s="11">
        <v>2</v>
      </c>
      <c r="P48" s="11"/>
    </row>
    <row r="49" spans="1:50" x14ac:dyDescent="0.2">
      <c r="A49" s="11">
        <v>50</v>
      </c>
      <c r="B49" s="11">
        <v>1</v>
      </c>
      <c r="C49" s="11">
        <v>0</v>
      </c>
      <c r="D49" s="11">
        <v>2</v>
      </c>
      <c r="E49" s="11">
        <v>213</v>
      </c>
      <c r="F49" s="11">
        <v>589657.9</v>
      </c>
      <c r="G49" s="11" t="s">
        <v>369</v>
      </c>
      <c r="H49" s="11" t="s">
        <v>370</v>
      </c>
      <c r="I49" s="11"/>
      <c r="J49" s="11"/>
      <c r="K49" s="11">
        <v>212</v>
      </c>
      <c r="L49" s="11">
        <v>30</v>
      </c>
      <c r="M49" s="11">
        <v>0</v>
      </c>
      <c r="N49" s="11" t="s">
        <v>3</v>
      </c>
      <c r="O49" s="11">
        <v>2</v>
      </c>
      <c r="P49" s="11"/>
    </row>
    <row r="51" spans="1:50" x14ac:dyDescent="0.2">
      <c r="A51" s="2">
        <v>-1</v>
      </c>
    </row>
    <row r="54" spans="1:50" x14ac:dyDescent="0.2">
      <c r="A54" s="12">
        <v>75</v>
      </c>
      <c r="B54" s="12" t="s">
        <v>437</v>
      </c>
      <c r="C54" s="12">
        <v>2026</v>
      </c>
      <c r="D54" s="12">
        <v>1</v>
      </c>
      <c r="E54" s="12">
        <v>0</v>
      </c>
      <c r="F54" s="12">
        <v>1</v>
      </c>
      <c r="G54" s="12">
        <v>0</v>
      </c>
      <c r="H54" s="12">
        <v>1</v>
      </c>
      <c r="I54" s="12">
        <v>0</v>
      </c>
      <c r="J54" s="12">
        <v>3</v>
      </c>
      <c r="K54" s="12">
        <v>0</v>
      </c>
      <c r="L54" s="12">
        <v>0</v>
      </c>
      <c r="M54" s="12">
        <v>0</v>
      </c>
      <c r="N54" s="12">
        <v>80308166</v>
      </c>
      <c r="O54" s="12">
        <v>1</v>
      </c>
    </row>
    <row r="55" spans="1:50" x14ac:dyDescent="0.2">
      <c r="A55" s="13">
        <v>2</v>
      </c>
      <c r="B55" s="13" t="s">
        <v>438</v>
      </c>
      <c r="C55" s="13" t="s">
        <v>439</v>
      </c>
      <c r="D55" s="13">
        <v>0</v>
      </c>
      <c r="E55" s="13">
        <v>0</v>
      </c>
      <c r="F55" s="13">
        <v>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>
        <v>80308167</v>
      </c>
    </row>
    <row r="56" spans="1:50" x14ac:dyDescent="0.2">
      <c r="A56" s="13">
        <v>1</v>
      </c>
      <c r="B56" s="13" t="s">
        <v>440</v>
      </c>
      <c r="C56" s="13" t="s">
        <v>441</v>
      </c>
      <c r="D56" s="13">
        <v>2026</v>
      </c>
      <c r="E56" s="13">
        <v>3</v>
      </c>
      <c r="F56" s="13">
        <v>1</v>
      </c>
      <c r="G56" s="13">
        <v>1</v>
      </c>
      <c r="H56" s="13">
        <v>0</v>
      </c>
      <c r="I56" s="13">
        <v>2</v>
      </c>
      <c r="J56" s="13">
        <v>1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1</v>
      </c>
      <c r="Q56" s="13">
        <v>1</v>
      </c>
      <c r="R56" s="13" t="s">
        <v>3</v>
      </c>
      <c r="S56" s="13" t="s">
        <v>3</v>
      </c>
      <c r="T56" s="13" t="s">
        <v>3</v>
      </c>
      <c r="U56" s="13" t="s">
        <v>3</v>
      </c>
      <c r="V56" s="13" t="s">
        <v>3</v>
      </c>
      <c r="W56" s="13" t="s">
        <v>3</v>
      </c>
      <c r="X56" s="13" t="s">
        <v>3</v>
      </c>
      <c r="Y56" s="13" t="s">
        <v>3</v>
      </c>
      <c r="Z56" s="13" t="s">
        <v>3</v>
      </c>
      <c r="AA56" s="13" t="s">
        <v>3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>
        <v>80308168</v>
      </c>
      <c r="AO56" s="13" t="s">
        <v>442</v>
      </c>
      <c r="AP56" s="13" t="s">
        <v>443</v>
      </c>
      <c r="AQ56" s="13">
        <v>46078</v>
      </c>
      <c r="AR56" s="13">
        <v>409</v>
      </c>
      <c r="AS56" s="13" t="s">
        <v>444</v>
      </c>
      <c r="AT56" s="13" t="s">
        <v>3</v>
      </c>
      <c r="AU56" s="13" t="s">
        <v>443</v>
      </c>
      <c r="AV56" s="13">
        <v>45957</v>
      </c>
      <c r="AW56" s="13">
        <v>23615</v>
      </c>
      <c r="AX56" s="13" t="s">
        <v>445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1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80308166</v>
      </c>
      <c r="C1">
        <v>80308465</v>
      </c>
      <c r="D1">
        <v>72850637</v>
      </c>
      <c r="E1">
        <v>114</v>
      </c>
      <c r="F1">
        <v>1</v>
      </c>
      <c r="G1">
        <v>1</v>
      </c>
      <c r="H1">
        <v>1</v>
      </c>
      <c r="I1" t="s">
        <v>447</v>
      </c>
      <c r="J1" t="s">
        <v>3</v>
      </c>
      <c r="K1" t="s">
        <v>448</v>
      </c>
      <c r="L1">
        <v>1191</v>
      </c>
      <c r="N1">
        <v>1013</v>
      </c>
      <c r="O1" t="s">
        <v>449</v>
      </c>
      <c r="P1" t="s">
        <v>449</v>
      </c>
      <c r="Q1">
        <v>1</v>
      </c>
      <c r="W1">
        <v>0</v>
      </c>
      <c r="X1">
        <v>-715079457</v>
      </c>
      <c r="Y1">
        <f t="shared" ref="Y1:Y11" si="0">AT1</f>
        <v>308</v>
      </c>
      <c r="AA1">
        <v>0</v>
      </c>
      <c r="AB1">
        <v>0</v>
      </c>
      <c r="AC1">
        <v>0</v>
      </c>
      <c r="AD1">
        <v>681.63</v>
      </c>
      <c r="AE1">
        <v>0</v>
      </c>
      <c r="AF1">
        <v>0</v>
      </c>
      <c r="AG1">
        <v>0</v>
      </c>
      <c r="AH1">
        <v>681.63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308</v>
      </c>
      <c r="AU1" t="s">
        <v>3</v>
      </c>
      <c r="AV1">
        <v>1</v>
      </c>
      <c r="AW1">
        <v>2</v>
      </c>
      <c r="AX1">
        <v>80308473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209942.04</v>
      </c>
      <c r="BN1">
        <v>308</v>
      </c>
      <c r="BO1">
        <v>0</v>
      </c>
      <c r="BP1">
        <v>1</v>
      </c>
      <c r="BQ1">
        <v>0</v>
      </c>
      <c r="BR1">
        <v>0</v>
      </c>
      <c r="BS1">
        <v>0</v>
      </c>
      <c r="BT1">
        <v>209942.04</v>
      </c>
      <c r="BU1">
        <v>308</v>
      </c>
      <c r="BV1">
        <v>0</v>
      </c>
      <c r="BW1">
        <v>1</v>
      </c>
      <c r="CU1">
        <f>ROUND(AT1*Source!I28*AH1*AL1,2)</f>
        <v>2099.42</v>
      </c>
      <c r="CV1">
        <f>ROUND(Y1*Source!I28,7)</f>
        <v>3.08</v>
      </c>
      <c r="CW1">
        <v>0</v>
      </c>
      <c r="CX1">
        <f>ROUND(Y1*Source!I28,7)</f>
        <v>3.08</v>
      </c>
      <c r="CY1">
        <f>AD1</f>
        <v>681.63</v>
      </c>
      <c r="CZ1">
        <f>AH1</f>
        <v>681.63</v>
      </c>
      <c r="DA1">
        <f>AL1</f>
        <v>1</v>
      </c>
      <c r="DB1">
        <f t="shared" ref="DB1:DB11" si="1">ROUND(ROUND(AT1*CZ1,2),6)</f>
        <v>209942.04</v>
      </c>
      <c r="DC1">
        <f t="shared" ref="DC1:DC11" si="2">ROUND(ROUND(AT1*AG1,2),6)</f>
        <v>0</v>
      </c>
      <c r="DD1" t="s">
        <v>3</v>
      </c>
      <c r="DE1" t="s">
        <v>3</v>
      </c>
      <c r="DF1">
        <f>ROUND(ROUND(AE1,2)*CX1,2)</f>
        <v>0</v>
      </c>
      <c r="DG1">
        <f t="shared" ref="DG1:DG9" si="3">ROUND(ROUND(AF1,2)*CX1,2)</f>
        <v>0</v>
      </c>
      <c r="DH1">
        <f t="shared" ref="DH1:DH64" si="4">ROUND(ROUND(AG1,2)*CX1,2)</f>
        <v>0</v>
      </c>
      <c r="DI1">
        <f t="shared" ref="DI1:DI64" si="5">ROUND(ROUND(AH1,2)*CX1,2)</f>
        <v>2099.42</v>
      </c>
      <c r="DJ1">
        <f>DI1</f>
        <v>2099.42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80308166</v>
      </c>
      <c r="C2">
        <v>80308465</v>
      </c>
      <c r="D2">
        <v>72850822</v>
      </c>
      <c r="E2">
        <v>114</v>
      </c>
      <c r="F2">
        <v>1</v>
      </c>
      <c r="G2">
        <v>1</v>
      </c>
      <c r="H2">
        <v>1</v>
      </c>
      <c r="I2" t="s">
        <v>450</v>
      </c>
      <c r="J2" t="s">
        <v>3</v>
      </c>
      <c r="K2" t="s">
        <v>451</v>
      </c>
      <c r="L2">
        <v>1191</v>
      </c>
      <c r="N2">
        <v>1013</v>
      </c>
      <c r="O2" t="s">
        <v>449</v>
      </c>
      <c r="P2" t="s">
        <v>449</v>
      </c>
      <c r="Q2">
        <v>1</v>
      </c>
      <c r="W2">
        <v>0</v>
      </c>
      <c r="X2">
        <v>-1417349443</v>
      </c>
      <c r="Y2">
        <f t="shared" si="0"/>
        <v>4.2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4.2</v>
      </c>
      <c r="AU2" t="s">
        <v>3</v>
      </c>
      <c r="AV2">
        <v>2</v>
      </c>
      <c r="AW2">
        <v>2</v>
      </c>
      <c r="AX2">
        <v>80308474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ROUND(Y2*Source!I28,7)</f>
        <v>4.2000000000000003E-2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>ROUND(ROUND(AE2,2)*CX2,2)</f>
        <v>0</v>
      </c>
      <c r="DG2">
        <f t="shared" si="3"/>
        <v>0</v>
      </c>
      <c r="DH2">
        <f t="shared" si="4"/>
        <v>0</v>
      </c>
      <c r="DI2">
        <f t="shared" si="5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80308166</v>
      </c>
      <c r="C3">
        <v>80308465</v>
      </c>
      <c r="D3">
        <v>72976159</v>
      </c>
      <c r="E3">
        <v>1</v>
      </c>
      <c r="F3">
        <v>1</v>
      </c>
      <c r="G3">
        <v>1</v>
      </c>
      <c r="H3">
        <v>2</v>
      </c>
      <c r="I3" t="s">
        <v>452</v>
      </c>
      <c r="J3" t="s">
        <v>453</v>
      </c>
      <c r="K3" t="s">
        <v>454</v>
      </c>
      <c r="L3">
        <v>1368</v>
      </c>
      <c r="N3">
        <v>1011</v>
      </c>
      <c r="O3" t="s">
        <v>455</v>
      </c>
      <c r="P3" t="s">
        <v>455</v>
      </c>
      <c r="Q3">
        <v>1</v>
      </c>
      <c r="W3">
        <v>0</v>
      </c>
      <c r="X3">
        <v>-1152394969</v>
      </c>
      <c r="Y3">
        <f t="shared" si="0"/>
        <v>4.2</v>
      </c>
      <c r="AA3">
        <v>0</v>
      </c>
      <c r="AB3">
        <v>643.29</v>
      </c>
      <c r="AC3">
        <v>722.05</v>
      </c>
      <c r="AD3">
        <v>0</v>
      </c>
      <c r="AE3">
        <v>0</v>
      </c>
      <c r="AF3">
        <v>643.29</v>
      </c>
      <c r="AG3">
        <v>722.05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4.2</v>
      </c>
      <c r="AU3" t="s">
        <v>3</v>
      </c>
      <c r="AV3">
        <v>1</v>
      </c>
      <c r="AW3">
        <v>2</v>
      </c>
      <c r="AX3">
        <v>80308475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2701.8179999999998</v>
      </c>
      <c r="BL3">
        <v>3032.61</v>
      </c>
      <c r="BM3">
        <v>0</v>
      </c>
      <c r="BN3">
        <v>0</v>
      </c>
      <c r="BO3">
        <v>4.2</v>
      </c>
      <c r="BP3">
        <v>1</v>
      </c>
      <c r="BQ3">
        <v>0</v>
      </c>
      <c r="BR3">
        <v>2701.8179999999998</v>
      </c>
      <c r="BS3">
        <v>3032.61</v>
      </c>
      <c r="BT3">
        <v>0</v>
      </c>
      <c r="BU3">
        <v>0</v>
      </c>
      <c r="BV3">
        <v>4.2</v>
      </c>
      <c r="BW3">
        <v>1</v>
      </c>
      <c r="CV3">
        <v>0</v>
      </c>
      <c r="CW3">
        <f>ROUND(Y3*Source!I28*DO3,7)</f>
        <v>4.2000000000000003E-2</v>
      </c>
      <c r="CX3">
        <f>ROUND(Y3*Source!I28,7)</f>
        <v>4.2000000000000003E-2</v>
      </c>
      <c r="CY3">
        <f>AB3</f>
        <v>643.29</v>
      </c>
      <c r="CZ3">
        <f>AF3</f>
        <v>643.29</v>
      </c>
      <c r="DA3">
        <f>AJ3</f>
        <v>1</v>
      </c>
      <c r="DB3">
        <f t="shared" si="1"/>
        <v>2701.82</v>
      </c>
      <c r="DC3">
        <f t="shared" si="2"/>
        <v>3032.61</v>
      </c>
      <c r="DD3" t="s">
        <v>3</v>
      </c>
      <c r="DE3" t="s">
        <v>3</v>
      </c>
      <c r="DF3">
        <f>ROUND(ROUND(AE3,2)*CX3,2)</f>
        <v>0</v>
      </c>
      <c r="DG3">
        <f t="shared" si="3"/>
        <v>27.02</v>
      </c>
      <c r="DH3">
        <f t="shared" si="4"/>
        <v>30.33</v>
      </c>
      <c r="DI3">
        <f t="shared" si="5"/>
        <v>0</v>
      </c>
      <c r="DJ3">
        <f>DG3+DH3</f>
        <v>57.349999999999994</v>
      </c>
      <c r="DK3">
        <v>1</v>
      </c>
      <c r="DL3" t="s">
        <v>456</v>
      </c>
      <c r="DM3">
        <v>4</v>
      </c>
      <c r="DN3" t="s">
        <v>449</v>
      </c>
      <c r="DO3">
        <v>1</v>
      </c>
    </row>
    <row r="4" spans="1:119" x14ac:dyDescent="0.2">
      <c r="A4">
        <f>ROW(Source!A28)</f>
        <v>28</v>
      </c>
      <c r="B4">
        <v>80308166</v>
      </c>
      <c r="C4">
        <v>80308465</v>
      </c>
      <c r="D4">
        <v>72919988</v>
      </c>
      <c r="E4">
        <v>1</v>
      </c>
      <c r="F4">
        <v>1</v>
      </c>
      <c r="G4">
        <v>1</v>
      </c>
      <c r="H4">
        <v>3</v>
      </c>
      <c r="I4" t="s">
        <v>457</v>
      </c>
      <c r="J4" t="s">
        <v>458</v>
      </c>
      <c r="K4" t="s">
        <v>459</v>
      </c>
      <c r="L4">
        <v>1407</v>
      </c>
      <c r="N4">
        <v>1013</v>
      </c>
      <c r="O4" t="s">
        <v>460</v>
      </c>
      <c r="P4" t="s">
        <v>460</v>
      </c>
      <c r="Q4">
        <v>1</v>
      </c>
      <c r="W4">
        <v>0</v>
      </c>
      <c r="X4">
        <v>-819936498</v>
      </c>
      <c r="Y4">
        <f t="shared" si="0"/>
        <v>0.2</v>
      </c>
      <c r="AA4">
        <v>16142.86</v>
      </c>
      <c r="AB4">
        <v>0</v>
      </c>
      <c r="AC4">
        <v>0</v>
      </c>
      <c r="AD4">
        <v>0</v>
      </c>
      <c r="AE4">
        <v>13680.39</v>
      </c>
      <c r="AF4">
        <v>0</v>
      </c>
      <c r="AG4">
        <v>0</v>
      </c>
      <c r="AH4">
        <v>0</v>
      </c>
      <c r="AI4">
        <v>1.18</v>
      </c>
      <c r="AJ4">
        <v>1</v>
      </c>
      <c r="AK4">
        <v>1</v>
      </c>
      <c r="AL4">
        <v>1</v>
      </c>
      <c r="AM4">
        <v>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0.2</v>
      </c>
      <c r="AU4" t="s">
        <v>3</v>
      </c>
      <c r="AV4">
        <v>0</v>
      </c>
      <c r="AW4">
        <v>2</v>
      </c>
      <c r="AX4">
        <v>80308476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2736.078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2736.078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CV4">
        <v>0</v>
      </c>
      <c r="CW4">
        <v>0</v>
      </c>
      <c r="CX4">
        <f>ROUND(Y4*Source!I28,7)</f>
        <v>2E-3</v>
      </c>
      <c r="CY4">
        <f>AA4</f>
        <v>16142.86</v>
      </c>
      <c r="CZ4">
        <f>AE4</f>
        <v>13680.39</v>
      </c>
      <c r="DA4">
        <f>AI4</f>
        <v>1.18</v>
      </c>
      <c r="DB4">
        <f t="shared" si="1"/>
        <v>2736.08</v>
      </c>
      <c r="DC4">
        <f t="shared" si="2"/>
        <v>0</v>
      </c>
      <c r="DD4" t="s">
        <v>3</v>
      </c>
      <c r="DE4" t="s">
        <v>3</v>
      </c>
      <c r="DF4">
        <f>ROUND(ROUND(AE4*AI4,2)*CX4,2)</f>
        <v>32.29</v>
      </c>
      <c r="DG4">
        <f t="shared" si="3"/>
        <v>0</v>
      </c>
      <c r="DH4">
        <f t="shared" si="4"/>
        <v>0</v>
      </c>
      <c r="DI4">
        <f t="shared" si="5"/>
        <v>0</v>
      </c>
      <c r="DJ4">
        <f>DF4</f>
        <v>32.29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ROW(Source!A28)</f>
        <v>28</v>
      </c>
      <c r="B5">
        <v>80308166</v>
      </c>
      <c r="C5">
        <v>80308465</v>
      </c>
      <c r="D5">
        <v>72923822</v>
      </c>
      <c r="E5">
        <v>1</v>
      </c>
      <c r="F5">
        <v>1</v>
      </c>
      <c r="G5">
        <v>1</v>
      </c>
      <c r="H5">
        <v>3</v>
      </c>
      <c r="I5" t="s">
        <v>461</v>
      </c>
      <c r="J5" t="s">
        <v>462</v>
      </c>
      <c r="K5" t="s">
        <v>463</v>
      </c>
      <c r="L5">
        <v>1348</v>
      </c>
      <c r="N5">
        <v>1009</v>
      </c>
      <c r="O5" t="s">
        <v>35</v>
      </c>
      <c r="P5" t="s">
        <v>35</v>
      </c>
      <c r="Q5">
        <v>1000</v>
      </c>
      <c r="W5">
        <v>0</v>
      </c>
      <c r="X5">
        <v>-1714029452</v>
      </c>
      <c r="Y5">
        <f t="shared" si="0"/>
        <v>0.21</v>
      </c>
      <c r="AA5">
        <v>165402</v>
      </c>
      <c r="AB5">
        <v>0</v>
      </c>
      <c r="AC5">
        <v>0</v>
      </c>
      <c r="AD5">
        <v>0</v>
      </c>
      <c r="AE5">
        <v>151744.95000000001</v>
      </c>
      <c r="AF5">
        <v>0</v>
      </c>
      <c r="AG5">
        <v>0</v>
      </c>
      <c r="AH5">
        <v>0</v>
      </c>
      <c r="AI5">
        <v>1.0900000000000001</v>
      </c>
      <c r="AJ5">
        <v>1</v>
      </c>
      <c r="AK5">
        <v>1</v>
      </c>
      <c r="AL5">
        <v>1</v>
      </c>
      <c r="AM5">
        <v>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0.21</v>
      </c>
      <c r="AU5" t="s">
        <v>3</v>
      </c>
      <c r="AV5">
        <v>0</v>
      </c>
      <c r="AW5">
        <v>2</v>
      </c>
      <c r="AX5">
        <v>80308477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31866.4395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31866.4395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CV5">
        <v>0</v>
      </c>
      <c r="CW5">
        <v>0</v>
      </c>
      <c r="CX5">
        <f>ROUND(Y5*Source!I28,7)</f>
        <v>2.0999999999999999E-3</v>
      </c>
      <c r="CY5">
        <f>AA5</f>
        <v>165402</v>
      </c>
      <c r="CZ5">
        <f>AE5</f>
        <v>151744.95000000001</v>
      </c>
      <c r="DA5">
        <f>AI5</f>
        <v>1.0900000000000001</v>
      </c>
      <c r="DB5">
        <f t="shared" si="1"/>
        <v>31866.44</v>
      </c>
      <c r="DC5">
        <f t="shared" si="2"/>
        <v>0</v>
      </c>
      <c r="DD5" t="s">
        <v>3</v>
      </c>
      <c r="DE5" t="s">
        <v>3</v>
      </c>
      <c r="DF5">
        <f>ROUND(ROUND(AE5*AI5,2)*CX5,2)</f>
        <v>347.34</v>
      </c>
      <c r="DG5">
        <f t="shared" si="3"/>
        <v>0</v>
      </c>
      <c r="DH5">
        <f t="shared" si="4"/>
        <v>0</v>
      </c>
      <c r="DI5">
        <f t="shared" si="5"/>
        <v>0</v>
      </c>
      <c r="DJ5">
        <f>DF5</f>
        <v>347.34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ROW(Source!A28)</f>
        <v>28</v>
      </c>
      <c r="B6">
        <v>80308166</v>
      </c>
      <c r="C6">
        <v>80308465</v>
      </c>
      <c r="D6">
        <v>77519621</v>
      </c>
      <c r="E6">
        <v>1</v>
      </c>
      <c r="F6">
        <v>1</v>
      </c>
      <c r="G6">
        <v>1</v>
      </c>
      <c r="H6">
        <v>3</v>
      </c>
      <c r="I6" t="s">
        <v>28</v>
      </c>
      <c r="J6" t="s">
        <v>31</v>
      </c>
      <c r="K6" t="s">
        <v>29</v>
      </c>
      <c r="L6">
        <v>1371</v>
      </c>
      <c r="N6">
        <v>1013</v>
      </c>
      <c r="O6" t="s">
        <v>30</v>
      </c>
      <c r="P6" t="s">
        <v>30</v>
      </c>
      <c r="Q6">
        <v>1</v>
      </c>
      <c r="W6">
        <v>0</v>
      </c>
      <c r="X6">
        <v>-219717153</v>
      </c>
      <c r="Y6">
        <f t="shared" si="0"/>
        <v>100</v>
      </c>
      <c r="AA6">
        <v>12923.91</v>
      </c>
      <c r="AB6">
        <v>0</v>
      </c>
      <c r="AC6">
        <v>0</v>
      </c>
      <c r="AD6">
        <v>0</v>
      </c>
      <c r="AE6">
        <v>9790.84</v>
      </c>
      <c r="AF6">
        <v>0</v>
      </c>
      <c r="AG6">
        <v>0</v>
      </c>
      <c r="AH6">
        <v>0</v>
      </c>
      <c r="AI6">
        <v>1.32</v>
      </c>
      <c r="AJ6">
        <v>1</v>
      </c>
      <c r="AK6">
        <v>1</v>
      </c>
      <c r="AL6">
        <v>1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 t="s">
        <v>3</v>
      </c>
      <c r="AT6">
        <v>100</v>
      </c>
      <c r="AU6" t="s">
        <v>3</v>
      </c>
      <c r="AV6">
        <v>0</v>
      </c>
      <c r="AW6">
        <v>1</v>
      </c>
      <c r="AX6">
        <v>-1</v>
      </c>
      <c r="AY6">
        <v>0</v>
      </c>
      <c r="AZ6">
        <v>0</v>
      </c>
      <c r="BA6" t="s">
        <v>3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ROUND(Y6*Source!I28,7)</f>
        <v>1</v>
      </c>
      <c r="CY6">
        <f>AA6</f>
        <v>12923.91</v>
      </c>
      <c r="CZ6">
        <f>AE6</f>
        <v>9790.84</v>
      </c>
      <c r="DA6">
        <f>AI6</f>
        <v>1.32</v>
      </c>
      <c r="DB6">
        <f t="shared" si="1"/>
        <v>979084</v>
      </c>
      <c r="DC6">
        <f t="shared" si="2"/>
        <v>0</v>
      </c>
      <c r="DD6" t="s">
        <v>3</v>
      </c>
      <c r="DE6" t="s">
        <v>3</v>
      </c>
      <c r="DF6">
        <f>ROUND(ROUND(AE6*AI6,2)*CX6,2)</f>
        <v>12923.91</v>
      </c>
      <c r="DG6">
        <f t="shared" si="3"/>
        <v>0</v>
      </c>
      <c r="DH6">
        <f t="shared" si="4"/>
        <v>0</v>
      </c>
      <c r="DI6">
        <f t="shared" si="5"/>
        <v>0</v>
      </c>
      <c r="DJ6">
        <f>DF6</f>
        <v>12923.91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ROW(Source!A28)</f>
        <v>28</v>
      </c>
      <c r="B7">
        <v>80308166</v>
      </c>
      <c r="C7">
        <v>80308465</v>
      </c>
      <c r="D7">
        <v>72856517</v>
      </c>
      <c r="E7">
        <v>114</v>
      </c>
      <c r="F7">
        <v>1</v>
      </c>
      <c r="G7">
        <v>1</v>
      </c>
      <c r="H7">
        <v>3</v>
      </c>
      <c r="I7" t="s">
        <v>33</v>
      </c>
      <c r="J7" t="s">
        <v>3</v>
      </c>
      <c r="K7" t="s">
        <v>34</v>
      </c>
      <c r="L7">
        <v>1348</v>
      </c>
      <c r="N7">
        <v>1009</v>
      </c>
      <c r="O7" t="s">
        <v>35</v>
      </c>
      <c r="P7" t="s">
        <v>35</v>
      </c>
      <c r="Q7">
        <v>1000</v>
      </c>
      <c r="W7">
        <v>0</v>
      </c>
      <c r="X7">
        <v>-1296435862</v>
      </c>
      <c r="Y7">
        <f t="shared" si="0"/>
        <v>3.84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0</v>
      </c>
      <c r="AR7">
        <v>0</v>
      </c>
      <c r="AS7" t="s">
        <v>3</v>
      </c>
      <c r="AT7">
        <v>3.84</v>
      </c>
      <c r="AU7" t="s">
        <v>3</v>
      </c>
      <c r="AV7">
        <v>0</v>
      </c>
      <c r="AW7">
        <v>2</v>
      </c>
      <c r="AX7">
        <v>80308479</v>
      </c>
      <c r="AY7">
        <v>1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v>0</v>
      </c>
      <c r="CX7">
        <f>ROUND(Y7*Source!I28,7)</f>
        <v>3.8399999999999997E-2</v>
      </c>
      <c r="CY7">
        <f>AA7</f>
        <v>0</v>
      </c>
      <c r="CZ7">
        <f>AE7</f>
        <v>0</v>
      </c>
      <c r="DA7">
        <f>AI7</f>
        <v>1</v>
      </c>
      <c r="DB7">
        <f t="shared" si="1"/>
        <v>0</v>
      </c>
      <c r="DC7">
        <f t="shared" si="2"/>
        <v>0</v>
      </c>
      <c r="DD7" t="s">
        <v>3</v>
      </c>
      <c r="DE7" t="s">
        <v>3</v>
      </c>
      <c r="DF7">
        <f t="shared" ref="DF7:DF17" si="6">ROUND(ROUND(AE7,2)*CX7,2)</f>
        <v>0</v>
      </c>
      <c r="DG7">
        <f t="shared" si="3"/>
        <v>0</v>
      </c>
      <c r="DH7">
        <f t="shared" si="4"/>
        <v>0</v>
      </c>
      <c r="DI7">
        <f t="shared" si="5"/>
        <v>0</v>
      </c>
      <c r="DJ7">
        <f>DF7</f>
        <v>0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ROW(Source!A31)</f>
        <v>31</v>
      </c>
      <c r="B8">
        <v>80308166</v>
      </c>
      <c r="C8">
        <v>80308482</v>
      </c>
      <c r="D8">
        <v>72850627</v>
      </c>
      <c r="E8">
        <v>114</v>
      </c>
      <c r="F8">
        <v>1</v>
      </c>
      <c r="G8">
        <v>1</v>
      </c>
      <c r="H8">
        <v>1</v>
      </c>
      <c r="I8" t="s">
        <v>464</v>
      </c>
      <c r="J8" t="s">
        <v>3</v>
      </c>
      <c r="K8" t="s">
        <v>465</v>
      </c>
      <c r="L8">
        <v>1191</v>
      </c>
      <c r="N8">
        <v>1013</v>
      </c>
      <c r="O8" t="s">
        <v>449</v>
      </c>
      <c r="P8" t="s">
        <v>449</v>
      </c>
      <c r="Q8">
        <v>1</v>
      </c>
      <c r="W8">
        <v>0</v>
      </c>
      <c r="X8">
        <v>-1833565283</v>
      </c>
      <c r="Y8">
        <f t="shared" si="0"/>
        <v>95.3</v>
      </c>
      <c r="AA8">
        <v>0</v>
      </c>
      <c r="AB8">
        <v>0</v>
      </c>
      <c r="AC8">
        <v>0</v>
      </c>
      <c r="AD8">
        <v>641.22</v>
      </c>
      <c r="AE8">
        <v>0</v>
      </c>
      <c r="AF8">
        <v>0</v>
      </c>
      <c r="AG8">
        <v>0</v>
      </c>
      <c r="AH8">
        <v>641.22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0</v>
      </c>
      <c r="AQ8">
        <v>1</v>
      </c>
      <c r="AR8">
        <v>0</v>
      </c>
      <c r="AS8" t="s">
        <v>3</v>
      </c>
      <c r="AT8">
        <v>95.3</v>
      </c>
      <c r="AU8" t="s">
        <v>3</v>
      </c>
      <c r="AV8">
        <v>1</v>
      </c>
      <c r="AW8">
        <v>2</v>
      </c>
      <c r="AX8">
        <v>80308487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61108.266000000003</v>
      </c>
      <c r="BN8">
        <v>95.3</v>
      </c>
      <c r="BO8">
        <v>0</v>
      </c>
      <c r="BP8">
        <v>1</v>
      </c>
      <c r="BQ8">
        <v>0</v>
      </c>
      <c r="BR8">
        <v>0</v>
      </c>
      <c r="BS8">
        <v>0</v>
      </c>
      <c r="BT8">
        <v>61108.266000000003</v>
      </c>
      <c r="BU8">
        <v>95.3</v>
      </c>
      <c r="BV8">
        <v>0</v>
      </c>
      <c r="BW8">
        <v>1</v>
      </c>
      <c r="CU8">
        <f>ROUND(AT8*Source!I31*AH8*AL8,2)</f>
        <v>611.08000000000004</v>
      </c>
      <c r="CV8">
        <f>ROUND(Y8*Source!I31,7)</f>
        <v>0.95299999999999996</v>
      </c>
      <c r="CW8">
        <v>0</v>
      </c>
      <c r="CX8">
        <f>ROUND(Y8*Source!I31,7)</f>
        <v>0.95299999999999996</v>
      </c>
      <c r="CY8">
        <f>AD8</f>
        <v>641.22</v>
      </c>
      <c r="CZ8">
        <f>AH8</f>
        <v>641.22</v>
      </c>
      <c r="DA8">
        <f>AL8</f>
        <v>1</v>
      </c>
      <c r="DB8">
        <f t="shared" si="1"/>
        <v>61108.27</v>
      </c>
      <c r="DC8">
        <f t="shared" si="2"/>
        <v>0</v>
      </c>
      <c r="DD8" t="s">
        <v>3</v>
      </c>
      <c r="DE8" t="s">
        <v>3</v>
      </c>
      <c r="DF8">
        <f t="shared" si="6"/>
        <v>0</v>
      </c>
      <c r="DG8">
        <f t="shared" si="3"/>
        <v>0</v>
      </c>
      <c r="DH8">
        <f t="shared" si="4"/>
        <v>0</v>
      </c>
      <c r="DI8">
        <f t="shared" si="5"/>
        <v>611.08000000000004</v>
      </c>
      <c r="DJ8">
        <f>DI8</f>
        <v>611.08000000000004</v>
      </c>
      <c r="DK8">
        <v>1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ROW(Source!A31)</f>
        <v>31</v>
      </c>
      <c r="B9">
        <v>80308166</v>
      </c>
      <c r="C9">
        <v>80308482</v>
      </c>
      <c r="D9">
        <v>72850822</v>
      </c>
      <c r="E9">
        <v>114</v>
      </c>
      <c r="F9">
        <v>1</v>
      </c>
      <c r="G9">
        <v>1</v>
      </c>
      <c r="H9">
        <v>1</v>
      </c>
      <c r="I9" t="s">
        <v>450</v>
      </c>
      <c r="J9" t="s">
        <v>3</v>
      </c>
      <c r="K9" t="s">
        <v>451</v>
      </c>
      <c r="L9">
        <v>1191</v>
      </c>
      <c r="N9">
        <v>1013</v>
      </c>
      <c r="O9" t="s">
        <v>449</v>
      </c>
      <c r="P9" t="s">
        <v>449</v>
      </c>
      <c r="Q9">
        <v>1</v>
      </c>
      <c r="W9">
        <v>0</v>
      </c>
      <c r="X9">
        <v>-1417349443</v>
      </c>
      <c r="Y9">
        <f t="shared" si="0"/>
        <v>0.25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0</v>
      </c>
      <c r="AQ9">
        <v>1</v>
      </c>
      <c r="AR9">
        <v>0</v>
      </c>
      <c r="AS9" t="s">
        <v>3</v>
      </c>
      <c r="AT9">
        <v>0.25</v>
      </c>
      <c r="AU9" t="s">
        <v>3</v>
      </c>
      <c r="AV9">
        <v>2</v>
      </c>
      <c r="AW9">
        <v>2</v>
      </c>
      <c r="AX9">
        <v>80308488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ROUND(Y9*Source!I31,7)</f>
        <v>2.5000000000000001E-3</v>
      </c>
      <c r="CY9">
        <f>AD9</f>
        <v>0</v>
      </c>
      <c r="CZ9">
        <f>AH9</f>
        <v>0</v>
      </c>
      <c r="DA9">
        <f>AL9</f>
        <v>1</v>
      </c>
      <c r="DB9">
        <f t="shared" si="1"/>
        <v>0</v>
      </c>
      <c r="DC9">
        <f t="shared" si="2"/>
        <v>0</v>
      </c>
      <c r="DD9" t="s">
        <v>3</v>
      </c>
      <c r="DE9" t="s">
        <v>3</v>
      </c>
      <c r="DF9">
        <f t="shared" si="6"/>
        <v>0</v>
      </c>
      <c r="DG9">
        <f t="shared" si="3"/>
        <v>0</v>
      </c>
      <c r="DH9">
        <f t="shared" si="4"/>
        <v>0</v>
      </c>
      <c r="DI9">
        <f t="shared" si="5"/>
        <v>0</v>
      </c>
      <c r="DJ9">
        <f>DI9</f>
        <v>0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ROW(Source!A31)</f>
        <v>31</v>
      </c>
      <c r="B10">
        <v>80308166</v>
      </c>
      <c r="C10">
        <v>80308482</v>
      </c>
      <c r="D10">
        <v>72975454</v>
      </c>
      <c r="E10">
        <v>1</v>
      </c>
      <c r="F10">
        <v>1</v>
      </c>
      <c r="G10">
        <v>1</v>
      </c>
      <c r="H10">
        <v>2</v>
      </c>
      <c r="I10" t="s">
        <v>466</v>
      </c>
      <c r="J10" t="s">
        <v>467</v>
      </c>
      <c r="K10" t="s">
        <v>468</v>
      </c>
      <c r="L10">
        <v>1368</v>
      </c>
      <c r="N10">
        <v>1011</v>
      </c>
      <c r="O10" t="s">
        <v>455</v>
      </c>
      <c r="P10" t="s">
        <v>455</v>
      </c>
      <c r="Q10">
        <v>1</v>
      </c>
      <c r="W10">
        <v>0</v>
      </c>
      <c r="X10">
        <v>-92307625</v>
      </c>
      <c r="Y10">
        <f t="shared" si="0"/>
        <v>0.25</v>
      </c>
      <c r="AA10">
        <v>0</v>
      </c>
      <c r="AB10">
        <v>57.47</v>
      </c>
      <c r="AC10">
        <v>641.22</v>
      </c>
      <c r="AD10">
        <v>0</v>
      </c>
      <c r="AE10">
        <v>0</v>
      </c>
      <c r="AF10">
        <v>37.32</v>
      </c>
      <c r="AG10">
        <v>641.22</v>
      </c>
      <c r="AH10">
        <v>0</v>
      </c>
      <c r="AI10">
        <v>1</v>
      </c>
      <c r="AJ10">
        <v>1.54</v>
      </c>
      <c r="AK10">
        <v>1</v>
      </c>
      <c r="AL10">
        <v>1</v>
      </c>
      <c r="AM10">
        <v>2</v>
      </c>
      <c r="AN10">
        <v>0</v>
      </c>
      <c r="AO10">
        <v>0</v>
      </c>
      <c r="AP10">
        <v>0</v>
      </c>
      <c r="AQ10">
        <v>1</v>
      </c>
      <c r="AR10">
        <v>0</v>
      </c>
      <c r="AS10" t="s">
        <v>3</v>
      </c>
      <c r="AT10">
        <v>0.25</v>
      </c>
      <c r="AU10" t="s">
        <v>3</v>
      </c>
      <c r="AV10">
        <v>1</v>
      </c>
      <c r="AW10">
        <v>2</v>
      </c>
      <c r="AX10">
        <v>80308489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9.33</v>
      </c>
      <c r="BL10">
        <v>160.30500000000001</v>
      </c>
      <c r="BM10">
        <v>0</v>
      </c>
      <c r="BN10">
        <v>0</v>
      </c>
      <c r="BO10">
        <v>0.25</v>
      </c>
      <c r="BP10">
        <v>1</v>
      </c>
      <c r="BQ10">
        <v>0</v>
      </c>
      <c r="BR10">
        <v>9.33</v>
      </c>
      <c r="BS10">
        <v>160.30500000000001</v>
      </c>
      <c r="BT10">
        <v>0</v>
      </c>
      <c r="BU10">
        <v>0</v>
      </c>
      <c r="BV10">
        <v>0.25</v>
      </c>
      <c r="BW10">
        <v>1</v>
      </c>
      <c r="CV10">
        <v>0</v>
      </c>
      <c r="CW10">
        <f>ROUND(Y10*Source!I31*DO10,7)</f>
        <v>2.5000000000000001E-3</v>
      </c>
      <c r="CX10">
        <f>ROUND(Y10*Source!I31,7)</f>
        <v>2.5000000000000001E-3</v>
      </c>
      <c r="CY10">
        <f>AB10</f>
        <v>57.47</v>
      </c>
      <c r="CZ10">
        <f>AF10</f>
        <v>37.32</v>
      </c>
      <c r="DA10">
        <f>AJ10</f>
        <v>1.54</v>
      </c>
      <c r="DB10">
        <f t="shared" si="1"/>
        <v>9.33</v>
      </c>
      <c r="DC10">
        <f t="shared" si="2"/>
        <v>160.31</v>
      </c>
      <c r="DD10" t="s">
        <v>3</v>
      </c>
      <c r="DE10" t="s">
        <v>3</v>
      </c>
      <c r="DF10">
        <f t="shared" si="6"/>
        <v>0</v>
      </c>
      <c r="DG10">
        <f>ROUND(ROUND(AF10*AJ10,2)*CX10,2)</f>
        <v>0.14000000000000001</v>
      </c>
      <c r="DH10">
        <f t="shared" si="4"/>
        <v>1.6</v>
      </c>
      <c r="DI10">
        <f t="shared" si="5"/>
        <v>0</v>
      </c>
      <c r="DJ10">
        <f>DG10+DH10</f>
        <v>1.7400000000000002</v>
      </c>
      <c r="DK10">
        <v>0</v>
      </c>
      <c r="DL10" t="s">
        <v>469</v>
      </c>
      <c r="DM10">
        <v>3</v>
      </c>
      <c r="DN10" t="s">
        <v>449</v>
      </c>
      <c r="DO10">
        <v>1</v>
      </c>
    </row>
    <row r="11" spans="1:119" x14ac:dyDescent="0.2">
      <c r="A11">
        <f>ROW(Source!A31)</f>
        <v>31</v>
      </c>
      <c r="B11">
        <v>80308166</v>
      </c>
      <c r="C11">
        <v>80308482</v>
      </c>
      <c r="D11">
        <v>72856517</v>
      </c>
      <c r="E11">
        <v>114</v>
      </c>
      <c r="F11">
        <v>1</v>
      </c>
      <c r="G11">
        <v>1</v>
      </c>
      <c r="H11">
        <v>3</v>
      </c>
      <c r="I11" t="s">
        <v>33</v>
      </c>
      <c r="J11" t="s">
        <v>3</v>
      </c>
      <c r="K11" t="s">
        <v>34</v>
      </c>
      <c r="L11">
        <v>1348</v>
      </c>
      <c r="N11">
        <v>1009</v>
      </c>
      <c r="O11" t="s">
        <v>35</v>
      </c>
      <c r="P11" t="s">
        <v>35</v>
      </c>
      <c r="Q11">
        <v>1000</v>
      </c>
      <c r="W11">
        <v>0</v>
      </c>
      <c r="X11">
        <v>-1296435862</v>
      </c>
      <c r="Y11">
        <f t="shared" si="0"/>
        <v>3.98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0</v>
      </c>
      <c r="AQ11">
        <v>0</v>
      </c>
      <c r="AR11">
        <v>0</v>
      </c>
      <c r="AS11" t="s">
        <v>3</v>
      </c>
      <c r="AT11">
        <v>3.98</v>
      </c>
      <c r="AU11" t="s">
        <v>3</v>
      </c>
      <c r="AV11">
        <v>0</v>
      </c>
      <c r="AW11">
        <v>2</v>
      </c>
      <c r="AX11">
        <v>80308490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V11">
        <v>0</v>
      </c>
      <c r="CW11">
        <v>0</v>
      </c>
      <c r="CX11">
        <f>ROUND(Y11*Source!I31,7)</f>
        <v>3.9800000000000002E-2</v>
      </c>
      <c r="CY11">
        <f>AA11</f>
        <v>0</v>
      </c>
      <c r="CZ11">
        <f>AE11</f>
        <v>0</v>
      </c>
      <c r="DA11">
        <f>AI11</f>
        <v>1</v>
      </c>
      <c r="DB11">
        <f t="shared" si="1"/>
        <v>0</v>
      </c>
      <c r="DC11">
        <f t="shared" si="2"/>
        <v>0</v>
      </c>
      <c r="DD11" t="s">
        <v>3</v>
      </c>
      <c r="DE11" t="s">
        <v>3</v>
      </c>
      <c r="DF11">
        <f t="shared" si="6"/>
        <v>0</v>
      </c>
      <c r="DG11">
        <f t="shared" ref="DG11:DG38" si="7">ROUND(ROUND(AF11,2)*CX11,2)</f>
        <v>0</v>
      </c>
      <c r="DH11">
        <f t="shared" si="4"/>
        <v>0</v>
      </c>
      <c r="DI11">
        <f t="shared" si="5"/>
        <v>0</v>
      </c>
      <c r="DJ11">
        <f>DF11</f>
        <v>0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ROW(Source!A33)</f>
        <v>33</v>
      </c>
      <c r="B12">
        <v>80308166</v>
      </c>
      <c r="C12">
        <v>80308492</v>
      </c>
      <c r="D12">
        <v>72850637</v>
      </c>
      <c r="E12">
        <v>114</v>
      </c>
      <c r="F12">
        <v>1</v>
      </c>
      <c r="G12">
        <v>1</v>
      </c>
      <c r="H12">
        <v>1</v>
      </c>
      <c r="I12" t="s">
        <v>447</v>
      </c>
      <c r="J12" t="s">
        <v>3</v>
      </c>
      <c r="K12" t="s">
        <v>448</v>
      </c>
      <c r="L12">
        <v>1191</v>
      </c>
      <c r="N12">
        <v>1013</v>
      </c>
      <c r="O12" t="s">
        <v>449</v>
      </c>
      <c r="P12" t="s">
        <v>449</v>
      </c>
      <c r="Q12">
        <v>1</v>
      </c>
      <c r="W12">
        <v>0</v>
      </c>
      <c r="X12">
        <v>-715079457</v>
      </c>
      <c r="Y12">
        <f>(AT12*ROUND(1.15,7))</f>
        <v>2.9899999999999998</v>
      </c>
      <c r="AA12">
        <v>0</v>
      </c>
      <c r="AB12">
        <v>0</v>
      </c>
      <c r="AC12">
        <v>0</v>
      </c>
      <c r="AD12">
        <v>681.63</v>
      </c>
      <c r="AE12">
        <v>0</v>
      </c>
      <c r="AF12">
        <v>0</v>
      </c>
      <c r="AG12">
        <v>0</v>
      </c>
      <c r="AH12">
        <v>681.63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2.6</v>
      </c>
      <c r="AU12" t="s">
        <v>49</v>
      </c>
      <c r="AV12">
        <v>1</v>
      </c>
      <c r="AW12">
        <v>2</v>
      </c>
      <c r="AX12">
        <v>80308504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1772.2380000000001</v>
      </c>
      <c r="BN12">
        <v>2.6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2038.0736999999999</v>
      </c>
      <c r="BU12">
        <v>2.9899999999999998</v>
      </c>
      <c r="BV12">
        <v>0</v>
      </c>
      <c r="BW12">
        <v>1</v>
      </c>
      <c r="CU12">
        <f>ROUND(AT12*Source!I33*AH12*AL12,2)</f>
        <v>1772.24</v>
      </c>
      <c r="CV12">
        <f>ROUND(Y12*Source!I33,7)</f>
        <v>2.99</v>
      </c>
      <c r="CW12">
        <v>0</v>
      </c>
      <c r="CX12">
        <f>ROUND(Y12*Source!I33,7)</f>
        <v>2.99</v>
      </c>
      <c r="CY12">
        <f>AD12</f>
        <v>681.63</v>
      </c>
      <c r="CZ12">
        <f>AH12</f>
        <v>681.63</v>
      </c>
      <c r="DA12">
        <f>AL12</f>
        <v>1</v>
      </c>
      <c r="DB12">
        <f>ROUND((ROUND(AT12*CZ12,2)*ROUND(1.15,7)),6)</f>
        <v>2038.076</v>
      </c>
      <c r="DC12">
        <f>ROUND((ROUND(AT12*AG12,2)*ROUND(1.15,7)),6)</f>
        <v>0</v>
      </c>
      <c r="DD12" t="s">
        <v>3</v>
      </c>
      <c r="DE12" t="s">
        <v>3</v>
      </c>
      <c r="DF12">
        <f t="shared" si="6"/>
        <v>0</v>
      </c>
      <c r="DG12">
        <f t="shared" si="7"/>
        <v>0</v>
      </c>
      <c r="DH12">
        <f t="shared" si="4"/>
        <v>0</v>
      </c>
      <c r="DI12">
        <f t="shared" si="5"/>
        <v>2038.07</v>
      </c>
      <c r="DJ12">
        <f>DI12</f>
        <v>2038.07</v>
      </c>
      <c r="DK12">
        <v>1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ROW(Source!A33)</f>
        <v>33</v>
      </c>
      <c r="B13">
        <v>80308166</v>
      </c>
      <c r="C13">
        <v>80308492</v>
      </c>
      <c r="D13">
        <v>72850822</v>
      </c>
      <c r="E13">
        <v>114</v>
      </c>
      <c r="F13">
        <v>1</v>
      </c>
      <c r="G13">
        <v>1</v>
      </c>
      <c r="H13">
        <v>1</v>
      </c>
      <c r="I13" t="s">
        <v>450</v>
      </c>
      <c r="J13" t="s">
        <v>3</v>
      </c>
      <c r="K13" t="s">
        <v>451</v>
      </c>
      <c r="L13">
        <v>1191</v>
      </c>
      <c r="N13">
        <v>1013</v>
      </c>
      <c r="O13" t="s">
        <v>449</v>
      </c>
      <c r="P13" t="s">
        <v>449</v>
      </c>
      <c r="Q13">
        <v>1</v>
      </c>
      <c r="W13">
        <v>0</v>
      </c>
      <c r="X13">
        <v>-1417349443</v>
      </c>
      <c r="Y13">
        <f>(AT13*ROUND(1.25,7))</f>
        <v>0.05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0.04</v>
      </c>
      <c r="AU13" t="s">
        <v>48</v>
      </c>
      <c r="AV13">
        <v>2</v>
      </c>
      <c r="AW13">
        <v>2</v>
      </c>
      <c r="AX13">
        <v>80308505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ROUND(Y13*Source!I33,7)</f>
        <v>0.05</v>
      </c>
      <c r="CY13">
        <f>AD13</f>
        <v>0</v>
      </c>
      <c r="CZ13">
        <f>AH13</f>
        <v>0</v>
      </c>
      <c r="DA13">
        <f>AL13</f>
        <v>1</v>
      </c>
      <c r="DB13">
        <f>ROUND((ROUND(AT13*CZ13,2)*ROUND(1.25,7)),6)</f>
        <v>0</v>
      </c>
      <c r="DC13">
        <f>ROUND((ROUND(AT13*AG13,2)*ROUND(1.25,7)),6)</f>
        <v>0</v>
      </c>
      <c r="DD13" t="s">
        <v>3</v>
      </c>
      <c r="DE13" t="s">
        <v>3</v>
      </c>
      <c r="DF13">
        <f t="shared" si="6"/>
        <v>0</v>
      </c>
      <c r="DG13">
        <f t="shared" si="7"/>
        <v>0</v>
      </c>
      <c r="DH13">
        <f t="shared" si="4"/>
        <v>0</v>
      </c>
      <c r="DI13">
        <f t="shared" si="5"/>
        <v>0</v>
      </c>
      <c r="DJ13">
        <f>DI13</f>
        <v>0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ROW(Source!A33)</f>
        <v>33</v>
      </c>
      <c r="B14">
        <v>80308166</v>
      </c>
      <c r="C14">
        <v>80308492</v>
      </c>
      <c r="D14">
        <v>72975216</v>
      </c>
      <c r="E14">
        <v>1</v>
      </c>
      <c r="F14">
        <v>1</v>
      </c>
      <c r="G14">
        <v>1</v>
      </c>
      <c r="H14">
        <v>2</v>
      </c>
      <c r="I14" t="s">
        <v>470</v>
      </c>
      <c r="J14" t="s">
        <v>471</v>
      </c>
      <c r="K14" t="s">
        <v>472</v>
      </c>
      <c r="L14">
        <v>1368</v>
      </c>
      <c r="N14">
        <v>1011</v>
      </c>
      <c r="O14" t="s">
        <v>455</v>
      </c>
      <c r="P14" t="s">
        <v>455</v>
      </c>
      <c r="Q14">
        <v>1</v>
      </c>
      <c r="W14">
        <v>0</v>
      </c>
      <c r="X14">
        <v>-344999761</v>
      </c>
      <c r="Y14">
        <f>(AT14*ROUND(1.25,7))</f>
        <v>1.2500000000000001E-2</v>
      </c>
      <c r="AA14">
        <v>0</v>
      </c>
      <c r="AB14">
        <v>1039.32</v>
      </c>
      <c r="AC14">
        <v>969.91</v>
      </c>
      <c r="AD14">
        <v>0</v>
      </c>
      <c r="AE14">
        <v>0</v>
      </c>
      <c r="AF14">
        <v>1039.32</v>
      </c>
      <c r="AG14">
        <v>969.91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0.01</v>
      </c>
      <c r="AU14" t="s">
        <v>48</v>
      </c>
      <c r="AV14">
        <v>1</v>
      </c>
      <c r="AW14">
        <v>2</v>
      </c>
      <c r="AX14">
        <v>80308506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10.3932</v>
      </c>
      <c r="BL14">
        <v>9.6990999999999996</v>
      </c>
      <c r="BM14">
        <v>0</v>
      </c>
      <c r="BN14">
        <v>0</v>
      </c>
      <c r="BO14">
        <v>0.01</v>
      </c>
      <c r="BP14">
        <v>1</v>
      </c>
      <c r="BQ14">
        <v>0</v>
      </c>
      <c r="BR14">
        <v>12.9915</v>
      </c>
      <c r="BS14">
        <v>12.123875</v>
      </c>
      <c r="BT14">
        <v>0</v>
      </c>
      <c r="BU14">
        <v>0</v>
      </c>
      <c r="BV14">
        <v>1.2500000000000001E-2</v>
      </c>
      <c r="BW14">
        <v>1</v>
      </c>
      <c r="CV14">
        <v>0</v>
      </c>
      <c r="CW14">
        <f>ROUND(Y14*Source!I33*DO14,7)</f>
        <v>1.2500000000000001E-2</v>
      </c>
      <c r="CX14">
        <f>ROUND(Y14*Source!I33,7)</f>
        <v>1.2500000000000001E-2</v>
      </c>
      <c r="CY14">
        <f>AB14</f>
        <v>1039.32</v>
      </c>
      <c r="CZ14">
        <f>AF14</f>
        <v>1039.32</v>
      </c>
      <c r="DA14">
        <f>AJ14</f>
        <v>1</v>
      </c>
      <c r="DB14">
        <f>ROUND((ROUND(AT14*CZ14,2)*ROUND(1.25,7)),6)</f>
        <v>12.987500000000001</v>
      </c>
      <c r="DC14">
        <f>ROUND((ROUND(AT14*AG14,2)*ROUND(1.25,7)),6)</f>
        <v>12.125</v>
      </c>
      <c r="DD14" t="s">
        <v>3</v>
      </c>
      <c r="DE14" t="s">
        <v>3</v>
      </c>
      <c r="DF14">
        <f t="shared" si="6"/>
        <v>0</v>
      </c>
      <c r="DG14">
        <f t="shared" si="7"/>
        <v>12.99</v>
      </c>
      <c r="DH14">
        <f t="shared" si="4"/>
        <v>12.12</v>
      </c>
      <c r="DI14">
        <f t="shared" si="5"/>
        <v>0</v>
      </c>
      <c r="DJ14">
        <f>DG14+DH14</f>
        <v>25.11</v>
      </c>
      <c r="DK14">
        <v>1</v>
      </c>
      <c r="DL14" t="s">
        <v>473</v>
      </c>
      <c r="DM14">
        <v>6</v>
      </c>
      <c r="DN14" t="s">
        <v>449</v>
      </c>
      <c r="DO14">
        <v>1</v>
      </c>
    </row>
    <row r="15" spans="1:119" x14ac:dyDescent="0.2">
      <c r="A15">
        <f>ROW(Source!A33)</f>
        <v>33</v>
      </c>
      <c r="B15">
        <v>80308166</v>
      </c>
      <c r="C15">
        <v>80308492</v>
      </c>
      <c r="D15">
        <v>72975268</v>
      </c>
      <c r="E15">
        <v>1</v>
      </c>
      <c r="F15">
        <v>1</v>
      </c>
      <c r="G15">
        <v>1</v>
      </c>
      <c r="H15">
        <v>2</v>
      </c>
      <c r="I15" t="s">
        <v>474</v>
      </c>
      <c r="J15" t="s">
        <v>475</v>
      </c>
      <c r="K15" t="s">
        <v>476</v>
      </c>
      <c r="L15">
        <v>1368</v>
      </c>
      <c r="N15">
        <v>1011</v>
      </c>
      <c r="O15" t="s">
        <v>455</v>
      </c>
      <c r="P15" t="s">
        <v>455</v>
      </c>
      <c r="Q15">
        <v>1</v>
      </c>
      <c r="W15">
        <v>0</v>
      </c>
      <c r="X15">
        <v>-468861091</v>
      </c>
      <c r="Y15">
        <f>(AT15*ROUND(1.25,7))</f>
        <v>1.2500000000000001E-2</v>
      </c>
      <c r="AA15">
        <v>0</v>
      </c>
      <c r="AB15">
        <v>1629.55</v>
      </c>
      <c r="AC15">
        <v>969.91</v>
      </c>
      <c r="AD15">
        <v>0</v>
      </c>
      <c r="AE15">
        <v>0</v>
      </c>
      <c r="AF15">
        <v>1629.55</v>
      </c>
      <c r="AG15">
        <v>969.91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0.01</v>
      </c>
      <c r="AU15" t="s">
        <v>48</v>
      </c>
      <c r="AV15">
        <v>1</v>
      </c>
      <c r="AW15">
        <v>2</v>
      </c>
      <c r="AX15">
        <v>80308507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16.295500000000001</v>
      </c>
      <c r="BL15">
        <v>9.6990999999999996</v>
      </c>
      <c r="BM15">
        <v>0</v>
      </c>
      <c r="BN15">
        <v>0</v>
      </c>
      <c r="BO15">
        <v>0.01</v>
      </c>
      <c r="BP15">
        <v>1</v>
      </c>
      <c r="BQ15">
        <v>0</v>
      </c>
      <c r="BR15">
        <v>20.369375000000002</v>
      </c>
      <c r="BS15">
        <v>12.123875</v>
      </c>
      <c r="BT15">
        <v>0</v>
      </c>
      <c r="BU15">
        <v>0</v>
      </c>
      <c r="BV15">
        <v>1.2500000000000001E-2</v>
      </c>
      <c r="BW15">
        <v>1</v>
      </c>
      <c r="CV15">
        <v>0</v>
      </c>
      <c r="CW15">
        <f>ROUND(Y15*Source!I33*DO15,7)</f>
        <v>1.2500000000000001E-2</v>
      </c>
      <c r="CX15">
        <f>ROUND(Y15*Source!I33,7)</f>
        <v>1.2500000000000001E-2</v>
      </c>
      <c r="CY15">
        <f>AB15</f>
        <v>1629.55</v>
      </c>
      <c r="CZ15">
        <f>AF15</f>
        <v>1629.55</v>
      </c>
      <c r="DA15">
        <f>AJ15</f>
        <v>1</v>
      </c>
      <c r="DB15">
        <f>ROUND((ROUND(AT15*CZ15,2)*ROUND(1.25,7)),6)</f>
        <v>20.375</v>
      </c>
      <c r="DC15">
        <f>ROUND((ROUND(AT15*AG15,2)*ROUND(1.25,7)),6)</f>
        <v>12.125</v>
      </c>
      <c r="DD15" t="s">
        <v>3</v>
      </c>
      <c r="DE15" t="s">
        <v>3</v>
      </c>
      <c r="DF15">
        <f t="shared" si="6"/>
        <v>0</v>
      </c>
      <c r="DG15">
        <f t="shared" si="7"/>
        <v>20.37</v>
      </c>
      <c r="DH15">
        <f t="shared" si="4"/>
        <v>12.12</v>
      </c>
      <c r="DI15">
        <f t="shared" si="5"/>
        <v>0</v>
      </c>
      <c r="DJ15">
        <f>DG15+DH15</f>
        <v>32.49</v>
      </c>
      <c r="DK15">
        <v>1</v>
      </c>
      <c r="DL15" t="s">
        <v>473</v>
      </c>
      <c r="DM15">
        <v>6</v>
      </c>
      <c r="DN15" t="s">
        <v>449</v>
      </c>
      <c r="DO15">
        <v>1</v>
      </c>
    </row>
    <row r="16" spans="1:119" x14ac:dyDescent="0.2">
      <c r="A16">
        <f>ROW(Source!A33)</f>
        <v>33</v>
      </c>
      <c r="B16">
        <v>80308166</v>
      </c>
      <c r="C16">
        <v>80308492</v>
      </c>
      <c r="D16">
        <v>72976159</v>
      </c>
      <c r="E16">
        <v>1</v>
      </c>
      <c r="F16">
        <v>1</v>
      </c>
      <c r="G16">
        <v>1</v>
      </c>
      <c r="H16">
        <v>2</v>
      </c>
      <c r="I16" t="s">
        <v>452</v>
      </c>
      <c r="J16" t="s">
        <v>453</v>
      </c>
      <c r="K16" t="s">
        <v>454</v>
      </c>
      <c r="L16">
        <v>1368</v>
      </c>
      <c r="N16">
        <v>1011</v>
      </c>
      <c r="O16" t="s">
        <v>455</v>
      </c>
      <c r="P16" t="s">
        <v>455</v>
      </c>
      <c r="Q16">
        <v>1</v>
      </c>
      <c r="W16">
        <v>0</v>
      </c>
      <c r="X16">
        <v>-1152394969</v>
      </c>
      <c r="Y16">
        <f>(AT16*ROUND(1.25,7))</f>
        <v>2.5000000000000001E-2</v>
      </c>
      <c r="AA16">
        <v>0</v>
      </c>
      <c r="AB16">
        <v>643.29</v>
      </c>
      <c r="AC16">
        <v>722.05</v>
      </c>
      <c r="AD16">
        <v>0</v>
      </c>
      <c r="AE16">
        <v>0</v>
      </c>
      <c r="AF16">
        <v>643.29</v>
      </c>
      <c r="AG16">
        <v>722.05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0.02</v>
      </c>
      <c r="AU16" t="s">
        <v>48</v>
      </c>
      <c r="AV16">
        <v>1</v>
      </c>
      <c r="AW16">
        <v>2</v>
      </c>
      <c r="AX16">
        <v>80308508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12.8658</v>
      </c>
      <c r="BL16">
        <v>14.440999999999999</v>
      </c>
      <c r="BM16">
        <v>0</v>
      </c>
      <c r="BN16">
        <v>0</v>
      </c>
      <c r="BO16">
        <v>0.02</v>
      </c>
      <c r="BP16">
        <v>1</v>
      </c>
      <c r="BQ16">
        <v>0</v>
      </c>
      <c r="BR16">
        <v>16.082249999999998</v>
      </c>
      <c r="BS16">
        <v>18.05125</v>
      </c>
      <c r="BT16">
        <v>0</v>
      </c>
      <c r="BU16">
        <v>0</v>
      </c>
      <c r="BV16">
        <v>2.5000000000000001E-2</v>
      </c>
      <c r="BW16">
        <v>1</v>
      </c>
      <c r="CV16">
        <v>0</v>
      </c>
      <c r="CW16">
        <f>ROUND(Y16*Source!I33*DO16,7)</f>
        <v>2.5000000000000001E-2</v>
      </c>
      <c r="CX16">
        <f>ROUND(Y16*Source!I33,7)</f>
        <v>2.5000000000000001E-2</v>
      </c>
      <c r="CY16">
        <f>AB16</f>
        <v>643.29</v>
      </c>
      <c r="CZ16">
        <f>AF16</f>
        <v>643.29</v>
      </c>
      <c r="DA16">
        <f>AJ16</f>
        <v>1</v>
      </c>
      <c r="DB16">
        <f>ROUND((ROUND(AT16*CZ16,2)*ROUND(1.25,7)),6)</f>
        <v>16.087499999999999</v>
      </c>
      <c r="DC16">
        <f>ROUND((ROUND(AT16*AG16,2)*ROUND(1.25,7)),6)</f>
        <v>18.05</v>
      </c>
      <c r="DD16" t="s">
        <v>3</v>
      </c>
      <c r="DE16" t="s">
        <v>3</v>
      </c>
      <c r="DF16">
        <f t="shared" si="6"/>
        <v>0</v>
      </c>
      <c r="DG16">
        <f t="shared" si="7"/>
        <v>16.079999999999998</v>
      </c>
      <c r="DH16">
        <f t="shared" si="4"/>
        <v>18.05</v>
      </c>
      <c r="DI16">
        <f t="shared" si="5"/>
        <v>0</v>
      </c>
      <c r="DJ16">
        <f>DG16+DH16</f>
        <v>34.129999999999995</v>
      </c>
      <c r="DK16">
        <v>1</v>
      </c>
      <c r="DL16" t="s">
        <v>456</v>
      </c>
      <c r="DM16">
        <v>4</v>
      </c>
      <c r="DN16" t="s">
        <v>449</v>
      </c>
      <c r="DO16">
        <v>1</v>
      </c>
    </row>
    <row r="17" spans="1:119" x14ac:dyDescent="0.2">
      <c r="A17">
        <f>ROW(Source!A33)</f>
        <v>33</v>
      </c>
      <c r="B17">
        <v>80308166</v>
      </c>
      <c r="C17">
        <v>80308492</v>
      </c>
      <c r="D17">
        <v>72976354</v>
      </c>
      <c r="E17">
        <v>1</v>
      </c>
      <c r="F17">
        <v>1</v>
      </c>
      <c r="G17">
        <v>1</v>
      </c>
      <c r="H17">
        <v>2</v>
      </c>
      <c r="I17" t="s">
        <v>477</v>
      </c>
      <c r="J17" t="s">
        <v>478</v>
      </c>
      <c r="K17" t="s">
        <v>479</v>
      </c>
      <c r="L17">
        <v>1368</v>
      </c>
      <c r="N17">
        <v>1011</v>
      </c>
      <c r="O17" t="s">
        <v>455</v>
      </c>
      <c r="P17" t="s">
        <v>455</v>
      </c>
      <c r="Q17">
        <v>1</v>
      </c>
      <c r="W17">
        <v>0</v>
      </c>
      <c r="X17">
        <v>-334821386</v>
      </c>
      <c r="Y17">
        <f>(AT17*ROUND(1.25,7))</f>
        <v>0.78749999999999998</v>
      </c>
      <c r="AA17">
        <v>0</v>
      </c>
      <c r="AB17">
        <v>32.26</v>
      </c>
      <c r="AC17">
        <v>0</v>
      </c>
      <c r="AD17">
        <v>0</v>
      </c>
      <c r="AE17">
        <v>0</v>
      </c>
      <c r="AF17">
        <v>32.26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0.63</v>
      </c>
      <c r="AU17" t="s">
        <v>48</v>
      </c>
      <c r="AV17">
        <v>1</v>
      </c>
      <c r="AW17">
        <v>2</v>
      </c>
      <c r="AX17">
        <v>80308509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20.323799999999999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25.404749999999996</v>
      </c>
      <c r="BS17">
        <v>0</v>
      </c>
      <c r="BT17">
        <v>0</v>
      </c>
      <c r="BU17">
        <v>0</v>
      </c>
      <c r="BV17">
        <v>0</v>
      </c>
      <c r="BW17">
        <v>1</v>
      </c>
      <c r="CV17">
        <v>0</v>
      </c>
      <c r="CW17">
        <f>ROUND(Y17*Source!I33*DO17,7)</f>
        <v>0</v>
      </c>
      <c r="CX17">
        <f>ROUND(Y17*Source!I33,7)</f>
        <v>0.78749999999999998</v>
      </c>
      <c r="CY17">
        <f>AB17</f>
        <v>32.26</v>
      </c>
      <c r="CZ17">
        <f>AF17</f>
        <v>32.26</v>
      </c>
      <c r="DA17">
        <f>AJ17</f>
        <v>1</v>
      </c>
      <c r="DB17">
        <f>ROUND((ROUND(AT17*CZ17,2)*ROUND(1.25,7)),6)</f>
        <v>25.4</v>
      </c>
      <c r="DC17">
        <f>ROUND((ROUND(AT17*AG17,2)*ROUND(1.25,7)),6)</f>
        <v>0</v>
      </c>
      <c r="DD17" t="s">
        <v>3</v>
      </c>
      <c r="DE17" t="s">
        <v>3</v>
      </c>
      <c r="DF17">
        <f t="shared" si="6"/>
        <v>0</v>
      </c>
      <c r="DG17">
        <f t="shared" si="7"/>
        <v>25.4</v>
      </c>
      <c r="DH17">
        <f t="shared" si="4"/>
        <v>0</v>
      </c>
      <c r="DI17">
        <f t="shared" si="5"/>
        <v>0</v>
      </c>
      <c r="DJ17">
        <f>DG17+DH17</f>
        <v>25.4</v>
      </c>
      <c r="DK17">
        <v>1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ROW(Source!A33)</f>
        <v>33</v>
      </c>
      <c r="B18">
        <v>80308166</v>
      </c>
      <c r="C18">
        <v>80308492</v>
      </c>
      <c r="D18">
        <v>72919988</v>
      </c>
      <c r="E18">
        <v>1</v>
      </c>
      <c r="F18">
        <v>1</v>
      </c>
      <c r="G18">
        <v>1</v>
      </c>
      <c r="H18">
        <v>3</v>
      </c>
      <c r="I18" t="s">
        <v>457</v>
      </c>
      <c r="J18" t="s">
        <v>458</v>
      </c>
      <c r="K18" t="s">
        <v>459</v>
      </c>
      <c r="L18">
        <v>1407</v>
      </c>
      <c r="N18">
        <v>1013</v>
      </c>
      <c r="O18" t="s">
        <v>460</v>
      </c>
      <c r="P18" t="s">
        <v>460</v>
      </c>
      <c r="Q18">
        <v>1</v>
      </c>
      <c r="W18">
        <v>0</v>
      </c>
      <c r="X18">
        <v>-819936498</v>
      </c>
      <c r="Y18">
        <f>AT18</f>
        <v>2E-3</v>
      </c>
      <c r="AA18">
        <v>16142.86</v>
      </c>
      <c r="AB18">
        <v>0</v>
      </c>
      <c r="AC18">
        <v>0</v>
      </c>
      <c r="AD18">
        <v>0</v>
      </c>
      <c r="AE18">
        <v>13680.39</v>
      </c>
      <c r="AF18">
        <v>0</v>
      </c>
      <c r="AG18">
        <v>0</v>
      </c>
      <c r="AH18">
        <v>0</v>
      </c>
      <c r="AI18">
        <v>1.18</v>
      </c>
      <c r="AJ18">
        <v>1</v>
      </c>
      <c r="AK18">
        <v>1</v>
      </c>
      <c r="AL18">
        <v>1</v>
      </c>
      <c r="AM18">
        <v>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2E-3</v>
      </c>
      <c r="AU18" t="s">
        <v>3</v>
      </c>
      <c r="AV18">
        <v>0</v>
      </c>
      <c r="AW18">
        <v>2</v>
      </c>
      <c r="AX18">
        <v>80308510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27.360779999999998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27.360779999999998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ROUND(Y18*Source!I33,7)</f>
        <v>2E-3</v>
      </c>
      <c r="CY18">
        <f>AA18</f>
        <v>16142.86</v>
      </c>
      <c r="CZ18">
        <f>AE18</f>
        <v>13680.39</v>
      </c>
      <c r="DA18">
        <f>AI18</f>
        <v>1.18</v>
      </c>
      <c r="DB18">
        <f>ROUND(ROUND(AT18*CZ18,2),6)</f>
        <v>27.36</v>
      </c>
      <c r="DC18">
        <f>ROUND(ROUND(AT18*AG18,2),6)</f>
        <v>0</v>
      </c>
      <c r="DD18" t="s">
        <v>3</v>
      </c>
      <c r="DE18" t="s">
        <v>3</v>
      </c>
      <c r="DF18">
        <f>ROUND(ROUND(AE18*AI18,2)*CX18,2)</f>
        <v>32.29</v>
      </c>
      <c r="DG18">
        <f t="shared" si="7"/>
        <v>0</v>
      </c>
      <c r="DH18">
        <f t="shared" si="4"/>
        <v>0</v>
      </c>
      <c r="DI18">
        <f t="shared" si="5"/>
        <v>0</v>
      </c>
      <c r="DJ18">
        <f>DF18</f>
        <v>32.29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ROW(Source!A33)</f>
        <v>33</v>
      </c>
      <c r="B19">
        <v>80308166</v>
      </c>
      <c r="C19">
        <v>80308492</v>
      </c>
      <c r="D19">
        <v>72923110</v>
      </c>
      <c r="E19">
        <v>1</v>
      </c>
      <c r="F19">
        <v>1</v>
      </c>
      <c r="G19">
        <v>1</v>
      </c>
      <c r="H19">
        <v>3</v>
      </c>
      <c r="I19" t="s">
        <v>480</v>
      </c>
      <c r="J19" t="s">
        <v>481</v>
      </c>
      <c r="K19" t="s">
        <v>482</v>
      </c>
      <c r="L19">
        <v>1346</v>
      </c>
      <c r="N19">
        <v>1009</v>
      </c>
      <c r="O19" t="s">
        <v>295</v>
      </c>
      <c r="P19" t="s">
        <v>295</v>
      </c>
      <c r="Q19">
        <v>1</v>
      </c>
      <c r="W19">
        <v>0</v>
      </c>
      <c r="X19">
        <v>212334824</v>
      </c>
      <c r="Y19">
        <f>AT19</f>
        <v>0.33</v>
      </c>
      <c r="AA19">
        <v>121.39</v>
      </c>
      <c r="AB19">
        <v>0</v>
      </c>
      <c r="AC19">
        <v>0</v>
      </c>
      <c r="AD19">
        <v>0</v>
      </c>
      <c r="AE19">
        <v>155.63</v>
      </c>
      <c r="AF19">
        <v>0</v>
      </c>
      <c r="AG19">
        <v>0</v>
      </c>
      <c r="AH19">
        <v>0</v>
      </c>
      <c r="AI19">
        <v>0.78</v>
      </c>
      <c r="AJ19">
        <v>1</v>
      </c>
      <c r="AK19">
        <v>1</v>
      </c>
      <c r="AL19">
        <v>1</v>
      </c>
      <c r="AM19">
        <v>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0.33</v>
      </c>
      <c r="AU19" t="s">
        <v>3</v>
      </c>
      <c r="AV19">
        <v>0</v>
      </c>
      <c r="AW19">
        <v>2</v>
      </c>
      <c r="AX19">
        <v>80308511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51.357900000000001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51.357900000000001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CV19">
        <v>0</v>
      </c>
      <c r="CW19">
        <v>0</v>
      </c>
      <c r="CX19">
        <f>ROUND(Y19*Source!I33,7)</f>
        <v>0.33</v>
      </c>
      <c r="CY19">
        <f>AA19</f>
        <v>121.39</v>
      </c>
      <c r="CZ19">
        <f>AE19</f>
        <v>155.63</v>
      </c>
      <c r="DA19">
        <f>AI19</f>
        <v>0.78</v>
      </c>
      <c r="DB19">
        <f>ROUND(ROUND(AT19*CZ19,2),6)</f>
        <v>51.36</v>
      </c>
      <c r="DC19">
        <f>ROUND(ROUND(AT19*AG19,2),6)</f>
        <v>0</v>
      </c>
      <c r="DD19" t="s">
        <v>3</v>
      </c>
      <c r="DE19" t="s">
        <v>3</v>
      </c>
      <c r="DF19">
        <f>ROUND(ROUND(AE19*AI19,2)*CX19,2)</f>
        <v>40.06</v>
      </c>
      <c r="DG19">
        <f t="shared" si="7"/>
        <v>0</v>
      </c>
      <c r="DH19">
        <f t="shared" si="4"/>
        <v>0</v>
      </c>
      <c r="DI19">
        <f t="shared" si="5"/>
        <v>0</v>
      </c>
      <c r="DJ19">
        <f>DF19</f>
        <v>40.06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ROW(Source!A33)</f>
        <v>33</v>
      </c>
      <c r="B20">
        <v>80308166</v>
      </c>
      <c r="C20">
        <v>80308492</v>
      </c>
      <c r="D20">
        <v>72923821</v>
      </c>
      <c r="E20">
        <v>1</v>
      </c>
      <c r="F20">
        <v>1</v>
      </c>
      <c r="G20">
        <v>1</v>
      </c>
      <c r="H20">
        <v>3</v>
      </c>
      <c r="I20" t="s">
        <v>483</v>
      </c>
      <c r="J20" t="s">
        <v>484</v>
      </c>
      <c r="K20" t="s">
        <v>485</v>
      </c>
      <c r="L20">
        <v>1348</v>
      </c>
      <c r="N20">
        <v>1009</v>
      </c>
      <c r="O20" t="s">
        <v>35</v>
      </c>
      <c r="P20" t="s">
        <v>35</v>
      </c>
      <c r="Q20">
        <v>1000</v>
      </c>
      <c r="W20">
        <v>0</v>
      </c>
      <c r="X20">
        <v>308094901</v>
      </c>
      <c r="Y20">
        <f>AT20</f>
        <v>2.0699999999999998E-3</v>
      </c>
      <c r="AA20">
        <v>158923.62</v>
      </c>
      <c r="AB20">
        <v>0</v>
      </c>
      <c r="AC20">
        <v>0</v>
      </c>
      <c r="AD20">
        <v>0</v>
      </c>
      <c r="AE20">
        <v>145801.49</v>
      </c>
      <c r="AF20">
        <v>0</v>
      </c>
      <c r="AG20">
        <v>0</v>
      </c>
      <c r="AH20">
        <v>0</v>
      </c>
      <c r="AI20">
        <v>1.0900000000000001</v>
      </c>
      <c r="AJ20">
        <v>1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2.0699999999999998E-3</v>
      </c>
      <c r="AU20" t="s">
        <v>3</v>
      </c>
      <c r="AV20">
        <v>0</v>
      </c>
      <c r="AW20">
        <v>2</v>
      </c>
      <c r="AX20">
        <v>80308512</v>
      </c>
      <c r="AY20">
        <v>1</v>
      </c>
      <c r="AZ20">
        <v>0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301.80908429999994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301.80908429999994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</v>
      </c>
      <c r="CV20">
        <v>0</v>
      </c>
      <c r="CW20">
        <v>0</v>
      </c>
      <c r="CX20">
        <f>ROUND(Y20*Source!I33,7)</f>
        <v>2.0699999999999998E-3</v>
      </c>
      <c r="CY20">
        <f>AA20</f>
        <v>158923.62</v>
      </c>
      <c r="CZ20">
        <f>AE20</f>
        <v>145801.49</v>
      </c>
      <c r="DA20">
        <f>AI20</f>
        <v>1.0900000000000001</v>
      </c>
      <c r="DB20">
        <f>ROUND(ROUND(AT20*CZ20,2),6)</f>
        <v>301.81</v>
      </c>
      <c r="DC20">
        <f>ROUND(ROUND(AT20*AG20,2),6)</f>
        <v>0</v>
      </c>
      <c r="DD20" t="s">
        <v>3</v>
      </c>
      <c r="DE20" t="s">
        <v>3</v>
      </c>
      <c r="DF20">
        <f>ROUND(ROUND(AE20*AI20,2)*CX20,2)</f>
        <v>328.97</v>
      </c>
      <c r="DG20">
        <f t="shared" si="7"/>
        <v>0</v>
      </c>
      <c r="DH20">
        <f t="shared" si="4"/>
        <v>0</v>
      </c>
      <c r="DI20">
        <f t="shared" si="5"/>
        <v>0</v>
      </c>
      <c r="DJ20">
        <f>DF20</f>
        <v>328.97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ROW(Source!A33)</f>
        <v>33</v>
      </c>
      <c r="B21">
        <v>80308166</v>
      </c>
      <c r="C21">
        <v>80308492</v>
      </c>
      <c r="D21">
        <v>77519567</v>
      </c>
      <c r="E21">
        <v>1</v>
      </c>
      <c r="F21">
        <v>1</v>
      </c>
      <c r="G21">
        <v>1</v>
      </c>
      <c r="H21">
        <v>3</v>
      </c>
      <c r="I21" t="s">
        <v>60</v>
      </c>
      <c r="J21" t="s">
        <v>62</v>
      </c>
      <c r="K21" t="s">
        <v>61</v>
      </c>
      <c r="L21">
        <v>1371</v>
      </c>
      <c r="N21">
        <v>1013</v>
      </c>
      <c r="O21" t="s">
        <v>30</v>
      </c>
      <c r="P21" t="s">
        <v>30</v>
      </c>
      <c r="Q21">
        <v>1</v>
      </c>
      <c r="W21">
        <v>0</v>
      </c>
      <c r="X21">
        <v>890622894</v>
      </c>
      <c r="Y21">
        <f>AT21</f>
        <v>1</v>
      </c>
      <c r="AA21">
        <v>3578.63</v>
      </c>
      <c r="AB21">
        <v>0</v>
      </c>
      <c r="AC21">
        <v>0</v>
      </c>
      <c r="AD21">
        <v>0</v>
      </c>
      <c r="AE21">
        <v>3578.63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0</v>
      </c>
      <c r="AR21">
        <v>0</v>
      </c>
      <c r="AS21" t="s">
        <v>3</v>
      </c>
      <c r="AT21">
        <v>1</v>
      </c>
      <c r="AU21" t="s">
        <v>3</v>
      </c>
      <c r="AV21">
        <v>0</v>
      </c>
      <c r="AW21">
        <v>1</v>
      </c>
      <c r="AX21">
        <v>-1</v>
      </c>
      <c r="AY21">
        <v>0</v>
      </c>
      <c r="AZ21">
        <v>0</v>
      </c>
      <c r="BA21" t="s">
        <v>3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v>0</v>
      </c>
      <c r="CX21">
        <f>ROUND(Y21*Source!I33,7)</f>
        <v>1</v>
      </c>
      <c r="CY21">
        <f>AA21</f>
        <v>3578.63</v>
      </c>
      <c r="CZ21">
        <f>AE21</f>
        <v>3578.63</v>
      </c>
      <c r="DA21">
        <f>AI21</f>
        <v>1</v>
      </c>
      <c r="DB21">
        <f>ROUND(ROUND(AT21*CZ21,2),6)</f>
        <v>3578.63</v>
      </c>
      <c r="DC21">
        <f>ROUND(ROUND(AT21*AG21,2),6)</f>
        <v>0</v>
      </c>
      <c r="DD21" t="s">
        <v>3</v>
      </c>
      <c r="DE21" t="s">
        <v>3</v>
      </c>
      <c r="DF21">
        <f>ROUND(ROUND(AE21,2)*CX21,2)</f>
        <v>3578.63</v>
      </c>
      <c r="DG21">
        <f t="shared" si="7"/>
        <v>0</v>
      </c>
      <c r="DH21">
        <f t="shared" si="4"/>
        <v>0</v>
      </c>
      <c r="DI21">
        <f t="shared" si="5"/>
        <v>0</v>
      </c>
      <c r="DJ21">
        <f>DF21</f>
        <v>3578.63</v>
      </c>
      <c r="DK21">
        <v>1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ROW(Source!A33)</f>
        <v>33</v>
      </c>
      <c r="B22">
        <v>80308166</v>
      </c>
      <c r="C22">
        <v>80308492</v>
      </c>
      <c r="D22">
        <v>77536601</v>
      </c>
      <c r="E22">
        <v>1</v>
      </c>
      <c r="F22">
        <v>1</v>
      </c>
      <c r="G22">
        <v>1</v>
      </c>
      <c r="H22">
        <v>3</v>
      </c>
      <c r="I22" t="s">
        <v>64</v>
      </c>
      <c r="J22" t="s">
        <v>66</v>
      </c>
      <c r="K22" t="s">
        <v>65</v>
      </c>
      <c r="L22">
        <v>1371</v>
      </c>
      <c r="N22">
        <v>1013</v>
      </c>
      <c r="O22" t="s">
        <v>30</v>
      </c>
      <c r="P22" t="s">
        <v>30</v>
      </c>
      <c r="Q22">
        <v>1</v>
      </c>
      <c r="W22">
        <v>0</v>
      </c>
      <c r="X22">
        <v>-258319678</v>
      </c>
      <c r="Y22">
        <f>AT22</f>
        <v>2</v>
      </c>
      <c r="AA22">
        <v>731.63</v>
      </c>
      <c r="AB22">
        <v>0</v>
      </c>
      <c r="AC22">
        <v>0</v>
      </c>
      <c r="AD22">
        <v>0</v>
      </c>
      <c r="AE22">
        <v>659.13</v>
      </c>
      <c r="AF22">
        <v>0</v>
      </c>
      <c r="AG22">
        <v>0</v>
      </c>
      <c r="AH22">
        <v>0</v>
      </c>
      <c r="AI22">
        <v>1.1100000000000001</v>
      </c>
      <c r="AJ22">
        <v>1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1</v>
      </c>
      <c r="AQ22">
        <v>0</v>
      </c>
      <c r="AR22">
        <v>0</v>
      </c>
      <c r="AS22" t="s">
        <v>3</v>
      </c>
      <c r="AT22">
        <v>2</v>
      </c>
      <c r="AU22" t="s">
        <v>3</v>
      </c>
      <c r="AV22">
        <v>0</v>
      </c>
      <c r="AW22">
        <v>1</v>
      </c>
      <c r="AX22">
        <v>-1</v>
      </c>
      <c r="AY22">
        <v>0</v>
      </c>
      <c r="AZ22">
        <v>0</v>
      </c>
      <c r="BA22" t="s">
        <v>3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ROUND(Y22*Source!I33,7)</f>
        <v>2</v>
      </c>
      <c r="CY22">
        <f>AA22</f>
        <v>731.63</v>
      </c>
      <c r="CZ22">
        <f>AE22</f>
        <v>659.13</v>
      </c>
      <c r="DA22">
        <f>AI22</f>
        <v>1.1100000000000001</v>
      </c>
      <c r="DB22">
        <f>ROUND(ROUND(AT22*CZ22,2),6)</f>
        <v>1318.26</v>
      </c>
      <c r="DC22">
        <f>ROUND(ROUND(AT22*AG22,2),6)</f>
        <v>0</v>
      </c>
      <c r="DD22" t="s">
        <v>3</v>
      </c>
      <c r="DE22" t="s">
        <v>3</v>
      </c>
      <c r="DF22">
        <f>ROUND(ROUND(AE22*AI22,2)*CX22,2)</f>
        <v>1463.26</v>
      </c>
      <c r="DG22">
        <f t="shared" si="7"/>
        <v>0</v>
      </c>
      <c r="DH22">
        <f t="shared" si="4"/>
        <v>0</v>
      </c>
      <c r="DI22">
        <f t="shared" si="5"/>
        <v>0</v>
      </c>
      <c r="DJ22">
        <f>DF22</f>
        <v>1463.26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ROW(Source!A36)</f>
        <v>36</v>
      </c>
      <c r="B23">
        <v>80308166</v>
      </c>
      <c r="C23">
        <v>80308517</v>
      </c>
      <c r="D23">
        <v>72850651</v>
      </c>
      <c r="E23">
        <v>114</v>
      </c>
      <c r="F23">
        <v>1</v>
      </c>
      <c r="G23">
        <v>1</v>
      </c>
      <c r="H23">
        <v>1</v>
      </c>
      <c r="I23" t="s">
        <v>486</v>
      </c>
      <c r="J23" t="s">
        <v>3</v>
      </c>
      <c r="K23" t="s">
        <v>487</v>
      </c>
      <c r="L23">
        <v>1191</v>
      </c>
      <c r="N23">
        <v>1013</v>
      </c>
      <c r="O23" t="s">
        <v>449</v>
      </c>
      <c r="P23" t="s">
        <v>449</v>
      </c>
      <c r="Q23">
        <v>1</v>
      </c>
      <c r="W23">
        <v>0</v>
      </c>
      <c r="X23">
        <v>888410196</v>
      </c>
      <c r="Y23">
        <f>(AT23*ROUND(0.3,7))</f>
        <v>1.44</v>
      </c>
      <c r="AA23">
        <v>0</v>
      </c>
      <c r="AB23">
        <v>0</v>
      </c>
      <c r="AC23">
        <v>0</v>
      </c>
      <c r="AD23">
        <v>722.05</v>
      </c>
      <c r="AE23">
        <v>0</v>
      </c>
      <c r="AF23">
        <v>0</v>
      </c>
      <c r="AG23">
        <v>0</v>
      </c>
      <c r="AH23">
        <v>722.05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4.8</v>
      </c>
      <c r="AU23" t="s">
        <v>73</v>
      </c>
      <c r="AV23">
        <v>1</v>
      </c>
      <c r="AW23">
        <v>2</v>
      </c>
      <c r="AX23">
        <v>80308525</v>
      </c>
      <c r="AY23">
        <v>1</v>
      </c>
      <c r="AZ23">
        <v>0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3465.8399999999997</v>
      </c>
      <c r="BN23">
        <v>4.8</v>
      </c>
      <c r="BO23">
        <v>0</v>
      </c>
      <c r="BP23">
        <v>1</v>
      </c>
      <c r="BQ23">
        <v>0</v>
      </c>
      <c r="BR23">
        <v>0</v>
      </c>
      <c r="BS23">
        <v>0</v>
      </c>
      <c r="BT23">
        <v>1039.752</v>
      </c>
      <c r="BU23">
        <v>1.44</v>
      </c>
      <c r="BV23">
        <v>0</v>
      </c>
      <c r="BW23">
        <v>1</v>
      </c>
      <c r="CU23">
        <f>ROUND(AT23*Source!I36*AH23*AL23,2)</f>
        <v>10397.52</v>
      </c>
      <c r="CV23">
        <f>ROUND(Y23*Source!I36,7)</f>
        <v>4.32</v>
      </c>
      <c r="CW23">
        <v>0</v>
      </c>
      <c r="CX23">
        <f>ROUND(Y23*Source!I36,7)</f>
        <v>4.32</v>
      </c>
      <c r="CY23">
        <f>AD23</f>
        <v>722.05</v>
      </c>
      <c r="CZ23">
        <f>AH23</f>
        <v>722.05</v>
      </c>
      <c r="DA23">
        <f>AL23</f>
        <v>1</v>
      </c>
      <c r="DB23">
        <f>ROUND((ROUND(AT23*CZ23,2)*ROUND(0.3,7)),6)</f>
        <v>1039.752</v>
      </c>
      <c r="DC23">
        <f>ROUND((ROUND(AT23*AG23,2)*ROUND(0.3,7)),6)</f>
        <v>0</v>
      </c>
      <c r="DD23" t="s">
        <v>3</v>
      </c>
      <c r="DE23" t="s">
        <v>3</v>
      </c>
      <c r="DF23">
        <f>ROUND(ROUND(AE23,2)*CX23,2)</f>
        <v>0</v>
      </c>
      <c r="DG23">
        <f t="shared" si="7"/>
        <v>0</v>
      </c>
      <c r="DH23">
        <f t="shared" si="4"/>
        <v>0</v>
      </c>
      <c r="DI23">
        <f t="shared" si="5"/>
        <v>3119.26</v>
      </c>
      <c r="DJ23">
        <f>DI23</f>
        <v>3119.26</v>
      </c>
      <c r="DK23">
        <v>1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ROW(Source!A36)</f>
        <v>36</v>
      </c>
      <c r="B24">
        <v>80308166</v>
      </c>
      <c r="C24">
        <v>80308517</v>
      </c>
      <c r="D24">
        <v>72976354</v>
      </c>
      <c r="E24">
        <v>1</v>
      </c>
      <c r="F24">
        <v>1</v>
      </c>
      <c r="G24">
        <v>1</v>
      </c>
      <c r="H24">
        <v>2</v>
      </c>
      <c r="I24" t="s">
        <v>477</v>
      </c>
      <c r="J24" t="s">
        <v>478</v>
      </c>
      <c r="K24" t="s">
        <v>479</v>
      </c>
      <c r="L24">
        <v>1368</v>
      </c>
      <c r="N24">
        <v>1011</v>
      </c>
      <c r="O24" t="s">
        <v>455</v>
      </c>
      <c r="P24" t="s">
        <v>455</v>
      </c>
      <c r="Q24">
        <v>1</v>
      </c>
      <c r="W24">
        <v>0</v>
      </c>
      <c r="X24">
        <v>-334821386</v>
      </c>
      <c r="Y24">
        <f>(AT24*ROUND(0.3,7))</f>
        <v>0.16800000000000001</v>
      </c>
      <c r="AA24">
        <v>0</v>
      </c>
      <c r="AB24">
        <v>32.26</v>
      </c>
      <c r="AC24">
        <v>0</v>
      </c>
      <c r="AD24">
        <v>0</v>
      </c>
      <c r="AE24">
        <v>0</v>
      </c>
      <c r="AF24">
        <v>32.26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0.56000000000000005</v>
      </c>
      <c r="AU24" t="s">
        <v>73</v>
      </c>
      <c r="AV24">
        <v>1</v>
      </c>
      <c r="AW24">
        <v>2</v>
      </c>
      <c r="AX24">
        <v>80308526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18.0656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0</v>
      </c>
      <c r="BR24">
        <v>5.4196799999999996</v>
      </c>
      <c r="BS24">
        <v>0</v>
      </c>
      <c r="BT24">
        <v>0</v>
      </c>
      <c r="BU24">
        <v>0</v>
      </c>
      <c r="BV24">
        <v>0</v>
      </c>
      <c r="BW24">
        <v>1</v>
      </c>
      <c r="CV24">
        <v>0</v>
      </c>
      <c r="CW24">
        <f>ROUND(Y24*Source!I36*DO24,7)</f>
        <v>0</v>
      </c>
      <c r="CX24">
        <f>ROUND(Y24*Source!I36,7)</f>
        <v>0.504</v>
      </c>
      <c r="CY24">
        <f>AB24</f>
        <v>32.26</v>
      </c>
      <c r="CZ24">
        <f>AF24</f>
        <v>32.26</v>
      </c>
      <c r="DA24">
        <f>AJ24</f>
        <v>1</v>
      </c>
      <c r="DB24">
        <f>ROUND((ROUND(AT24*CZ24,2)*ROUND(0.3,7)),6)</f>
        <v>5.4210000000000003</v>
      </c>
      <c r="DC24">
        <f>ROUND((ROUND(AT24*AG24,2)*ROUND(0.3,7)),6)</f>
        <v>0</v>
      </c>
      <c r="DD24" t="s">
        <v>3</v>
      </c>
      <c r="DE24" t="s">
        <v>3</v>
      </c>
      <c r="DF24">
        <f>ROUND(ROUND(AE24,2)*CX24,2)</f>
        <v>0</v>
      </c>
      <c r="DG24">
        <f t="shared" si="7"/>
        <v>16.260000000000002</v>
      </c>
      <c r="DH24">
        <f t="shared" si="4"/>
        <v>0</v>
      </c>
      <c r="DI24">
        <f t="shared" si="5"/>
        <v>0</v>
      </c>
      <c r="DJ24">
        <f>DG24+DH24</f>
        <v>16.260000000000002</v>
      </c>
      <c r="DK24">
        <v>1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ROW(Source!A36)</f>
        <v>36</v>
      </c>
      <c r="B25">
        <v>80308166</v>
      </c>
      <c r="C25">
        <v>80308517</v>
      </c>
      <c r="D25">
        <v>72920216</v>
      </c>
      <c r="E25">
        <v>1</v>
      </c>
      <c r="F25">
        <v>1</v>
      </c>
      <c r="G25">
        <v>1</v>
      </c>
      <c r="H25">
        <v>3</v>
      </c>
      <c r="I25" t="s">
        <v>488</v>
      </c>
      <c r="J25" t="s">
        <v>489</v>
      </c>
      <c r="K25" t="s">
        <v>490</v>
      </c>
      <c r="L25">
        <v>1339</v>
      </c>
      <c r="N25">
        <v>1007</v>
      </c>
      <c r="O25" t="s">
        <v>309</v>
      </c>
      <c r="P25" t="s">
        <v>309</v>
      </c>
      <c r="Q25">
        <v>1</v>
      </c>
      <c r="W25">
        <v>0</v>
      </c>
      <c r="X25">
        <v>1997520280</v>
      </c>
      <c r="Y25">
        <f>(AT25*ROUND(0,7))</f>
        <v>0</v>
      </c>
      <c r="AA25">
        <v>510.62</v>
      </c>
      <c r="AB25">
        <v>0</v>
      </c>
      <c r="AC25">
        <v>0</v>
      </c>
      <c r="AD25">
        <v>0</v>
      </c>
      <c r="AE25">
        <v>340.41</v>
      </c>
      <c r="AF25">
        <v>0</v>
      </c>
      <c r="AG25">
        <v>0</v>
      </c>
      <c r="AH25">
        <v>0</v>
      </c>
      <c r="AI25">
        <v>1.5</v>
      </c>
      <c r="AJ25">
        <v>1</v>
      </c>
      <c r="AK25">
        <v>1</v>
      </c>
      <c r="AL25">
        <v>1</v>
      </c>
      <c r="AM25">
        <v>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1.2999999999999999E-2</v>
      </c>
      <c r="AU25" t="s">
        <v>72</v>
      </c>
      <c r="AV25">
        <v>0</v>
      </c>
      <c r="AW25">
        <v>2</v>
      </c>
      <c r="AX25">
        <v>80308527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4.4253299999999998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ROUND(Y25*Source!I36,7)</f>
        <v>0</v>
      </c>
      <c r="CY25">
        <f>AA25</f>
        <v>510.62</v>
      </c>
      <c r="CZ25">
        <f>AE25</f>
        <v>340.41</v>
      </c>
      <c r="DA25">
        <f>AI25</f>
        <v>1.5</v>
      </c>
      <c r="DB25">
        <f>ROUND((ROUND(AT25*CZ25,2)*ROUND(0,7)),6)</f>
        <v>0</v>
      </c>
      <c r="DC25">
        <f>ROUND((ROUND(AT25*AG25,2)*ROUND(0,7)),6)</f>
        <v>0</v>
      </c>
      <c r="DD25" t="s">
        <v>3</v>
      </c>
      <c r="DE25" t="s">
        <v>3</v>
      </c>
      <c r="DF25">
        <f>ROUND(ROUND(AE25*AI25,2)*CX25,2)</f>
        <v>0</v>
      </c>
      <c r="DG25">
        <f t="shared" si="7"/>
        <v>0</v>
      </c>
      <c r="DH25">
        <f t="shared" si="4"/>
        <v>0</v>
      </c>
      <c r="DI25">
        <f t="shared" si="5"/>
        <v>0</v>
      </c>
      <c r="DJ25">
        <f>DF25</f>
        <v>0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ROW(Source!A36)</f>
        <v>36</v>
      </c>
      <c r="B26">
        <v>80308166</v>
      </c>
      <c r="C26">
        <v>80308517</v>
      </c>
      <c r="D26">
        <v>72920232</v>
      </c>
      <c r="E26">
        <v>1</v>
      </c>
      <c r="F26">
        <v>1</v>
      </c>
      <c r="G26">
        <v>1</v>
      </c>
      <c r="H26">
        <v>3</v>
      </c>
      <c r="I26" t="s">
        <v>491</v>
      </c>
      <c r="J26" t="s">
        <v>492</v>
      </c>
      <c r="K26" t="s">
        <v>493</v>
      </c>
      <c r="L26">
        <v>1339</v>
      </c>
      <c r="N26">
        <v>1007</v>
      </c>
      <c r="O26" t="s">
        <v>309</v>
      </c>
      <c r="P26" t="s">
        <v>309</v>
      </c>
      <c r="Q26">
        <v>1</v>
      </c>
      <c r="W26">
        <v>0</v>
      </c>
      <c r="X26">
        <v>245356557</v>
      </c>
      <c r="Y26">
        <f>(AT26*ROUND(0,7))</f>
        <v>0</v>
      </c>
      <c r="AA26">
        <v>97.44</v>
      </c>
      <c r="AB26">
        <v>0</v>
      </c>
      <c r="AC26">
        <v>0</v>
      </c>
      <c r="AD26">
        <v>0</v>
      </c>
      <c r="AE26">
        <v>114.64</v>
      </c>
      <c r="AF26">
        <v>0</v>
      </c>
      <c r="AG26">
        <v>0</v>
      </c>
      <c r="AH26">
        <v>0</v>
      </c>
      <c r="AI26">
        <v>0.85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2.5999999999999999E-2</v>
      </c>
      <c r="AU26" t="s">
        <v>72</v>
      </c>
      <c r="AV26">
        <v>0</v>
      </c>
      <c r="AW26">
        <v>2</v>
      </c>
      <c r="AX26">
        <v>80308528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2.9806399999999997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ROUND(Y26*Source!I36,7)</f>
        <v>0</v>
      </c>
      <c r="CY26">
        <f>AA26</f>
        <v>97.44</v>
      </c>
      <c r="CZ26">
        <f>AE26</f>
        <v>114.64</v>
      </c>
      <c r="DA26">
        <f>AI26</f>
        <v>0.85</v>
      </c>
      <c r="DB26">
        <f>ROUND((ROUND(AT26*CZ26,2)*ROUND(0,7)),6)</f>
        <v>0</v>
      </c>
      <c r="DC26">
        <f>ROUND((ROUND(AT26*AG26,2)*ROUND(0,7)),6)</f>
        <v>0</v>
      </c>
      <c r="DD26" t="s">
        <v>3</v>
      </c>
      <c r="DE26" t="s">
        <v>3</v>
      </c>
      <c r="DF26">
        <f>ROUND(ROUND(AE26*AI26,2)*CX26,2)</f>
        <v>0</v>
      </c>
      <c r="DG26">
        <f t="shared" si="7"/>
        <v>0</v>
      </c>
      <c r="DH26">
        <f t="shared" si="4"/>
        <v>0</v>
      </c>
      <c r="DI26">
        <f t="shared" si="5"/>
        <v>0</v>
      </c>
      <c r="DJ26">
        <f>DF26</f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ROW(Source!A36)</f>
        <v>36</v>
      </c>
      <c r="B27">
        <v>80308166</v>
      </c>
      <c r="C27">
        <v>80308517</v>
      </c>
      <c r="D27">
        <v>72920236</v>
      </c>
      <c r="E27">
        <v>1</v>
      </c>
      <c r="F27">
        <v>1</v>
      </c>
      <c r="G27">
        <v>1</v>
      </c>
      <c r="H27">
        <v>3</v>
      </c>
      <c r="I27" t="s">
        <v>494</v>
      </c>
      <c r="J27" t="s">
        <v>495</v>
      </c>
      <c r="K27" t="s">
        <v>496</v>
      </c>
      <c r="L27">
        <v>1346</v>
      </c>
      <c r="N27">
        <v>1009</v>
      </c>
      <c r="O27" t="s">
        <v>295</v>
      </c>
      <c r="P27" t="s">
        <v>295</v>
      </c>
      <c r="Q27">
        <v>1</v>
      </c>
      <c r="W27">
        <v>0</v>
      </c>
      <c r="X27">
        <v>-1291055576</v>
      </c>
      <c r="Y27">
        <f>(AT27*ROUND(0,7))</f>
        <v>0</v>
      </c>
      <c r="AA27">
        <v>57.93</v>
      </c>
      <c r="AB27">
        <v>0</v>
      </c>
      <c r="AC27">
        <v>0</v>
      </c>
      <c r="AD27">
        <v>0</v>
      </c>
      <c r="AE27">
        <v>41.38</v>
      </c>
      <c r="AF27">
        <v>0</v>
      </c>
      <c r="AG27">
        <v>0</v>
      </c>
      <c r="AH27">
        <v>0</v>
      </c>
      <c r="AI27">
        <v>1.4</v>
      </c>
      <c r="AJ27">
        <v>1</v>
      </c>
      <c r="AK27">
        <v>1</v>
      </c>
      <c r="AL27">
        <v>1</v>
      </c>
      <c r="AM27">
        <v>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3.0000000000000001E-3</v>
      </c>
      <c r="AU27" t="s">
        <v>72</v>
      </c>
      <c r="AV27">
        <v>0</v>
      </c>
      <c r="AW27">
        <v>2</v>
      </c>
      <c r="AX27">
        <v>80308529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0.12414000000000001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ROUND(Y27*Source!I36,7)</f>
        <v>0</v>
      </c>
      <c r="CY27">
        <f>AA27</f>
        <v>57.93</v>
      </c>
      <c r="CZ27">
        <f>AE27</f>
        <v>41.38</v>
      </c>
      <c r="DA27">
        <f>AI27</f>
        <v>1.4</v>
      </c>
      <c r="DB27">
        <f>ROUND((ROUND(AT27*CZ27,2)*ROUND(0,7)),6)</f>
        <v>0</v>
      </c>
      <c r="DC27">
        <f>ROUND((ROUND(AT27*AG27,2)*ROUND(0,7)),6)</f>
        <v>0</v>
      </c>
      <c r="DD27" t="s">
        <v>3</v>
      </c>
      <c r="DE27" t="s">
        <v>3</v>
      </c>
      <c r="DF27">
        <f>ROUND(ROUND(AE27*AI27,2)*CX27,2)</f>
        <v>0</v>
      </c>
      <c r="DG27">
        <f t="shared" si="7"/>
        <v>0</v>
      </c>
      <c r="DH27">
        <f t="shared" si="4"/>
        <v>0</v>
      </c>
      <c r="DI27">
        <f t="shared" si="5"/>
        <v>0</v>
      </c>
      <c r="DJ27">
        <f>DF27</f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ROW(Source!A36)</f>
        <v>36</v>
      </c>
      <c r="B28">
        <v>80308166</v>
      </c>
      <c r="C28">
        <v>80308517</v>
      </c>
      <c r="D28">
        <v>72922980</v>
      </c>
      <c r="E28">
        <v>1</v>
      </c>
      <c r="F28">
        <v>1</v>
      </c>
      <c r="G28">
        <v>1</v>
      </c>
      <c r="H28">
        <v>3</v>
      </c>
      <c r="I28" t="s">
        <v>497</v>
      </c>
      <c r="J28" t="s">
        <v>498</v>
      </c>
      <c r="K28" t="s">
        <v>499</v>
      </c>
      <c r="L28">
        <v>1346</v>
      </c>
      <c r="N28">
        <v>1009</v>
      </c>
      <c r="O28" t="s">
        <v>295</v>
      </c>
      <c r="P28" t="s">
        <v>295</v>
      </c>
      <c r="Q28">
        <v>1</v>
      </c>
      <c r="W28">
        <v>0</v>
      </c>
      <c r="X28">
        <v>1068889571</v>
      </c>
      <c r="Y28">
        <f>(AT28*ROUND(0,7))</f>
        <v>0</v>
      </c>
      <c r="AA28">
        <v>110.11</v>
      </c>
      <c r="AB28">
        <v>0</v>
      </c>
      <c r="AC28">
        <v>0</v>
      </c>
      <c r="AD28">
        <v>0</v>
      </c>
      <c r="AE28">
        <v>98.31</v>
      </c>
      <c r="AF28">
        <v>0</v>
      </c>
      <c r="AG28">
        <v>0</v>
      </c>
      <c r="AH28">
        <v>0</v>
      </c>
      <c r="AI28">
        <v>1.1200000000000001</v>
      </c>
      <c r="AJ28">
        <v>1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0.28000000000000003</v>
      </c>
      <c r="AU28" t="s">
        <v>72</v>
      </c>
      <c r="AV28">
        <v>0</v>
      </c>
      <c r="AW28">
        <v>2</v>
      </c>
      <c r="AX28">
        <v>80308530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27.526800000000001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ROUND(Y28*Source!I36,7)</f>
        <v>0</v>
      </c>
      <c r="CY28">
        <f>AA28</f>
        <v>110.11</v>
      </c>
      <c r="CZ28">
        <f>AE28</f>
        <v>98.31</v>
      </c>
      <c r="DA28">
        <f>AI28</f>
        <v>1.1200000000000001</v>
      </c>
      <c r="DB28">
        <f>ROUND((ROUND(AT28*CZ28,2)*ROUND(0,7)),6)</f>
        <v>0</v>
      </c>
      <c r="DC28">
        <f>ROUND((ROUND(AT28*AG28,2)*ROUND(0,7)),6)</f>
        <v>0</v>
      </c>
      <c r="DD28" t="s">
        <v>3</v>
      </c>
      <c r="DE28" t="s">
        <v>3</v>
      </c>
      <c r="DF28">
        <f>ROUND(ROUND(AE28*AI28,2)*CX28,2)</f>
        <v>0</v>
      </c>
      <c r="DG28">
        <f t="shared" si="7"/>
        <v>0</v>
      </c>
      <c r="DH28">
        <f t="shared" si="4"/>
        <v>0</v>
      </c>
      <c r="DI28">
        <f t="shared" si="5"/>
        <v>0</v>
      </c>
      <c r="DJ28">
        <f>DF28</f>
        <v>0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ROW(Source!A36)</f>
        <v>36</v>
      </c>
      <c r="B29">
        <v>80308166</v>
      </c>
      <c r="C29">
        <v>80308517</v>
      </c>
      <c r="D29">
        <v>72856513</v>
      </c>
      <c r="E29">
        <v>114</v>
      </c>
      <c r="F29">
        <v>1</v>
      </c>
      <c r="G29">
        <v>1</v>
      </c>
      <c r="H29">
        <v>3</v>
      </c>
      <c r="I29" t="s">
        <v>81</v>
      </c>
      <c r="J29" t="s">
        <v>3</v>
      </c>
      <c r="K29" t="s">
        <v>82</v>
      </c>
      <c r="L29">
        <v>3277935</v>
      </c>
      <c r="N29">
        <v>1013</v>
      </c>
      <c r="O29" t="s">
        <v>83</v>
      </c>
      <c r="P29" t="s">
        <v>83</v>
      </c>
      <c r="Q29">
        <v>1</v>
      </c>
      <c r="W29">
        <v>0</v>
      </c>
      <c r="X29">
        <v>274903907</v>
      </c>
      <c r="Y29">
        <f t="shared" ref="Y29:Y37" si="8">AT29</f>
        <v>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0</v>
      </c>
      <c r="AQ29">
        <v>0</v>
      </c>
      <c r="AR29">
        <v>0</v>
      </c>
      <c r="AS29" t="s">
        <v>3</v>
      </c>
      <c r="AT29">
        <v>2</v>
      </c>
      <c r="AU29" t="s">
        <v>3</v>
      </c>
      <c r="AV29">
        <v>0</v>
      </c>
      <c r="AW29">
        <v>2</v>
      </c>
      <c r="AX29">
        <v>80308531</v>
      </c>
      <c r="AY29">
        <v>1</v>
      </c>
      <c r="AZ29">
        <v>2048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V29">
        <v>0</v>
      </c>
      <c r="CW29">
        <v>0</v>
      </c>
      <c r="CX29">
        <f>ROUND(Y29*Source!I36,7)</f>
        <v>6</v>
      </c>
      <c r="CY29">
        <f>AA29</f>
        <v>0</v>
      </c>
      <c r="CZ29">
        <f>AE29</f>
        <v>0</v>
      </c>
      <c r="DA29">
        <f>AI29</f>
        <v>1</v>
      </c>
      <c r="DB29">
        <f t="shared" ref="DB29:DB37" si="9">ROUND(ROUND(AT29*CZ29,2),6)</f>
        <v>0</v>
      </c>
      <c r="DC29">
        <f t="shared" ref="DC29:DC37" si="10">ROUND(ROUND(AT29*AG29,2),6)</f>
        <v>0</v>
      </c>
      <c r="DD29" t="s">
        <v>3</v>
      </c>
      <c r="DE29" t="s">
        <v>3</v>
      </c>
      <c r="DF29">
        <f>ROUND(ROUND(AE29,2)*CX29,2)</f>
        <v>0</v>
      </c>
      <c r="DG29">
        <f t="shared" si="7"/>
        <v>0</v>
      </c>
      <c r="DH29">
        <f t="shared" si="4"/>
        <v>0</v>
      </c>
      <c r="DI29">
        <f t="shared" si="5"/>
        <v>0</v>
      </c>
      <c r="DJ29">
        <f>DF29</f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ROW(Source!A38)</f>
        <v>38</v>
      </c>
      <c r="B30">
        <v>80308166</v>
      </c>
      <c r="C30">
        <v>80308533</v>
      </c>
      <c r="D30">
        <v>72850651</v>
      </c>
      <c r="E30">
        <v>114</v>
      </c>
      <c r="F30">
        <v>1</v>
      </c>
      <c r="G30">
        <v>1</v>
      </c>
      <c r="H30">
        <v>1</v>
      </c>
      <c r="I30" t="s">
        <v>486</v>
      </c>
      <c r="J30" t="s">
        <v>3</v>
      </c>
      <c r="K30" t="s">
        <v>487</v>
      </c>
      <c r="L30">
        <v>1191</v>
      </c>
      <c r="N30">
        <v>1013</v>
      </c>
      <c r="O30" t="s">
        <v>449</v>
      </c>
      <c r="P30" t="s">
        <v>449</v>
      </c>
      <c r="Q30">
        <v>1</v>
      </c>
      <c r="W30">
        <v>0</v>
      </c>
      <c r="X30">
        <v>888410196</v>
      </c>
      <c r="Y30">
        <f t="shared" si="8"/>
        <v>4.8</v>
      </c>
      <c r="AA30">
        <v>0</v>
      </c>
      <c r="AB30">
        <v>0</v>
      </c>
      <c r="AC30">
        <v>0</v>
      </c>
      <c r="AD30">
        <v>722.05</v>
      </c>
      <c r="AE30">
        <v>0</v>
      </c>
      <c r="AF30">
        <v>0</v>
      </c>
      <c r="AG30">
        <v>0</v>
      </c>
      <c r="AH30">
        <v>722.05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0</v>
      </c>
      <c r="AQ30">
        <v>1</v>
      </c>
      <c r="AR30">
        <v>0</v>
      </c>
      <c r="AS30" t="s">
        <v>3</v>
      </c>
      <c r="AT30">
        <v>4.8</v>
      </c>
      <c r="AU30" t="s">
        <v>3</v>
      </c>
      <c r="AV30">
        <v>1</v>
      </c>
      <c r="AW30">
        <v>2</v>
      </c>
      <c r="AX30">
        <v>80308542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3465.8399999999997</v>
      </c>
      <c r="BN30">
        <v>4.8</v>
      </c>
      <c r="BO30">
        <v>0</v>
      </c>
      <c r="BP30">
        <v>1</v>
      </c>
      <c r="BQ30">
        <v>0</v>
      </c>
      <c r="BR30">
        <v>0</v>
      </c>
      <c r="BS30">
        <v>0</v>
      </c>
      <c r="BT30">
        <v>3465.8399999999997</v>
      </c>
      <c r="BU30">
        <v>4.8</v>
      </c>
      <c r="BV30">
        <v>0</v>
      </c>
      <c r="BW30">
        <v>1</v>
      </c>
      <c r="CU30">
        <f>ROUND(AT30*Source!I38*AH30*AL30,2)</f>
        <v>10397.52</v>
      </c>
      <c r="CV30">
        <f>ROUND(Y30*Source!I38,7)</f>
        <v>14.4</v>
      </c>
      <c r="CW30">
        <v>0</v>
      </c>
      <c r="CX30">
        <f>ROUND(Y30*Source!I38,7)</f>
        <v>14.4</v>
      </c>
      <c r="CY30">
        <f>AD30</f>
        <v>722.05</v>
      </c>
      <c r="CZ30">
        <f>AH30</f>
        <v>722.05</v>
      </c>
      <c r="DA30">
        <f>AL30</f>
        <v>1</v>
      </c>
      <c r="DB30">
        <f t="shared" si="9"/>
        <v>3465.84</v>
      </c>
      <c r="DC30">
        <f t="shared" si="10"/>
        <v>0</v>
      </c>
      <c r="DD30" t="s">
        <v>3</v>
      </c>
      <c r="DE30" t="s">
        <v>3</v>
      </c>
      <c r="DF30">
        <f>ROUND(ROUND(AE30,2)*CX30,2)</f>
        <v>0</v>
      </c>
      <c r="DG30">
        <f t="shared" si="7"/>
        <v>0</v>
      </c>
      <c r="DH30">
        <f t="shared" si="4"/>
        <v>0</v>
      </c>
      <c r="DI30">
        <f t="shared" si="5"/>
        <v>10397.52</v>
      </c>
      <c r="DJ30">
        <f>DI30</f>
        <v>10397.52</v>
      </c>
      <c r="DK30">
        <v>1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ROW(Source!A38)</f>
        <v>38</v>
      </c>
      <c r="B31">
        <v>80308166</v>
      </c>
      <c r="C31">
        <v>80308533</v>
      </c>
      <c r="D31">
        <v>72976354</v>
      </c>
      <c r="E31">
        <v>1</v>
      </c>
      <c r="F31">
        <v>1</v>
      </c>
      <c r="G31">
        <v>1</v>
      </c>
      <c r="H31">
        <v>2</v>
      </c>
      <c r="I31" t="s">
        <v>477</v>
      </c>
      <c r="J31" t="s">
        <v>478</v>
      </c>
      <c r="K31" t="s">
        <v>479</v>
      </c>
      <c r="L31">
        <v>1368</v>
      </c>
      <c r="N31">
        <v>1011</v>
      </c>
      <c r="O31" t="s">
        <v>455</v>
      </c>
      <c r="P31" t="s">
        <v>455</v>
      </c>
      <c r="Q31">
        <v>1</v>
      </c>
      <c r="W31">
        <v>0</v>
      </c>
      <c r="X31">
        <v>-334821386</v>
      </c>
      <c r="Y31">
        <f t="shared" si="8"/>
        <v>0.56000000000000005</v>
      </c>
      <c r="AA31">
        <v>0</v>
      </c>
      <c r="AB31">
        <v>32.26</v>
      </c>
      <c r="AC31">
        <v>0</v>
      </c>
      <c r="AD31">
        <v>0</v>
      </c>
      <c r="AE31">
        <v>0</v>
      </c>
      <c r="AF31">
        <v>32.26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0</v>
      </c>
      <c r="AQ31">
        <v>1</v>
      </c>
      <c r="AR31">
        <v>0</v>
      </c>
      <c r="AS31" t="s">
        <v>3</v>
      </c>
      <c r="AT31">
        <v>0.56000000000000005</v>
      </c>
      <c r="AU31" t="s">
        <v>3</v>
      </c>
      <c r="AV31">
        <v>1</v>
      </c>
      <c r="AW31">
        <v>2</v>
      </c>
      <c r="AX31">
        <v>80308543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18.0656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0</v>
      </c>
      <c r="BR31">
        <v>18.0656</v>
      </c>
      <c r="BS31">
        <v>0</v>
      </c>
      <c r="BT31">
        <v>0</v>
      </c>
      <c r="BU31">
        <v>0</v>
      </c>
      <c r="BV31">
        <v>0</v>
      </c>
      <c r="BW31">
        <v>1</v>
      </c>
      <c r="CV31">
        <v>0</v>
      </c>
      <c r="CW31">
        <f>ROUND(Y31*Source!I38*DO31,7)</f>
        <v>0</v>
      </c>
      <c r="CX31">
        <f>ROUND(Y31*Source!I38,7)</f>
        <v>1.68</v>
      </c>
      <c r="CY31">
        <f>AB31</f>
        <v>32.26</v>
      </c>
      <c r="CZ31">
        <f>AF31</f>
        <v>32.26</v>
      </c>
      <c r="DA31">
        <f>AJ31</f>
        <v>1</v>
      </c>
      <c r="DB31">
        <f t="shared" si="9"/>
        <v>18.07</v>
      </c>
      <c r="DC31">
        <f t="shared" si="10"/>
        <v>0</v>
      </c>
      <c r="DD31" t="s">
        <v>3</v>
      </c>
      <c r="DE31" t="s">
        <v>3</v>
      </c>
      <c r="DF31">
        <f>ROUND(ROUND(AE31,2)*CX31,2)</f>
        <v>0</v>
      </c>
      <c r="DG31">
        <f t="shared" si="7"/>
        <v>54.2</v>
      </c>
      <c r="DH31">
        <f t="shared" si="4"/>
        <v>0</v>
      </c>
      <c r="DI31">
        <f t="shared" si="5"/>
        <v>0</v>
      </c>
      <c r="DJ31">
        <f>DG31+DH31</f>
        <v>54.2</v>
      </c>
      <c r="DK31">
        <v>1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ROW(Source!A38)</f>
        <v>38</v>
      </c>
      <c r="B32">
        <v>80308166</v>
      </c>
      <c r="C32">
        <v>80308533</v>
      </c>
      <c r="D32">
        <v>72920216</v>
      </c>
      <c r="E32">
        <v>1</v>
      </c>
      <c r="F32">
        <v>1</v>
      </c>
      <c r="G32">
        <v>1</v>
      </c>
      <c r="H32">
        <v>3</v>
      </c>
      <c r="I32" t="s">
        <v>488</v>
      </c>
      <c r="J32" t="s">
        <v>489</v>
      </c>
      <c r="K32" t="s">
        <v>490</v>
      </c>
      <c r="L32">
        <v>1339</v>
      </c>
      <c r="N32">
        <v>1007</v>
      </c>
      <c r="O32" t="s">
        <v>309</v>
      </c>
      <c r="P32" t="s">
        <v>309</v>
      </c>
      <c r="Q32">
        <v>1</v>
      </c>
      <c r="W32">
        <v>0</v>
      </c>
      <c r="X32">
        <v>1997520280</v>
      </c>
      <c r="Y32">
        <f t="shared" si="8"/>
        <v>1.2999999999999999E-2</v>
      </c>
      <c r="AA32">
        <v>510.62</v>
      </c>
      <c r="AB32">
        <v>0</v>
      </c>
      <c r="AC32">
        <v>0</v>
      </c>
      <c r="AD32">
        <v>0</v>
      </c>
      <c r="AE32">
        <v>340.41</v>
      </c>
      <c r="AF32">
        <v>0</v>
      </c>
      <c r="AG32">
        <v>0</v>
      </c>
      <c r="AH32">
        <v>0</v>
      </c>
      <c r="AI32">
        <v>1.5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0</v>
      </c>
      <c r="AQ32">
        <v>1</v>
      </c>
      <c r="AR32">
        <v>0</v>
      </c>
      <c r="AS32" t="s">
        <v>3</v>
      </c>
      <c r="AT32">
        <v>1.2999999999999999E-2</v>
      </c>
      <c r="AU32" t="s">
        <v>3</v>
      </c>
      <c r="AV32">
        <v>0</v>
      </c>
      <c r="AW32">
        <v>2</v>
      </c>
      <c r="AX32">
        <v>80308544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4.4253299999999998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4.4253299999999998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ROUND(Y32*Source!I38,7)</f>
        <v>3.9E-2</v>
      </c>
      <c r="CY32">
        <f t="shared" ref="CY32:CY37" si="11">AA32</f>
        <v>510.62</v>
      </c>
      <c r="CZ32">
        <f t="shared" ref="CZ32:CZ37" si="12">AE32</f>
        <v>340.41</v>
      </c>
      <c r="DA32">
        <f t="shared" ref="DA32:DA37" si="13">AI32</f>
        <v>1.5</v>
      </c>
      <c r="DB32">
        <f t="shared" si="9"/>
        <v>4.43</v>
      </c>
      <c r="DC32">
        <f t="shared" si="10"/>
        <v>0</v>
      </c>
      <c r="DD32" t="s">
        <v>3</v>
      </c>
      <c r="DE32" t="s">
        <v>3</v>
      </c>
      <c r="DF32">
        <f>ROUND(ROUND(AE32*AI32,2)*CX32,2)</f>
        <v>19.91</v>
      </c>
      <c r="DG32">
        <f t="shared" si="7"/>
        <v>0</v>
      </c>
      <c r="DH32">
        <f t="shared" si="4"/>
        <v>0</v>
      </c>
      <c r="DI32">
        <f t="shared" si="5"/>
        <v>0</v>
      </c>
      <c r="DJ32">
        <f t="shared" ref="DJ32:DJ37" si="14">DF32</f>
        <v>19.91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ROW(Source!A38)</f>
        <v>38</v>
      </c>
      <c r="B33">
        <v>80308166</v>
      </c>
      <c r="C33">
        <v>80308533</v>
      </c>
      <c r="D33">
        <v>72920232</v>
      </c>
      <c r="E33">
        <v>1</v>
      </c>
      <c r="F33">
        <v>1</v>
      </c>
      <c r="G33">
        <v>1</v>
      </c>
      <c r="H33">
        <v>3</v>
      </c>
      <c r="I33" t="s">
        <v>491</v>
      </c>
      <c r="J33" t="s">
        <v>492</v>
      </c>
      <c r="K33" t="s">
        <v>493</v>
      </c>
      <c r="L33">
        <v>1339</v>
      </c>
      <c r="N33">
        <v>1007</v>
      </c>
      <c r="O33" t="s">
        <v>309</v>
      </c>
      <c r="P33" t="s">
        <v>309</v>
      </c>
      <c r="Q33">
        <v>1</v>
      </c>
      <c r="W33">
        <v>0</v>
      </c>
      <c r="X33">
        <v>245356557</v>
      </c>
      <c r="Y33">
        <f t="shared" si="8"/>
        <v>2.5999999999999999E-2</v>
      </c>
      <c r="AA33">
        <v>97.44</v>
      </c>
      <c r="AB33">
        <v>0</v>
      </c>
      <c r="AC33">
        <v>0</v>
      </c>
      <c r="AD33">
        <v>0</v>
      </c>
      <c r="AE33">
        <v>114.64</v>
      </c>
      <c r="AF33">
        <v>0</v>
      </c>
      <c r="AG33">
        <v>0</v>
      </c>
      <c r="AH33">
        <v>0</v>
      </c>
      <c r="AI33">
        <v>0.85</v>
      </c>
      <c r="AJ33">
        <v>1</v>
      </c>
      <c r="AK33">
        <v>1</v>
      </c>
      <c r="AL33">
        <v>1</v>
      </c>
      <c r="AM33">
        <v>2</v>
      </c>
      <c r="AN33">
        <v>0</v>
      </c>
      <c r="AO33">
        <v>0</v>
      </c>
      <c r="AP33">
        <v>0</v>
      </c>
      <c r="AQ33">
        <v>1</v>
      </c>
      <c r="AR33">
        <v>0</v>
      </c>
      <c r="AS33" t="s">
        <v>3</v>
      </c>
      <c r="AT33">
        <v>2.5999999999999999E-2</v>
      </c>
      <c r="AU33" t="s">
        <v>3</v>
      </c>
      <c r="AV33">
        <v>0</v>
      </c>
      <c r="AW33">
        <v>2</v>
      </c>
      <c r="AX33">
        <v>80308545</v>
      </c>
      <c r="AY33">
        <v>1</v>
      </c>
      <c r="AZ33">
        <v>0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2.9806399999999997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2.9806399999999997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v>0</v>
      </c>
      <c r="CX33">
        <f>ROUND(Y33*Source!I38,7)</f>
        <v>7.8E-2</v>
      </c>
      <c r="CY33">
        <f t="shared" si="11"/>
        <v>97.44</v>
      </c>
      <c r="CZ33">
        <f t="shared" si="12"/>
        <v>114.64</v>
      </c>
      <c r="DA33">
        <f t="shared" si="13"/>
        <v>0.85</v>
      </c>
      <c r="DB33">
        <f t="shared" si="9"/>
        <v>2.98</v>
      </c>
      <c r="DC33">
        <f t="shared" si="10"/>
        <v>0</v>
      </c>
      <c r="DD33" t="s">
        <v>3</v>
      </c>
      <c r="DE33" t="s">
        <v>3</v>
      </c>
      <c r="DF33">
        <f>ROUND(ROUND(AE33*AI33,2)*CX33,2)</f>
        <v>7.6</v>
      </c>
      <c r="DG33">
        <f t="shared" si="7"/>
        <v>0</v>
      </c>
      <c r="DH33">
        <f t="shared" si="4"/>
        <v>0</v>
      </c>
      <c r="DI33">
        <f t="shared" si="5"/>
        <v>0</v>
      </c>
      <c r="DJ33">
        <f t="shared" si="14"/>
        <v>7.6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ROW(Source!A38)</f>
        <v>38</v>
      </c>
      <c r="B34">
        <v>80308166</v>
      </c>
      <c r="C34">
        <v>80308533</v>
      </c>
      <c r="D34">
        <v>72920236</v>
      </c>
      <c r="E34">
        <v>1</v>
      </c>
      <c r="F34">
        <v>1</v>
      </c>
      <c r="G34">
        <v>1</v>
      </c>
      <c r="H34">
        <v>3</v>
      </c>
      <c r="I34" t="s">
        <v>494</v>
      </c>
      <c r="J34" t="s">
        <v>495</v>
      </c>
      <c r="K34" t="s">
        <v>496</v>
      </c>
      <c r="L34">
        <v>1346</v>
      </c>
      <c r="N34">
        <v>1009</v>
      </c>
      <c r="O34" t="s">
        <v>295</v>
      </c>
      <c r="P34" t="s">
        <v>295</v>
      </c>
      <c r="Q34">
        <v>1</v>
      </c>
      <c r="W34">
        <v>0</v>
      </c>
      <c r="X34">
        <v>-1291055576</v>
      </c>
      <c r="Y34">
        <f t="shared" si="8"/>
        <v>3.0000000000000001E-3</v>
      </c>
      <c r="AA34">
        <v>57.93</v>
      </c>
      <c r="AB34">
        <v>0</v>
      </c>
      <c r="AC34">
        <v>0</v>
      </c>
      <c r="AD34">
        <v>0</v>
      </c>
      <c r="AE34">
        <v>41.38</v>
      </c>
      <c r="AF34">
        <v>0</v>
      </c>
      <c r="AG34">
        <v>0</v>
      </c>
      <c r="AH34">
        <v>0</v>
      </c>
      <c r="AI34">
        <v>1.4</v>
      </c>
      <c r="AJ34">
        <v>1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0</v>
      </c>
      <c r="AQ34">
        <v>1</v>
      </c>
      <c r="AR34">
        <v>0</v>
      </c>
      <c r="AS34" t="s">
        <v>3</v>
      </c>
      <c r="AT34">
        <v>3.0000000000000001E-3</v>
      </c>
      <c r="AU34" t="s">
        <v>3</v>
      </c>
      <c r="AV34">
        <v>0</v>
      </c>
      <c r="AW34">
        <v>2</v>
      </c>
      <c r="AX34">
        <v>80308546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0.12414000000000001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0.12414000000000001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CV34">
        <v>0</v>
      </c>
      <c r="CW34">
        <v>0</v>
      </c>
      <c r="CX34">
        <f>ROUND(Y34*Source!I38,7)</f>
        <v>8.9999999999999993E-3</v>
      </c>
      <c r="CY34">
        <f t="shared" si="11"/>
        <v>57.93</v>
      </c>
      <c r="CZ34">
        <f t="shared" si="12"/>
        <v>41.38</v>
      </c>
      <c r="DA34">
        <f t="shared" si="13"/>
        <v>1.4</v>
      </c>
      <c r="DB34">
        <f t="shared" si="9"/>
        <v>0.12</v>
      </c>
      <c r="DC34">
        <f t="shared" si="10"/>
        <v>0</v>
      </c>
      <c r="DD34" t="s">
        <v>3</v>
      </c>
      <c r="DE34" t="s">
        <v>3</v>
      </c>
      <c r="DF34">
        <f>ROUND(ROUND(AE34*AI34,2)*CX34,2)</f>
        <v>0.52</v>
      </c>
      <c r="DG34">
        <f t="shared" si="7"/>
        <v>0</v>
      </c>
      <c r="DH34">
        <f t="shared" si="4"/>
        <v>0</v>
      </c>
      <c r="DI34">
        <f t="shared" si="5"/>
        <v>0</v>
      </c>
      <c r="DJ34">
        <f t="shared" si="14"/>
        <v>0.52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ROW(Source!A38)</f>
        <v>38</v>
      </c>
      <c r="B35">
        <v>80308166</v>
      </c>
      <c r="C35">
        <v>80308533</v>
      </c>
      <c r="D35">
        <v>72922980</v>
      </c>
      <c r="E35">
        <v>1</v>
      </c>
      <c r="F35">
        <v>1</v>
      </c>
      <c r="G35">
        <v>1</v>
      </c>
      <c r="H35">
        <v>3</v>
      </c>
      <c r="I35" t="s">
        <v>497</v>
      </c>
      <c r="J35" t="s">
        <v>498</v>
      </c>
      <c r="K35" t="s">
        <v>499</v>
      </c>
      <c r="L35">
        <v>1346</v>
      </c>
      <c r="N35">
        <v>1009</v>
      </c>
      <c r="O35" t="s">
        <v>295</v>
      </c>
      <c r="P35" t="s">
        <v>295</v>
      </c>
      <c r="Q35">
        <v>1</v>
      </c>
      <c r="W35">
        <v>0</v>
      </c>
      <c r="X35">
        <v>1068889571</v>
      </c>
      <c r="Y35">
        <f t="shared" si="8"/>
        <v>0.28000000000000003</v>
      </c>
      <c r="AA35">
        <v>110.11</v>
      </c>
      <c r="AB35">
        <v>0</v>
      </c>
      <c r="AC35">
        <v>0</v>
      </c>
      <c r="AD35">
        <v>0</v>
      </c>
      <c r="AE35">
        <v>98.31</v>
      </c>
      <c r="AF35">
        <v>0</v>
      </c>
      <c r="AG35">
        <v>0</v>
      </c>
      <c r="AH35">
        <v>0</v>
      </c>
      <c r="AI35">
        <v>1.1200000000000001</v>
      </c>
      <c r="AJ35">
        <v>1</v>
      </c>
      <c r="AK35">
        <v>1</v>
      </c>
      <c r="AL35">
        <v>1</v>
      </c>
      <c r="AM35">
        <v>2</v>
      </c>
      <c r="AN35">
        <v>0</v>
      </c>
      <c r="AO35">
        <v>0</v>
      </c>
      <c r="AP35">
        <v>0</v>
      </c>
      <c r="AQ35">
        <v>1</v>
      </c>
      <c r="AR35">
        <v>0</v>
      </c>
      <c r="AS35" t="s">
        <v>3</v>
      </c>
      <c r="AT35">
        <v>0.28000000000000003</v>
      </c>
      <c r="AU35" t="s">
        <v>3</v>
      </c>
      <c r="AV35">
        <v>0</v>
      </c>
      <c r="AW35">
        <v>2</v>
      </c>
      <c r="AX35">
        <v>80308547</v>
      </c>
      <c r="AY35">
        <v>1</v>
      </c>
      <c r="AZ35">
        <v>0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27.526800000000001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27.526800000000001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CV35">
        <v>0</v>
      </c>
      <c r="CW35">
        <v>0</v>
      </c>
      <c r="CX35">
        <f>ROUND(Y35*Source!I38,7)</f>
        <v>0.84</v>
      </c>
      <c r="CY35">
        <f t="shared" si="11"/>
        <v>110.11</v>
      </c>
      <c r="CZ35">
        <f t="shared" si="12"/>
        <v>98.31</v>
      </c>
      <c r="DA35">
        <f t="shared" si="13"/>
        <v>1.1200000000000001</v>
      </c>
      <c r="DB35">
        <f t="shared" si="9"/>
        <v>27.53</v>
      </c>
      <c r="DC35">
        <f t="shared" si="10"/>
        <v>0</v>
      </c>
      <c r="DD35" t="s">
        <v>3</v>
      </c>
      <c r="DE35" t="s">
        <v>3</v>
      </c>
      <c r="DF35">
        <f>ROUND(ROUND(AE35*AI35,2)*CX35,2)</f>
        <v>92.49</v>
      </c>
      <c r="DG35">
        <f t="shared" si="7"/>
        <v>0</v>
      </c>
      <c r="DH35">
        <f t="shared" si="4"/>
        <v>0</v>
      </c>
      <c r="DI35">
        <f t="shared" si="5"/>
        <v>0</v>
      </c>
      <c r="DJ35">
        <f t="shared" si="14"/>
        <v>92.49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ROW(Source!A38)</f>
        <v>38</v>
      </c>
      <c r="B36">
        <v>80308166</v>
      </c>
      <c r="C36">
        <v>80308533</v>
      </c>
      <c r="D36">
        <v>77519057</v>
      </c>
      <c r="E36">
        <v>1</v>
      </c>
      <c r="F36">
        <v>1</v>
      </c>
      <c r="G36">
        <v>1</v>
      </c>
      <c r="H36">
        <v>3</v>
      </c>
      <c r="I36" t="s">
        <v>88</v>
      </c>
      <c r="J36" t="s">
        <v>91</v>
      </c>
      <c r="K36" t="s">
        <v>89</v>
      </c>
      <c r="L36">
        <v>1377</v>
      </c>
      <c r="N36">
        <v>1013</v>
      </c>
      <c r="O36" t="s">
        <v>90</v>
      </c>
      <c r="P36" t="s">
        <v>90</v>
      </c>
      <c r="Q36">
        <v>1</v>
      </c>
      <c r="W36">
        <v>0</v>
      </c>
      <c r="X36">
        <v>357612197</v>
      </c>
      <c r="Y36">
        <f t="shared" si="8"/>
        <v>1</v>
      </c>
      <c r="AA36">
        <v>8486.2199999999993</v>
      </c>
      <c r="AB36">
        <v>0</v>
      </c>
      <c r="AC36">
        <v>0</v>
      </c>
      <c r="AD36">
        <v>0</v>
      </c>
      <c r="AE36">
        <v>6194.32</v>
      </c>
      <c r="AF36">
        <v>0</v>
      </c>
      <c r="AG36">
        <v>0</v>
      </c>
      <c r="AH36">
        <v>0</v>
      </c>
      <c r="AI36">
        <v>1.37</v>
      </c>
      <c r="AJ36">
        <v>1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1</v>
      </c>
      <c r="AQ36">
        <v>0</v>
      </c>
      <c r="AR36">
        <v>0</v>
      </c>
      <c r="AS36" t="s">
        <v>3</v>
      </c>
      <c r="AT36">
        <v>1</v>
      </c>
      <c r="AU36" t="s">
        <v>3</v>
      </c>
      <c r="AV36">
        <v>0</v>
      </c>
      <c r="AW36">
        <v>1</v>
      </c>
      <c r="AX36">
        <v>-1</v>
      </c>
      <c r="AY36">
        <v>0</v>
      </c>
      <c r="AZ36">
        <v>0</v>
      </c>
      <c r="BA36" t="s">
        <v>3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v>0</v>
      </c>
      <c r="CX36">
        <f>ROUND(Y36*Source!I38,7)</f>
        <v>3</v>
      </c>
      <c r="CY36">
        <f t="shared" si="11"/>
        <v>8486.2199999999993</v>
      </c>
      <c r="CZ36">
        <f t="shared" si="12"/>
        <v>6194.32</v>
      </c>
      <c r="DA36">
        <f t="shared" si="13"/>
        <v>1.37</v>
      </c>
      <c r="DB36">
        <f t="shared" si="9"/>
        <v>6194.32</v>
      </c>
      <c r="DC36">
        <f t="shared" si="10"/>
        <v>0</v>
      </c>
      <c r="DD36" t="s">
        <v>3</v>
      </c>
      <c r="DE36" t="s">
        <v>3</v>
      </c>
      <c r="DF36">
        <f>ROUND(ROUND(AE36*AI36,2)*CX36,2)</f>
        <v>25458.66</v>
      </c>
      <c r="DG36">
        <f t="shared" si="7"/>
        <v>0</v>
      </c>
      <c r="DH36">
        <f t="shared" si="4"/>
        <v>0</v>
      </c>
      <c r="DI36">
        <f t="shared" si="5"/>
        <v>0</v>
      </c>
      <c r="DJ36">
        <f t="shared" si="14"/>
        <v>25458.66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ROW(Source!A38)</f>
        <v>38</v>
      </c>
      <c r="B37">
        <v>80308166</v>
      </c>
      <c r="C37">
        <v>80308533</v>
      </c>
      <c r="D37">
        <v>72856513</v>
      </c>
      <c r="E37">
        <v>114</v>
      </c>
      <c r="F37">
        <v>1</v>
      </c>
      <c r="G37">
        <v>1</v>
      </c>
      <c r="H37">
        <v>3</v>
      </c>
      <c r="I37" t="s">
        <v>81</v>
      </c>
      <c r="J37" t="s">
        <v>3</v>
      </c>
      <c r="K37" t="s">
        <v>82</v>
      </c>
      <c r="L37">
        <v>3277935</v>
      </c>
      <c r="N37">
        <v>1013</v>
      </c>
      <c r="O37" t="s">
        <v>83</v>
      </c>
      <c r="P37" t="s">
        <v>83</v>
      </c>
      <c r="Q37">
        <v>1</v>
      </c>
      <c r="W37">
        <v>0</v>
      </c>
      <c r="X37">
        <v>274903907</v>
      </c>
      <c r="Y37">
        <f t="shared" si="8"/>
        <v>2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-2</v>
      </c>
      <c r="AN37">
        <v>0</v>
      </c>
      <c r="AO37">
        <v>0</v>
      </c>
      <c r="AP37">
        <v>0</v>
      </c>
      <c r="AQ37">
        <v>0</v>
      </c>
      <c r="AR37">
        <v>0</v>
      </c>
      <c r="AS37" t="s">
        <v>3</v>
      </c>
      <c r="AT37">
        <v>2</v>
      </c>
      <c r="AU37" t="s">
        <v>3</v>
      </c>
      <c r="AV37">
        <v>0</v>
      </c>
      <c r="AW37">
        <v>2</v>
      </c>
      <c r="AX37">
        <v>80308548</v>
      </c>
      <c r="AY37">
        <v>1</v>
      </c>
      <c r="AZ37">
        <v>0</v>
      </c>
      <c r="BA37">
        <v>36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ROUND(Y37*Source!I38,7)</f>
        <v>6</v>
      </c>
      <c r="CY37">
        <f t="shared" si="11"/>
        <v>0</v>
      </c>
      <c r="CZ37">
        <f t="shared" si="12"/>
        <v>0</v>
      </c>
      <c r="DA37">
        <f t="shared" si="13"/>
        <v>1</v>
      </c>
      <c r="DB37">
        <f t="shared" si="9"/>
        <v>0</v>
      </c>
      <c r="DC37">
        <f t="shared" si="10"/>
        <v>0</v>
      </c>
      <c r="DD37" t="s">
        <v>3</v>
      </c>
      <c r="DE37" t="s">
        <v>3</v>
      </c>
      <c r="DF37">
        <f>ROUND(ROUND(AE37,2)*CX37,2)</f>
        <v>0</v>
      </c>
      <c r="DG37">
        <f t="shared" si="7"/>
        <v>0</v>
      </c>
      <c r="DH37">
        <f t="shared" si="4"/>
        <v>0</v>
      </c>
      <c r="DI37">
        <f t="shared" si="5"/>
        <v>0</v>
      </c>
      <c r="DJ37">
        <f t="shared" si="14"/>
        <v>0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ROW(Source!A41)</f>
        <v>41</v>
      </c>
      <c r="B38">
        <v>80308166</v>
      </c>
      <c r="C38">
        <v>80308551</v>
      </c>
      <c r="D38">
        <v>72850702</v>
      </c>
      <c r="E38">
        <v>114</v>
      </c>
      <c r="F38">
        <v>1</v>
      </c>
      <c r="G38">
        <v>1</v>
      </c>
      <c r="H38">
        <v>1</v>
      </c>
      <c r="I38" t="s">
        <v>500</v>
      </c>
      <c r="J38" t="s">
        <v>3</v>
      </c>
      <c r="K38" t="s">
        <v>501</v>
      </c>
      <c r="L38">
        <v>1191</v>
      </c>
      <c r="N38">
        <v>1013</v>
      </c>
      <c r="O38" t="s">
        <v>449</v>
      </c>
      <c r="P38" t="s">
        <v>449</v>
      </c>
      <c r="Q38">
        <v>1</v>
      </c>
      <c r="W38">
        <v>0</v>
      </c>
      <c r="X38">
        <v>1009256741</v>
      </c>
      <c r="Y38">
        <f>(AT38*ROUND(1.15,7))</f>
        <v>5.761499999999999</v>
      </c>
      <c r="AA38">
        <v>0</v>
      </c>
      <c r="AB38">
        <v>0</v>
      </c>
      <c r="AC38">
        <v>0</v>
      </c>
      <c r="AD38">
        <v>871.84</v>
      </c>
      <c r="AE38">
        <v>0</v>
      </c>
      <c r="AF38">
        <v>0</v>
      </c>
      <c r="AG38">
        <v>0</v>
      </c>
      <c r="AH38">
        <v>871.84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1</v>
      </c>
      <c r="AR38">
        <v>0</v>
      </c>
      <c r="AS38" t="s">
        <v>3</v>
      </c>
      <c r="AT38">
        <v>5.01</v>
      </c>
      <c r="AU38" t="s">
        <v>49</v>
      </c>
      <c r="AV38">
        <v>1</v>
      </c>
      <c r="AW38">
        <v>2</v>
      </c>
      <c r="AX38">
        <v>80308558</v>
      </c>
      <c r="AY38">
        <v>1</v>
      </c>
      <c r="AZ38">
        <v>0</v>
      </c>
      <c r="BA38">
        <v>37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4367.9183999999996</v>
      </c>
      <c r="BN38">
        <v>5.01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5023.1061599999994</v>
      </c>
      <c r="BU38">
        <v>5.761499999999999</v>
      </c>
      <c r="BV38">
        <v>0</v>
      </c>
      <c r="BW38">
        <v>1</v>
      </c>
      <c r="CU38">
        <f>ROUND(AT38*Source!I41*AH38*AL38,2)</f>
        <v>10264.61</v>
      </c>
      <c r="CV38">
        <f>ROUND(Y38*Source!I41,7)</f>
        <v>13.539524999999999</v>
      </c>
      <c r="CW38">
        <v>0</v>
      </c>
      <c r="CX38">
        <f>ROUND(Y38*Source!I41,7)</f>
        <v>13.539524999999999</v>
      </c>
      <c r="CY38">
        <f>AD38</f>
        <v>871.84</v>
      </c>
      <c r="CZ38">
        <f>AH38</f>
        <v>871.84</v>
      </c>
      <c r="DA38">
        <f>AL38</f>
        <v>1</v>
      </c>
      <c r="DB38">
        <f>ROUND((ROUND(AT38*CZ38,2)*ROUND(1.15,7)),6)</f>
        <v>5023.1080000000002</v>
      </c>
      <c r="DC38">
        <f>ROUND((ROUND(AT38*AG38,2)*ROUND(1.15,7)),6)</f>
        <v>0</v>
      </c>
      <c r="DD38" t="s">
        <v>3</v>
      </c>
      <c r="DE38" t="s">
        <v>3</v>
      </c>
      <c r="DF38">
        <f>ROUND(ROUND(AE38,2)*CX38,2)</f>
        <v>0</v>
      </c>
      <c r="DG38">
        <f t="shared" si="7"/>
        <v>0</v>
      </c>
      <c r="DH38">
        <f t="shared" si="4"/>
        <v>0</v>
      </c>
      <c r="DI38">
        <f t="shared" si="5"/>
        <v>11804.3</v>
      </c>
      <c r="DJ38">
        <f>DI38</f>
        <v>11804.3</v>
      </c>
      <c r="DK38">
        <v>1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ROW(Source!A41)</f>
        <v>41</v>
      </c>
      <c r="B39">
        <v>80308166</v>
      </c>
      <c r="C39">
        <v>80308551</v>
      </c>
      <c r="D39">
        <v>72975933</v>
      </c>
      <c r="E39">
        <v>1</v>
      </c>
      <c r="F39">
        <v>1</v>
      </c>
      <c r="G39">
        <v>1</v>
      </c>
      <c r="H39">
        <v>2</v>
      </c>
      <c r="I39" t="s">
        <v>502</v>
      </c>
      <c r="J39" t="s">
        <v>503</v>
      </c>
      <c r="K39" t="s">
        <v>504</v>
      </c>
      <c r="L39">
        <v>1368</v>
      </c>
      <c r="N39">
        <v>1011</v>
      </c>
      <c r="O39" t="s">
        <v>455</v>
      </c>
      <c r="P39" t="s">
        <v>455</v>
      </c>
      <c r="Q39">
        <v>1</v>
      </c>
      <c r="W39">
        <v>0</v>
      </c>
      <c r="X39">
        <v>1340220784</v>
      </c>
      <c r="Y39">
        <f>(AT39*ROUND(1.25,7))</f>
        <v>1.875</v>
      </c>
      <c r="AA39">
        <v>0</v>
      </c>
      <c r="AB39">
        <v>20.21</v>
      </c>
      <c r="AC39">
        <v>0</v>
      </c>
      <c r="AD39">
        <v>0</v>
      </c>
      <c r="AE39">
        <v>0</v>
      </c>
      <c r="AF39">
        <v>14.13</v>
      </c>
      <c r="AG39">
        <v>0</v>
      </c>
      <c r="AH39">
        <v>0</v>
      </c>
      <c r="AI39">
        <v>1</v>
      </c>
      <c r="AJ39">
        <v>1.43</v>
      </c>
      <c r="AK39">
        <v>1</v>
      </c>
      <c r="AL39">
        <v>1</v>
      </c>
      <c r="AM39">
        <v>2</v>
      </c>
      <c r="AN39">
        <v>0</v>
      </c>
      <c r="AO39">
        <v>0</v>
      </c>
      <c r="AP39">
        <v>1</v>
      </c>
      <c r="AQ39">
        <v>1</v>
      </c>
      <c r="AR39">
        <v>0</v>
      </c>
      <c r="AS39" t="s">
        <v>3</v>
      </c>
      <c r="AT39">
        <v>1.5</v>
      </c>
      <c r="AU39" t="s">
        <v>48</v>
      </c>
      <c r="AV39">
        <v>1</v>
      </c>
      <c r="AW39">
        <v>2</v>
      </c>
      <c r="AX39">
        <v>80308559</v>
      </c>
      <c r="AY39">
        <v>1</v>
      </c>
      <c r="AZ39">
        <v>0</v>
      </c>
      <c r="BA39">
        <v>38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21.195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26.493750000000002</v>
      </c>
      <c r="BS39">
        <v>0</v>
      </c>
      <c r="BT39">
        <v>0</v>
      </c>
      <c r="BU39">
        <v>0</v>
      </c>
      <c r="BV39">
        <v>0</v>
      </c>
      <c r="BW39">
        <v>1</v>
      </c>
      <c r="CV39">
        <v>0</v>
      </c>
      <c r="CW39">
        <f>ROUND(Y39*Source!I41*DO39,7)</f>
        <v>0</v>
      </c>
      <c r="CX39">
        <f>ROUND(Y39*Source!I41,7)</f>
        <v>4.40625</v>
      </c>
      <c r="CY39">
        <f>AB39</f>
        <v>20.21</v>
      </c>
      <c r="CZ39">
        <f>AF39</f>
        <v>14.13</v>
      </c>
      <c r="DA39">
        <f>AJ39</f>
        <v>1.43</v>
      </c>
      <c r="DB39">
        <f>ROUND((ROUND(AT39*CZ39,2)*ROUND(1.25,7)),6)</f>
        <v>26.5</v>
      </c>
      <c r="DC39">
        <f>ROUND((ROUND(AT39*AG39,2)*ROUND(1.25,7)),6)</f>
        <v>0</v>
      </c>
      <c r="DD39" t="s">
        <v>3</v>
      </c>
      <c r="DE39" t="s">
        <v>3</v>
      </c>
      <c r="DF39">
        <f>ROUND(ROUND(AE39,2)*CX39,2)</f>
        <v>0</v>
      </c>
      <c r="DG39">
        <f>ROUND(ROUND(AF39*AJ39,2)*CX39,2)</f>
        <v>89.05</v>
      </c>
      <c r="DH39">
        <f t="shared" si="4"/>
        <v>0</v>
      </c>
      <c r="DI39">
        <f t="shared" si="5"/>
        <v>0</v>
      </c>
      <c r="DJ39">
        <f>DG39+DH39</f>
        <v>89.05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ROW(Source!A41)</f>
        <v>41</v>
      </c>
      <c r="B40">
        <v>80308166</v>
      </c>
      <c r="C40">
        <v>80308551</v>
      </c>
      <c r="D40">
        <v>72922346</v>
      </c>
      <c r="E40">
        <v>1</v>
      </c>
      <c r="F40">
        <v>1</v>
      </c>
      <c r="G40">
        <v>1</v>
      </c>
      <c r="H40">
        <v>3</v>
      </c>
      <c r="I40" t="s">
        <v>505</v>
      </c>
      <c r="J40" t="s">
        <v>506</v>
      </c>
      <c r="K40" t="s">
        <v>507</v>
      </c>
      <c r="L40">
        <v>1339</v>
      </c>
      <c r="N40">
        <v>1007</v>
      </c>
      <c r="O40" t="s">
        <v>309</v>
      </c>
      <c r="P40" t="s">
        <v>309</v>
      </c>
      <c r="Q40">
        <v>1</v>
      </c>
      <c r="W40">
        <v>0</v>
      </c>
      <c r="X40">
        <v>-1879317523</v>
      </c>
      <c r="Y40">
        <f t="shared" ref="Y40:Y48" si="15">AT40</f>
        <v>3.8</v>
      </c>
      <c r="AA40">
        <v>54.64</v>
      </c>
      <c r="AB40">
        <v>0</v>
      </c>
      <c r="AC40">
        <v>0</v>
      </c>
      <c r="AD40">
        <v>0</v>
      </c>
      <c r="AE40">
        <v>35.71</v>
      </c>
      <c r="AF40">
        <v>0</v>
      </c>
      <c r="AG40">
        <v>0</v>
      </c>
      <c r="AH40">
        <v>0</v>
      </c>
      <c r="AI40">
        <v>1.53</v>
      </c>
      <c r="AJ40">
        <v>1</v>
      </c>
      <c r="AK40">
        <v>1</v>
      </c>
      <c r="AL40">
        <v>1</v>
      </c>
      <c r="AM40">
        <v>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3.8</v>
      </c>
      <c r="AU40" t="s">
        <v>3</v>
      </c>
      <c r="AV40">
        <v>0</v>
      </c>
      <c r="AW40">
        <v>2</v>
      </c>
      <c r="AX40">
        <v>80308560</v>
      </c>
      <c r="AY40">
        <v>1</v>
      </c>
      <c r="AZ40">
        <v>0</v>
      </c>
      <c r="BA40">
        <v>39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135.69800000000001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135.69800000000001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CV40">
        <v>0</v>
      </c>
      <c r="CW40">
        <v>0</v>
      </c>
      <c r="CX40">
        <f>ROUND(Y40*Source!I41,7)</f>
        <v>8.93</v>
      </c>
      <c r="CY40">
        <f>AA40</f>
        <v>54.64</v>
      </c>
      <c r="CZ40">
        <f>AE40</f>
        <v>35.71</v>
      </c>
      <c r="DA40">
        <f>AI40</f>
        <v>1.53</v>
      </c>
      <c r="DB40">
        <f t="shared" ref="DB40:DB48" si="16">ROUND(ROUND(AT40*CZ40,2),6)</f>
        <v>135.69999999999999</v>
      </c>
      <c r="DC40">
        <f t="shared" ref="DC40:DC48" si="17">ROUND(ROUND(AT40*AG40,2),6)</f>
        <v>0</v>
      </c>
      <c r="DD40" t="s">
        <v>3</v>
      </c>
      <c r="DE40" t="s">
        <v>3</v>
      </c>
      <c r="DF40">
        <f>ROUND(ROUND(AE40*AI40,2)*CX40,2)</f>
        <v>487.94</v>
      </c>
      <c r="DG40">
        <f t="shared" ref="DG40:DG63" si="18">ROUND(ROUND(AF40,2)*CX40,2)</f>
        <v>0</v>
      </c>
      <c r="DH40">
        <f t="shared" si="4"/>
        <v>0</v>
      </c>
      <c r="DI40">
        <f t="shared" si="5"/>
        <v>0</v>
      </c>
      <c r="DJ40">
        <f>DF40</f>
        <v>487.94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ROW(Source!A41)</f>
        <v>41</v>
      </c>
      <c r="B41">
        <v>80308166</v>
      </c>
      <c r="C41">
        <v>80308551</v>
      </c>
      <c r="D41">
        <v>72922828</v>
      </c>
      <c r="E41">
        <v>1</v>
      </c>
      <c r="F41">
        <v>1</v>
      </c>
      <c r="G41">
        <v>1</v>
      </c>
      <c r="H41">
        <v>3</v>
      </c>
      <c r="I41" t="s">
        <v>508</v>
      </c>
      <c r="J41" t="s">
        <v>509</v>
      </c>
      <c r="K41" t="s">
        <v>510</v>
      </c>
      <c r="L41">
        <v>1346</v>
      </c>
      <c r="N41">
        <v>1009</v>
      </c>
      <c r="O41" t="s">
        <v>295</v>
      </c>
      <c r="P41" t="s">
        <v>295</v>
      </c>
      <c r="Q41">
        <v>1</v>
      </c>
      <c r="W41">
        <v>0</v>
      </c>
      <c r="X41">
        <v>147489920</v>
      </c>
      <c r="Y41">
        <f t="shared" si="15"/>
        <v>0.02</v>
      </c>
      <c r="AA41">
        <v>170.77</v>
      </c>
      <c r="AB41">
        <v>0</v>
      </c>
      <c r="AC41">
        <v>0</v>
      </c>
      <c r="AD41">
        <v>0</v>
      </c>
      <c r="AE41">
        <v>128.4</v>
      </c>
      <c r="AF41">
        <v>0</v>
      </c>
      <c r="AG41">
        <v>0</v>
      </c>
      <c r="AH41">
        <v>0</v>
      </c>
      <c r="AI41">
        <v>1.33</v>
      </c>
      <c r="AJ41">
        <v>1</v>
      </c>
      <c r="AK41">
        <v>1</v>
      </c>
      <c r="AL41">
        <v>1</v>
      </c>
      <c r="AM41">
        <v>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0.02</v>
      </c>
      <c r="AU41" t="s">
        <v>3</v>
      </c>
      <c r="AV41">
        <v>0</v>
      </c>
      <c r="AW41">
        <v>2</v>
      </c>
      <c r="AX41">
        <v>80308561</v>
      </c>
      <c r="AY41">
        <v>1</v>
      </c>
      <c r="AZ41">
        <v>0</v>
      </c>
      <c r="BA41">
        <v>40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2.5680000000000001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2.5680000000000001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CV41">
        <v>0</v>
      </c>
      <c r="CW41">
        <v>0</v>
      </c>
      <c r="CX41">
        <f>ROUND(Y41*Source!I41,7)</f>
        <v>4.7E-2</v>
      </c>
      <c r="CY41">
        <f>AA41</f>
        <v>170.77</v>
      </c>
      <c r="CZ41">
        <f>AE41</f>
        <v>128.4</v>
      </c>
      <c r="DA41">
        <f>AI41</f>
        <v>1.33</v>
      </c>
      <c r="DB41">
        <f t="shared" si="16"/>
        <v>2.57</v>
      </c>
      <c r="DC41">
        <f t="shared" si="17"/>
        <v>0</v>
      </c>
      <c r="DD41" t="s">
        <v>3</v>
      </c>
      <c r="DE41" t="s">
        <v>3</v>
      </c>
      <c r="DF41">
        <f>ROUND(ROUND(AE41*AI41,2)*CX41,2)</f>
        <v>8.0299999999999994</v>
      </c>
      <c r="DG41">
        <f t="shared" si="18"/>
        <v>0</v>
      </c>
      <c r="DH41">
        <f t="shared" si="4"/>
        <v>0</v>
      </c>
      <c r="DI41">
        <f t="shared" si="5"/>
        <v>0</v>
      </c>
      <c r="DJ41">
        <f>DF41</f>
        <v>8.0299999999999994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ROW(Source!A41)</f>
        <v>41</v>
      </c>
      <c r="B42">
        <v>80308166</v>
      </c>
      <c r="C42">
        <v>80308551</v>
      </c>
      <c r="D42">
        <v>72941506</v>
      </c>
      <c r="E42">
        <v>1</v>
      </c>
      <c r="F42">
        <v>1</v>
      </c>
      <c r="G42">
        <v>1</v>
      </c>
      <c r="H42">
        <v>3</v>
      </c>
      <c r="I42" t="s">
        <v>511</v>
      </c>
      <c r="J42" t="s">
        <v>512</v>
      </c>
      <c r="K42" t="s">
        <v>513</v>
      </c>
      <c r="L42">
        <v>1346</v>
      </c>
      <c r="N42">
        <v>1009</v>
      </c>
      <c r="O42" t="s">
        <v>295</v>
      </c>
      <c r="P42" t="s">
        <v>295</v>
      </c>
      <c r="Q42">
        <v>1</v>
      </c>
      <c r="W42">
        <v>0</v>
      </c>
      <c r="X42">
        <v>790403873</v>
      </c>
      <c r="Y42">
        <f t="shared" si="15"/>
        <v>0.05</v>
      </c>
      <c r="AA42">
        <v>111.83</v>
      </c>
      <c r="AB42">
        <v>0</v>
      </c>
      <c r="AC42">
        <v>0</v>
      </c>
      <c r="AD42">
        <v>0</v>
      </c>
      <c r="AE42">
        <v>79.88</v>
      </c>
      <c r="AF42">
        <v>0</v>
      </c>
      <c r="AG42">
        <v>0</v>
      </c>
      <c r="AH42">
        <v>0</v>
      </c>
      <c r="AI42">
        <v>1.4</v>
      </c>
      <c r="AJ42">
        <v>1</v>
      </c>
      <c r="AK42">
        <v>1</v>
      </c>
      <c r="AL42">
        <v>1</v>
      </c>
      <c r="AM42">
        <v>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0.05</v>
      </c>
      <c r="AU42" t="s">
        <v>3</v>
      </c>
      <c r="AV42">
        <v>0</v>
      </c>
      <c r="AW42">
        <v>2</v>
      </c>
      <c r="AX42">
        <v>80308562</v>
      </c>
      <c r="AY42">
        <v>1</v>
      </c>
      <c r="AZ42">
        <v>0</v>
      </c>
      <c r="BA42">
        <v>41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3.9939999999999998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3.9939999999999998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CV42">
        <v>0</v>
      </c>
      <c r="CW42">
        <v>0</v>
      </c>
      <c r="CX42">
        <f>ROUND(Y42*Source!I41,7)</f>
        <v>0.11749999999999999</v>
      </c>
      <c r="CY42">
        <f>AA42</f>
        <v>111.83</v>
      </c>
      <c r="CZ42">
        <f>AE42</f>
        <v>79.88</v>
      </c>
      <c r="DA42">
        <f>AI42</f>
        <v>1.4</v>
      </c>
      <c r="DB42">
        <f t="shared" si="16"/>
        <v>3.99</v>
      </c>
      <c r="DC42">
        <f t="shared" si="17"/>
        <v>0</v>
      </c>
      <c r="DD42" t="s">
        <v>3</v>
      </c>
      <c r="DE42" t="s">
        <v>3</v>
      </c>
      <c r="DF42">
        <f>ROUND(ROUND(AE42*AI42,2)*CX42,2)</f>
        <v>13.14</v>
      </c>
      <c r="DG42">
        <f t="shared" si="18"/>
        <v>0</v>
      </c>
      <c r="DH42">
        <f t="shared" si="4"/>
        <v>0</v>
      </c>
      <c r="DI42">
        <f t="shared" si="5"/>
        <v>0</v>
      </c>
      <c r="DJ42">
        <f>DF42</f>
        <v>13.14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ROW(Source!A41)</f>
        <v>41</v>
      </c>
      <c r="B43">
        <v>80308166</v>
      </c>
      <c r="C43">
        <v>80308551</v>
      </c>
      <c r="D43">
        <v>72941800</v>
      </c>
      <c r="E43">
        <v>1</v>
      </c>
      <c r="F43">
        <v>1</v>
      </c>
      <c r="G43">
        <v>1</v>
      </c>
      <c r="H43">
        <v>3</v>
      </c>
      <c r="I43" t="s">
        <v>514</v>
      </c>
      <c r="J43" t="s">
        <v>515</v>
      </c>
      <c r="K43" t="s">
        <v>516</v>
      </c>
      <c r="L43">
        <v>1348</v>
      </c>
      <c r="N43">
        <v>1009</v>
      </c>
      <c r="O43" t="s">
        <v>35</v>
      </c>
      <c r="P43" t="s">
        <v>35</v>
      </c>
      <c r="Q43">
        <v>1000</v>
      </c>
      <c r="W43">
        <v>0</v>
      </c>
      <c r="X43">
        <v>-638797071</v>
      </c>
      <c r="Y43">
        <f t="shared" si="15"/>
        <v>2.0000000000000002E-5</v>
      </c>
      <c r="AA43">
        <v>72836.649999999994</v>
      </c>
      <c r="AB43">
        <v>0</v>
      </c>
      <c r="AC43">
        <v>0</v>
      </c>
      <c r="AD43">
        <v>0</v>
      </c>
      <c r="AE43">
        <v>60697.21</v>
      </c>
      <c r="AF43">
        <v>0</v>
      </c>
      <c r="AG43">
        <v>0</v>
      </c>
      <c r="AH43">
        <v>0</v>
      </c>
      <c r="AI43">
        <v>1.2</v>
      </c>
      <c r="AJ43">
        <v>1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2.0000000000000002E-5</v>
      </c>
      <c r="AU43" t="s">
        <v>3</v>
      </c>
      <c r="AV43">
        <v>0</v>
      </c>
      <c r="AW43">
        <v>2</v>
      </c>
      <c r="AX43">
        <v>80308563</v>
      </c>
      <c r="AY43">
        <v>1</v>
      </c>
      <c r="AZ43">
        <v>0</v>
      </c>
      <c r="BA43">
        <v>42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1.2139442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1.2139442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CV43">
        <v>0</v>
      </c>
      <c r="CW43">
        <v>0</v>
      </c>
      <c r="CX43">
        <f>ROUND(Y43*Source!I41,7)</f>
        <v>4.6999999999999997E-5</v>
      </c>
      <c r="CY43">
        <f>AA43</f>
        <v>72836.649999999994</v>
      </c>
      <c r="CZ43">
        <f>AE43</f>
        <v>60697.21</v>
      </c>
      <c r="DA43">
        <f>AI43</f>
        <v>1.2</v>
      </c>
      <c r="DB43">
        <f t="shared" si="16"/>
        <v>1.21</v>
      </c>
      <c r="DC43">
        <f t="shared" si="17"/>
        <v>0</v>
      </c>
      <c r="DD43" t="s">
        <v>3</v>
      </c>
      <c r="DE43" t="s">
        <v>3</v>
      </c>
      <c r="DF43">
        <f>ROUND(ROUND(AE43*AI43,2)*CX43,2)</f>
        <v>3.42</v>
      </c>
      <c r="DG43">
        <f t="shared" si="18"/>
        <v>0</v>
      </c>
      <c r="DH43">
        <f t="shared" si="4"/>
        <v>0</v>
      </c>
      <c r="DI43">
        <f t="shared" si="5"/>
        <v>0</v>
      </c>
      <c r="DJ43">
        <f>DF43</f>
        <v>3.42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ROW(Source!A77)</f>
        <v>77</v>
      </c>
      <c r="B44">
        <v>80308166</v>
      </c>
      <c r="C44">
        <v>80308564</v>
      </c>
      <c r="D44">
        <v>72850629</v>
      </c>
      <c r="E44">
        <v>114</v>
      </c>
      <c r="F44">
        <v>1</v>
      </c>
      <c r="G44">
        <v>1</v>
      </c>
      <c r="H44">
        <v>1</v>
      </c>
      <c r="I44" t="s">
        <v>517</v>
      </c>
      <c r="J44" t="s">
        <v>3</v>
      </c>
      <c r="K44" t="s">
        <v>518</v>
      </c>
      <c r="L44">
        <v>1191</v>
      </c>
      <c r="N44">
        <v>1013</v>
      </c>
      <c r="O44" t="s">
        <v>449</v>
      </c>
      <c r="P44" t="s">
        <v>449</v>
      </c>
      <c r="Q44">
        <v>1</v>
      </c>
      <c r="W44">
        <v>0</v>
      </c>
      <c r="X44">
        <v>1426738182</v>
      </c>
      <c r="Y44">
        <f t="shared" si="15"/>
        <v>178.51</v>
      </c>
      <c r="AA44">
        <v>0</v>
      </c>
      <c r="AB44">
        <v>0</v>
      </c>
      <c r="AC44">
        <v>0</v>
      </c>
      <c r="AD44">
        <v>649.29999999999995</v>
      </c>
      <c r="AE44">
        <v>0</v>
      </c>
      <c r="AF44">
        <v>0</v>
      </c>
      <c r="AG44">
        <v>0</v>
      </c>
      <c r="AH44">
        <v>649.29999999999995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0</v>
      </c>
      <c r="AP44">
        <v>0</v>
      </c>
      <c r="AQ44">
        <v>1</v>
      </c>
      <c r="AR44">
        <v>0</v>
      </c>
      <c r="AS44" t="s">
        <v>3</v>
      </c>
      <c r="AT44">
        <v>178.51</v>
      </c>
      <c r="AU44" t="s">
        <v>3</v>
      </c>
      <c r="AV44">
        <v>1</v>
      </c>
      <c r="AW44">
        <v>2</v>
      </c>
      <c r="AX44">
        <v>80308570</v>
      </c>
      <c r="AY44">
        <v>1</v>
      </c>
      <c r="AZ44">
        <v>0</v>
      </c>
      <c r="BA44">
        <v>43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115906.54299999999</v>
      </c>
      <c r="BN44">
        <v>178.51</v>
      </c>
      <c r="BO44">
        <v>0</v>
      </c>
      <c r="BP44">
        <v>1</v>
      </c>
      <c r="BQ44">
        <v>0</v>
      </c>
      <c r="BR44">
        <v>0</v>
      </c>
      <c r="BS44">
        <v>0</v>
      </c>
      <c r="BT44">
        <v>115906.54299999999</v>
      </c>
      <c r="BU44">
        <v>178.51</v>
      </c>
      <c r="BV44">
        <v>0</v>
      </c>
      <c r="BW44">
        <v>1</v>
      </c>
      <c r="CU44">
        <f>ROUND(AT44*Source!I77*AH44*AL44,2)</f>
        <v>8113.46</v>
      </c>
      <c r="CV44">
        <f>ROUND(Y44*Source!I77,7)</f>
        <v>12.495699999999999</v>
      </c>
      <c r="CW44">
        <v>0</v>
      </c>
      <c r="CX44">
        <f>ROUND(Y44*Source!I77,7)</f>
        <v>12.495699999999999</v>
      </c>
      <c r="CY44">
        <f>AD44</f>
        <v>649.29999999999995</v>
      </c>
      <c r="CZ44">
        <f>AH44</f>
        <v>649.29999999999995</v>
      </c>
      <c r="DA44">
        <f>AL44</f>
        <v>1</v>
      </c>
      <c r="DB44">
        <f t="shared" si="16"/>
        <v>115906.54</v>
      </c>
      <c r="DC44">
        <f t="shared" si="17"/>
        <v>0</v>
      </c>
      <c r="DD44" t="s">
        <v>3</v>
      </c>
      <c r="DE44" t="s">
        <v>3</v>
      </c>
      <c r="DF44">
        <f>ROUND(ROUND(AE44,2)*CX44,2)</f>
        <v>0</v>
      </c>
      <c r="DG44">
        <f t="shared" si="18"/>
        <v>0</v>
      </c>
      <c r="DH44">
        <f t="shared" si="4"/>
        <v>0</v>
      </c>
      <c r="DI44">
        <f t="shared" si="5"/>
        <v>8113.46</v>
      </c>
      <c r="DJ44">
        <f>DI44</f>
        <v>8113.46</v>
      </c>
      <c r="DK44">
        <v>1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ROW(Source!A77)</f>
        <v>77</v>
      </c>
      <c r="B45">
        <v>80308166</v>
      </c>
      <c r="C45">
        <v>80308564</v>
      </c>
      <c r="D45">
        <v>72922346</v>
      </c>
      <c r="E45">
        <v>1</v>
      </c>
      <c r="F45">
        <v>1</v>
      </c>
      <c r="G45">
        <v>1</v>
      </c>
      <c r="H45">
        <v>3</v>
      </c>
      <c r="I45" t="s">
        <v>505</v>
      </c>
      <c r="J45" t="s">
        <v>506</v>
      </c>
      <c r="K45" t="s">
        <v>507</v>
      </c>
      <c r="L45">
        <v>1339</v>
      </c>
      <c r="N45">
        <v>1007</v>
      </c>
      <c r="O45" t="s">
        <v>309</v>
      </c>
      <c r="P45" t="s">
        <v>309</v>
      </c>
      <c r="Q45">
        <v>1</v>
      </c>
      <c r="W45">
        <v>0</v>
      </c>
      <c r="X45">
        <v>-1879317523</v>
      </c>
      <c r="Y45">
        <f t="shared" si="15"/>
        <v>4.2</v>
      </c>
      <c r="AA45">
        <v>54.64</v>
      </c>
      <c r="AB45">
        <v>0</v>
      </c>
      <c r="AC45">
        <v>0</v>
      </c>
      <c r="AD45">
        <v>0</v>
      </c>
      <c r="AE45">
        <v>35.71</v>
      </c>
      <c r="AF45">
        <v>0</v>
      </c>
      <c r="AG45">
        <v>0</v>
      </c>
      <c r="AH45">
        <v>0</v>
      </c>
      <c r="AI45">
        <v>1.53</v>
      </c>
      <c r="AJ45">
        <v>1</v>
      </c>
      <c r="AK45">
        <v>1</v>
      </c>
      <c r="AL45">
        <v>1</v>
      </c>
      <c r="AM45">
        <v>2</v>
      </c>
      <c r="AN45">
        <v>0</v>
      </c>
      <c r="AO45">
        <v>0</v>
      </c>
      <c r="AP45">
        <v>0</v>
      </c>
      <c r="AQ45">
        <v>1</v>
      </c>
      <c r="AR45">
        <v>0</v>
      </c>
      <c r="AS45" t="s">
        <v>3</v>
      </c>
      <c r="AT45">
        <v>4.2</v>
      </c>
      <c r="AU45" t="s">
        <v>3</v>
      </c>
      <c r="AV45">
        <v>0</v>
      </c>
      <c r="AW45">
        <v>2</v>
      </c>
      <c r="AX45">
        <v>80308571</v>
      </c>
      <c r="AY45">
        <v>1</v>
      </c>
      <c r="AZ45">
        <v>0</v>
      </c>
      <c r="BA45">
        <v>44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149.982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149.982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CV45">
        <v>0</v>
      </c>
      <c r="CW45">
        <v>0</v>
      </c>
      <c r="CX45">
        <f>ROUND(Y45*Source!I77,7)</f>
        <v>0.29399999999999998</v>
      </c>
      <c r="CY45">
        <f>AA45</f>
        <v>54.64</v>
      </c>
      <c r="CZ45">
        <f>AE45</f>
        <v>35.71</v>
      </c>
      <c r="DA45">
        <f>AI45</f>
        <v>1.53</v>
      </c>
      <c r="DB45">
        <f t="shared" si="16"/>
        <v>149.97999999999999</v>
      </c>
      <c r="DC45">
        <f t="shared" si="17"/>
        <v>0</v>
      </c>
      <c r="DD45" t="s">
        <v>3</v>
      </c>
      <c r="DE45" t="s">
        <v>3</v>
      </c>
      <c r="DF45">
        <f>ROUND(ROUND(AE45*AI45,2)*CX45,2)</f>
        <v>16.059999999999999</v>
      </c>
      <c r="DG45">
        <f t="shared" si="18"/>
        <v>0</v>
      </c>
      <c r="DH45">
        <f t="shared" si="4"/>
        <v>0</v>
      </c>
      <c r="DI45">
        <f t="shared" si="5"/>
        <v>0</v>
      </c>
      <c r="DJ45">
        <f>DF45</f>
        <v>16.059999999999999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ROW(Source!A77)</f>
        <v>77</v>
      </c>
      <c r="B46">
        <v>80308166</v>
      </c>
      <c r="C46">
        <v>80308564</v>
      </c>
      <c r="D46">
        <v>72922828</v>
      </c>
      <c r="E46">
        <v>1</v>
      </c>
      <c r="F46">
        <v>1</v>
      </c>
      <c r="G46">
        <v>1</v>
      </c>
      <c r="H46">
        <v>3</v>
      </c>
      <c r="I46" t="s">
        <v>508</v>
      </c>
      <c r="J46" t="s">
        <v>509</v>
      </c>
      <c r="K46" t="s">
        <v>510</v>
      </c>
      <c r="L46">
        <v>1346</v>
      </c>
      <c r="N46">
        <v>1009</v>
      </c>
      <c r="O46" t="s">
        <v>295</v>
      </c>
      <c r="P46" t="s">
        <v>295</v>
      </c>
      <c r="Q46">
        <v>1</v>
      </c>
      <c r="W46">
        <v>0</v>
      </c>
      <c r="X46">
        <v>147489920</v>
      </c>
      <c r="Y46">
        <f t="shared" si="15"/>
        <v>5</v>
      </c>
      <c r="AA46">
        <v>170.77</v>
      </c>
      <c r="AB46">
        <v>0</v>
      </c>
      <c r="AC46">
        <v>0</v>
      </c>
      <c r="AD46">
        <v>0</v>
      </c>
      <c r="AE46">
        <v>128.4</v>
      </c>
      <c r="AF46">
        <v>0</v>
      </c>
      <c r="AG46">
        <v>0</v>
      </c>
      <c r="AH46">
        <v>0</v>
      </c>
      <c r="AI46">
        <v>1.33</v>
      </c>
      <c r="AJ46">
        <v>1</v>
      </c>
      <c r="AK46">
        <v>1</v>
      </c>
      <c r="AL46">
        <v>1</v>
      </c>
      <c r="AM46">
        <v>2</v>
      </c>
      <c r="AN46">
        <v>0</v>
      </c>
      <c r="AO46">
        <v>0</v>
      </c>
      <c r="AP46">
        <v>0</v>
      </c>
      <c r="AQ46">
        <v>1</v>
      </c>
      <c r="AR46">
        <v>0</v>
      </c>
      <c r="AS46" t="s">
        <v>3</v>
      </c>
      <c r="AT46">
        <v>5</v>
      </c>
      <c r="AU46" t="s">
        <v>3</v>
      </c>
      <c r="AV46">
        <v>0</v>
      </c>
      <c r="AW46">
        <v>2</v>
      </c>
      <c r="AX46">
        <v>80308572</v>
      </c>
      <c r="AY46">
        <v>1</v>
      </c>
      <c r="AZ46">
        <v>0</v>
      </c>
      <c r="BA46">
        <v>45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642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642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CV46">
        <v>0</v>
      </c>
      <c r="CW46">
        <v>0</v>
      </c>
      <c r="CX46">
        <f>ROUND(Y46*Source!I77,7)</f>
        <v>0.35</v>
      </c>
      <c r="CY46">
        <f>AA46</f>
        <v>170.77</v>
      </c>
      <c r="CZ46">
        <f>AE46</f>
        <v>128.4</v>
      </c>
      <c r="DA46">
        <f>AI46</f>
        <v>1.33</v>
      </c>
      <c r="DB46">
        <f t="shared" si="16"/>
        <v>642</v>
      </c>
      <c r="DC46">
        <f t="shared" si="17"/>
        <v>0</v>
      </c>
      <c r="DD46" t="s">
        <v>3</v>
      </c>
      <c r="DE46" t="s">
        <v>3</v>
      </c>
      <c r="DF46">
        <f>ROUND(ROUND(AE46*AI46,2)*CX46,2)</f>
        <v>59.77</v>
      </c>
      <c r="DG46">
        <f t="shared" si="18"/>
        <v>0</v>
      </c>
      <c r="DH46">
        <f t="shared" si="4"/>
        <v>0</v>
      </c>
      <c r="DI46">
        <f t="shared" si="5"/>
        <v>0</v>
      </c>
      <c r="DJ46">
        <f>DF46</f>
        <v>59.77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ROW(Source!A77)</f>
        <v>77</v>
      </c>
      <c r="B47">
        <v>80308166</v>
      </c>
      <c r="C47">
        <v>80308564</v>
      </c>
      <c r="D47">
        <v>72941506</v>
      </c>
      <c r="E47">
        <v>1</v>
      </c>
      <c r="F47">
        <v>1</v>
      </c>
      <c r="G47">
        <v>1</v>
      </c>
      <c r="H47">
        <v>3</v>
      </c>
      <c r="I47" t="s">
        <v>511</v>
      </c>
      <c r="J47" t="s">
        <v>512</v>
      </c>
      <c r="K47" t="s">
        <v>513</v>
      </c>
      <c r="L47">
        <v>1346</v>
      </c>
      <c r="N47">
        <v>1009</v>
      </c>
      <c r="O47" t="s">
        <v>295</v>
      </c>
      <c r="P47" t="s">
        <v>295</v>
      </c>
      <c r="Q47">
        <v>1</v>
      </c>
      <c r="W47">
        <v>0</v>
      </c>
      <c r="X47">
        <v>790403873</v>
      </c>
      <c r="Y47">
        <f t="shared" si="15"/>
        <v>12</v>
      </c>
      <c r="AA47">
        <v>111.83</v>
      </c>
      <c r="AB47">
        <v>0</v>
      </c>
      <c r="AC47">
        <v>0</v>
      </c>
      <c r="AD47">
        <v>0</v>
      </c>
      <c r="AE47">
        <v>79.88</v>
      </c>
      <c r="AF47">
        <v>0</v>
      </c>
      <c r="AG47">
        <v>0</v>
      </c>
      <c r="AH47">
        <v>0</v>
      </c>
      <c r="AI47">
        <v>1.4</v>
      </c>
      <c r="AJ47">
        <v>1</v>
      </c>
      <c r="AK47">
        <v>1</v>
      </c>
      <c r="AL47">
        <v>1</v>
      </c>
      <c r="AM47">
        <v>2</v>
      </c>
      <c r="AN47">
        <v>0</v>
      </c>
      <c r="AO47">
        <v>0</v>
      </c>
      <c r="AP47">
        <v>0</v>
      </c>
      <c r="AQ47">
        <v>1</v>
      </c>
      <c r="AR47">
        <v>0</v>
      </c>
      <c r="AS47" t="s">
        <v>3</v>
      </c>
      <c r="AT47">
        <v>12</v>
      </c>
      <c r="AU47" t="s">
        <v>3</v>
      </c>
      <c r="AV47">
        <v>0</v>
      </c>
      <c r="AW47">
        <v>2</v>
      </c>
      <c r="AX47">
        <v>80308573</v>
      </c>
      <c r="AY47">
        <v>1</v>
      </c>
      <c r="AZ47">
        <v>0</v>
      </c>
      <c r="BA47">
        <v>46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958.56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958.56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v>0</v>
      </c>
      <c r="CX47">
        <f>ROUND(Y47*Source!I77,7)</f>
        <v>0.84</v>
      </c>
      <c r="CY47">
        <f>AA47</f>
        <v>111.83</v>
      </c>
      <c r="CZ47">
        <f>AE47</f>
        <v>79.88</v>
      </c>
      <c r="DA47">
        <f>AI47</f>
        <v>1.4</v>
      </c>
      <c r="DB47">
        <f t="shared" si="16"/>
        <v>958.56</v>
      </c>
      <c r="DC47">
        <f t="shared" si="17"/>
        <v>0</v>
      </c>
      <c r="DD47" t="s">
        <v>3</v>
      </c>
      <c r="DE47" t="s">
        <v>3</v>
      </c>
      <c r="DF47">
        <f>ROUND(ROUND(AE47*AI47,2)*CX47,2)</f>
        <v>93.94</v>
      </c>
      <c r="DG47">
        <f t="shared" si="18"/>
        <v>0</v>
      </c>
      <c r="DH47">
        <f t="shared" si="4"/>
        <v>0</v>
      </c>
      <c r="DI47">
        <f t="shared" si="5"/>
        <v>0</v>
      </c>
      <c r="DJ47">
        <f>DF47</f>
        <v>93.94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ROW(Source!A77)</f>
        <v>77</v>
      </c>
      <c r="B48">
        <v>80308166</v>
      </c>
      <c r="C48">
        <v>80308564</v>
      </c>
      <c r="D48">
        <v>72941800</v>
      </c>
      <c r="E48">
        <v>1</v>
      </c>
      <c r="F48">
        <v>1</v>
      </c>
      <c r="G48">
        <v>1</v>
      </c>
      <c r="H48">
        <v>3</v>
      </c>
      <c r="I48" t="s">
        <v>514</v>
      </c>
      <c r="J48" t="s">
        <v>515</v>
      </c>
      <c r="K48" t="s">
        <v>516</v>
      </c>
      <c r="L48">
        <v>1348</v>
      </c>
      <c r="N48">
        <v>1009</v>
      </c>
      <c r="O48" t="s">
        <v>35</v>
      </c>
      <c r="P48" t="s">
        <v>35</v>
      </c>
      <c r="Q48">
        <v>1000</v>
      </c>
      <c r="W48">
        <v>0</v>
      </c>
      <c r="X48">
        <v>-638797071</v>
      </c>
      <c r="Y48">
        <f t="shared" si="15"/>
        <v>5.0000000000000001E-3</v>
      </c>
      <c r="AA48">
        <v>72836.649999999994</v>
      </c>
      <c r="AB48">
        <v>0</v>
      </c>
      <c r="AC48">
        <v>0</v>
      </c>
      <c r="AD48">
        <v>0</v>
      </c>
      <c r="AE48">
        <v>60697.21</v>
      </c>
      <c r="AF48">
        <v>0</v>
      </c>
      <c r="AG48">
        <v>0</v>
      </c>
      <c r="AH48">
        <v>0</v>
      </c>
      <c r="AI48">
        <v>1.2</v>
      </c>
      <c r="AJ48">
        <v>1</v>
      </c>
      <c r="AK48">
        <v>1</v>
      </c>
      <c r="AL48">
        <v>1</v>
      </c>
      <c r="AM48">
        <v>2</v>
      </c>
      <c r="AN48">
        <v>0</v>
      </c>
      <c r="AO48">
        <v>0</v>
      </c>
      <c r="AP48">
        <v>0</v>
      </c>
      <c r="AQ48">
        <v>1</v>
      </c>
      <c r="AR48">
        <v>0</v>
      </c>
      <c r="AS48" t="s">
        <v>3</v>
      </c>
      <c r="AT48">
        <v>5.0000000000000001E-3</v>
      </c>
      <c r="AU48" t="s">
        <v>3</v>
      </c>
      <c r="AV48">
        <v>0</v>
      </c>
      <c r="AW48">
        <v>2</v>
      </c>
      <c r="AX48">
        <v>80308574</v>
      </c>
      <c r="AY48">
        <v>1</v>
      </c>
      <c r="AZ48">
        <v>0</v>
      </c>
      <c r="BA48">
        <v>47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303.48604999999998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303.48604999999998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1</v>
      </c>
      <c r="CV48">
        <v>0</v>
      </c>
      <c r="CW48">
        <v>0</v>
      </c>
      <c r="CX48">
        <f>ROUND(Y48*Source!I77,7)</f>
        <v>3.5E-4</v>
      </c>
      <c r="CY48">
        <f>AA48</f>
        <v>72836.649999999994</v>
      </c>
      <c r="CZ48">
        <f>AE48</f>
        <v>60697.21</v>
      </c>
      <c r="DA48">
        <f>AI48</f>
        <v>1.2</v>
      </c>
      <c r="DB48">
        <f t="shared" si="16"/>
        <v>303.49</v>
      </c>
      <c r="DC48">
        <f t="shared" si="17"/>
        <v>0</v>
      </c>
      <c r="DD48" t="s">
        <v>3</v>
      </c>
      <c r="DE48" t="s">
        <v>3</v>
      </c>
      <c r="DF48">
        <f>ROUND(ROUND(AE48*AI48,2)*CX48,2)</f>
        <v>25.49</v>
      </c>
      <c r="DG48">
        <f t="shared" si="18"/>
        <v>0</v>
      </c>
      <c r="DH48">
        <f t="shared" si="4"/>
        <v>0</v>
      </c>
      <c r="DI48">
        <f t="shared" si="5"/>
        <v>0</v>
      </c>
      <c r="DJ48">
        <f>DF48</f>
        <v>25.49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ROW(Source!A78)</f>
        <v>78</v>
      </c>
      <c r="B49">
        <v>80308166</v>
      </c>
      <c r="C49">
        <v>80308575</v>
      </c>
      <c r="D49">
        <v>72850645</v>
      </c>
      <c r="E49">
        <v>114</v>
      </c>
      <c r="F49">
        <v>1</v>
      </c>
      <c r="G49">
        <v>1</v>
      </c>
      <c r="H49">
        <v>1</v>
      </c>
      <c r="I49" t="s">
        <v>519</v>
      </c>
      <c r="J49" t="s">
        <v>3</v>
      </c>
      <c r="K49" t="s">
        <v>520</v>
      </c>
      <c r="L49">
        <v>1191</v>
      </c>
      <c r="N49">
        <v>1013</v>
      </c>
      <c r="O49" t="s">
        <v>449</v>
      </c>
      <c r="P49" t="s">
        <v>449</v>
      </c>
      <c r="Q49">
        <v>1</v>
      </c>
      <c r="W49">
        <v>0</v>
      </c>
      <c r="X49">
        <v>44848675</v>
      </c>
      <c r="Y49">
        <f>(AT49*ROUND(1.15,7))</f>
        <v>0.35649999999999998</v>
      </c>
      <c r="AA49">
        <v>0</v>
      </c>
      <c r="AB49">
        <v>0</v>
      </c>
      <c r="AC49">
        <v>0</v>
      </c>
      <c r="AD49">
        <v>705.88</v>
      </c>
      <c r="AE49">
        <v>0</v>
      </c>
      <c r="AF49">
        <v>0</v>
      </c>
      <c r="AG49">
        <v>0</v>
      </c>
      <c r="AH49">
        <v>705.88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0.31</v>
      </c>
      <c r="AU49" t="s">
        <v>49</v>
      </c>
      <c r="AV49">
        <v>1</v>
      </c>
      <c r="AW49">
        <v>2</v>
      </c>
      <c r="AX49">
        <v>80308583</v>
      </c>
      <c r="AY49">
        <v>1</v>
      </c>
      <c r="AZ49">
        <v>0</v>
      </c>
      <c r="BA49">
        <v>48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218.8228</v>
      </c>
      <c r="BN49">
        <v>0.31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251.64622</v>
      </c>
      <c r="BU49">
        <v>0.35649999999999998</v>
      </c>
      <c r="BV49">
        <v>0</v>
      </c>
      <c r="BW49">
        <v>1</v>
      </c>
      <c r="CU49">
        <f>ROUND(AT49*Source!I78*AH49*AL49,2)</f>
        <v>1750.58</v>
      </c>
      <c r="CV49">
        <f>ROUND(Y49*Source!I78,7)</f>
        <v>2.8519999999999999</v>
      </c>
      <c r="CW49">
        <v>0</v>
      </c>
      <c r="CX49">
        <f>ROUND(Y49*Source!I78,7)</f>
        <v>2.8519999999999999</v>
      </c>
      <c r="CY49">
        <f>AD49</f>
        <v>705.88</v>
      </c>
      <c r="CZ49">
        <f>AH49</f>
        <v>705.88</v>
      </c>
      <c r="DA49">
        <f>AL49</f>
        <v>1</v>
      </c>
      <c r="DB49">
        <f>ROUND((ROUND(AT49*CZ49,2)*ROUND(1.15,7)),6)</f>
        <v>251.643</v>
      </c>
      <c r="DC49">
        <f>ROUND((ROUND(AT49*AG49,2)*ROUND(1.15,7)),6)</f>
        <v>0</v>
      </c>
      <c r="DD49" t="s">
        <v>3</v>
      </c>
      <c r="DE49" t="s">
        <v>3</v>
      </c>
      <c r="DF49">
        <f>ROUND(ROUND(AE49,2)*CX49,2)</f>
        <v>0</v>
      </c>
      <c r="DG49">
        <f t="shared" si="18"/>
        <v>0</v>
      </c>
      <c r="DH49">
        <f t="shared" si="4"/>
        <v>0</v>
      </c>
      <c r="DI49">
        <f t="shared" si="5"/>
        <v>2013.17</v>
      </c>
      <c r="DJ49">
        <f>DI49</f>
        <v>2013.17</v>
      </c>
      <c r="DK49">
        <v>1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ROW(Source!A78)</f>
        <v>78</v>
      </c>
      <c r="B50">
        <v>80308166</v>
      </c>
      <c r="C50">
        <v>80308575</v>
      </c>
      <c r="D50">
        <v>72920284</v>
      </c>
      <c r="E50">
        <v>1</v>
      </c>
      <c r="F50">
        <v>1</v>
      </c>
      <c r="G50">
        <v>1</v>
      </c>
      <c r="H50">
        <v>3</v>
      </c>
      <c r="I50" t="s">
        <v>521</v>
      </c>
      <c r="J50" t="s">
        <v>522</v>
      </c>
      <c r="K50" t="s">
        <v>523</v>
      </c>
      <c r="L50">
        <v>1296</v>
      </c>
      <c r="N50">
        <v>1002</v>
      </c>
      <c r="O50" t="s">
        <v>524</v>
      </c>
      <c r="P50" t="s">
        <v>524</v>
      </c>
      <c r="Q50">
        <v>1</v>
      </c>
      <c r="W50">
        <v>0</v>
      </c>
      <c r="X50">
        <v>1540117794</v>
      </c>
      <c r="Y50">
        <f t="shared" ref="Y50:Y56" si="19">AT50</f>
        <v>0.1232</v>
      </c>
      <c r="AA50">
        <v>92.1</v>
      </c>
      <c r="AB50">
        <v>0</v>
      </c>
      <c r="AC50">
        <v>0</v>
      </c>
      <c r="AD50">
        <v>0</v>
      </c>
      <c r="AE50">
        <v>101.21</v>
      </c>
      <c r="AF50">
        <v>0</v>
      </c>
      <c r="AG50">
        <v>0</v>
      </c>
      <c r="AH50">
        <v>0</v>
      </c>
      <c r="AI50">
        <v>0.91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0.1232</v>
      </c>
      <c r="AU50" t="s">
        <v>3</v>
      </c>
      <c r="AV50">
        <v>0</v>
      </c>
      <c r="AW50">
        <v>2</v>
      </c>
      <c r="AX50">
        <v>80308584</v>
      </c>
      <c r="AY50">
        <v>1</v>
      </c>
      <c r="AZ50">
        <v>0</v>
      </c>
      <c r="BA50">
        <v>49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12.469071999999999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12.469071999999999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ROUND(Y50*Source!I78,7)</f>
        <v>0.98560000000000003</v>
      </c>
      <c r="CY50">
        <f t="shared" ref="CY50:CY55" si="20">AA50</f>
        <v>92.1</v>
      </c>
      <c r="CZ50">
        <f t="shared" ref="CZ50:CZ55" si="21">AE50</f>
        <v>101.21</v>
      </c>
      <c r="DA50">
        <f t="shared" ref="DA50:DA55" si="22">AI50</f>
        <v>0.91</v>
      </c>
      <c r="DB50">
        <f t="shared" ref="DB50:DB56" si="23">ROUND(ROUND(AT50*CZ50,2),6)</f>
        <v>12.47</v>
      </c>
      <c r="DC50">
        <f t="shared" ref="DC50:DC56" si="24">ROUND(ROUND(AT50*AG50,2),6)</f>
        <v>0</v>
      </c>
      <c r="DD50" t="s">
        <v>3</v>
      </c>
      <c r="DE50" t="s">
        <v>3</v>
      </c>
      <c r="DF50">
        <f>ROUND(ROUND(AE50*AI50,2)*CX50,2)</f>
        <v>90.77</v>
      </c>
      <c r="DG50">
        <f t="shared" si="18"/>
        <v>0</v>
      </c>
      <c r="DH50">
        <f t="shared" si="4"/>
        <v>0</v>
      </c>
      <c r="DI50">
        <f t="shared" si="5"/>
        <v>0</v>
      </c>
      <c r="DJ50">
        <f t="shared" ref="DJ50:DJ55" si="25">DF50</f>
        <v>90.77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ROW(Source!A78)</f>
        <v>78</v>
      </c>
      <c r="B51">
        <v>80308166</v>
      </c>
      <c r="C51">
        <v>80308575</v>
      </c>
      <c r="D51">
        <v>72922828</v>
      </c>
      <c r="E51">
        <v>1</v>
      </c>
      <c r="F51">
        <v>1</v>
      </c>
      <c r="G51">
        <v>1</v>
      </c>
      <c r="H51">
        <v>3</v>
      </c>
      <c r="I51" t="s">
        <v>508</v>
      </c>
      <c r="J51" t="s">
        <v>509</v>
      </c>
      <c r="K51" t="s">
        <v>510</v>
      </c>
      <c r="L51">
        <v>1346</v>
      </c>
      <c r="N51">
        <v>1009</v>
      </c>
      <c r="O51" t="s">
        <v>295</v>
      </c>
      <c r="P51" t="s">
        <v>295</v>
      </c>
      <c r="Q51">
        <v>1</v>
      </c>
      <c r="W51">
        <v>0</v>
      </c>
      <c r="X51">
        <v>147489920</v>
      </c>
      <c r="Y51">
        <f t="shared" si="19"/>
        <v>0.01</v>
      </c>
      <c r="AA51">
        <v>170.77</v>
      </c>
      <c r="AB51">
        <v>0</v>
      </c>
      <c r="AC51">
        <v>0</v>
      </c>
      <c r="AD51">
        <v>0</v>
      </c>
      <c r="AE51">
        <v>128.4</v>
      </c>
      <c r="AF51">
        <v>0</v>
      </c>
      <c r="AG51">
        <v>0</v>
      </c>
      <c r="AH51">
        <v>0</v>
      </c>
      <c r="AI51">
        <v>1.33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0.01</v>
      </c>
      <c r="AU51" t="s">
        <v>3</v>
      </c>
      <c r="AV51">
        <v>0</v>
      </c>
      <c r="AW51">
        <v>2</v>
      </c>
      <c r="AX51">
        <v>80308585</v>
      </c>
      <c r="AY51">
        <v>1</v>
      </c>
      <c r="AZ51">
        <v>0</v>
      </c>
      <c r="BA51">
        <v>50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1.284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1.284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CV51">
        <v>0</v>
      </c>
      <c r="CW51">
        <v>0</v>
      </c>
      <c r="CX51">
        <f>ROUND(Y51*Source!I78,7)</f>
        <v>0.08</v>
      </c>
      <c r="CY51">
        <f t="shared" si="20"/>
        <v>170.77</v>
      </c>
      <c r="CZ51">
        <f t="shared" si="21"/>
        <v>128.4</v>
      </c>
      <c r="DA51">
        <f t="shared" si="22"/>
        <v>1.33</v>
      </c>
      <c r="DB51">
        <f t="shared" si="23"/>
        <v>1.28</v>
      </c>
      <c r="DC51">
        <f t="shared" si="24"/>
        <v>0</v>
      </c>
      <c r="DD51" t="s">
        <v>3</v>
      </c>
      <c r="DE51" t="s">
        <v>3</v>
      </c>
      <c r="DF51">
        <f>ROUND(ROUND(AE51*AI51,2)*CX51,2)</f>
        <v>13.66</v>
      </c>
      <c r="DG51">
        <f t="shared" si="18"/>
        <v>0</v>
      </c>
      <c r="DH51">
        <f t="shared" si="4"/>
        <v>0</v>
      </c>
      <c r="DI51">
        <f t="shared" si="5"/>
        <v>0</v>
      </c>
      <c r="DJ51">
        <f t="shared" si="25"/>
        <v>13.66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ROW(Source!A78)</f>
        <v>78</v>
      </c>
      <c r="B52">
        <v>80308166</v>
      </c>
      <c r="C52">
        <v>80308575</v>
      </c>
      <c r="D52">
        <v>72941506</v>
      </c>
      <c r="E52">
        <v>1</v>
      </c>
      <c r="F52">
        <v>1</v>
      </c>
      <c r="G52">
        <v>1</v>
      </c>
      <c r="H52">
        <v>3</v>
      </c>
      <c r="I52" t="s">
        <v>511</v>
      </c>
      <c r="J52" t="s">
        <v>512</v>
      </c>
      <c r="K52" t="s">
        <v>513</v>
      </c>
      <c r="L52">
        <v>1346</v>
      </c>
      <c r="N52">
        <v>1009</v>
      </c>
      <c r="O52" t="s">
        <v>295</v>
      </c>
      <c r="P52" t="s">
        <v>295</v>
      </c>
      <c r="Q52">
        <v>1</v>
      </c>
      <c r="W52">
        <v>0</v>
      </c>
      <c r="X52">
        <v>790403873</v>
      </c>
      <c r="Y52">
        <f t="shared" si="19"/>
        <v>0.02</v>
      </c>
      <c r="AA52">
        <v>111.83</v>
      </c>
      <c r="AB52">
        <v>0</v>
      </c>
      <c r="AC52">
        <v>0</v>
      </c>
      <c r="AD52">
        <v>0</v>
      </c>
      <c r="AE52">
        <v>79.88</v>
      </c>
      <c r="AF52">
        <v>0</v>
      </c>
      <c r="AG52">
        <v>0</v>
      </c>
      <c r="AH52">
        <v>0</v>
      </c>
      <c r="AI52">
        <v>1.4</v>
      </c>
      <c r="AJ52">
        <v>1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1</v>
      </c>
      <c r="AQ52">
        <v>1</v>
      </c>
      <c r="AR52">
        <v>0</v>
      </c>
      <c r="AS52" t="s">
        <v>3</v>
      </c>
      <c r="AT52">
        <v>0.02</v>
      </c>
      <c r="AU52" t="s">
        <v>3</v>
      </c>
      <c r="AV52">
        <v>0</v>
      </c>
      <c r="AW52">
        <v>2</v>
      </c>
      <c r="AX52">
        <v>80308586</v>
      </c>
      <c r="AY52">
        <v>1</v>
      </c>
      <c r="AZ52">
        <v>0</v>
      </c>
      <c r="BA52">
        <v>51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1.5975999999999999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1.5975999999999999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CV52">
        <v>0</v>
      </c>
      <c r="CW52">
        <v>0</v>
      </c>
      <c r="CX52">
        <f>ROUND(Y52*Source!I78,7)</f>
        <v>0.16</v>
      </c>
      <c r="CY52">
        <f t="shared" si="20"/>
        <v>111.83</v>
      </c>
      <c r="CZ52">
        <f t="shared" si="21"/>
        <v>79.88</v>
      </c>
      <c r="DA52">
        <f t="shared" si="22"/>
        <v>1.4</v>
      </c>
      <c r="DB52">
        <f t="shared" si="23"/>
        <v>1.6</v>
      </c>
      <c r="DC52">
        <f t="shared" si="24"/>
        <v>0</v>
      </c>
      <c r="DD52" t="s">
        <v>3</v>
      </c>
      <c r="DE52" t="s">
        <v>3</v>
      </c>
      <c r="DF52">
        <f>ROUND(ROUND(AE52*AI52,2)*CX52,2)</f>
        <v>17.89</v>
      </c>
      <c r="DG52">
        <f t="shared" si="18"/>
        <v>0</v>
      </c>
      <c r="DH52">
        <f t="shared" si="4"/>
        <v>0</v>
      </c>
      <c r="DI52">
        <f t="shared" si="5"/>
        <v>0</v>
      </c>
      <c r="DJ52">
        <f t="shared" si="25"/>
        <v>17.89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ROW(Source!A78)</f>
        <v>78</v>
      </c>
      <c r="B53">
        <v>80308166</v>
      </c>
      <c r="C53">
        <v>80308575</v>
      </c>
      <c r="D53">
        <v>72941800</v>
      </c>
      <c r="E53">
        <v>1</v>
      </c>
      <c r="F53">
        <v>1</v>
      </c>
      <c r="G53">
        <v>1</v>
      </c>
      <c r="H53">
        <v>3</v>
      </c>
      <c r="I53" t="s">
        <v>514</v>
      </c>
      <c r="J53" t="s">
        <v>515</v>
      </c>
      <c r="K53" t="s">
        <v>516</v>
      </c>
      <c r="L53">
        <v>1348</v>
      </c>
      <c r="N53">
        <v>1009</v>
      </c>
      <c r="O53" t="s">
        <v>35</v>
      </c>
      <c r="P53" t="s">
        <v>35</v>
      </c>
      <c r="Q53">
        <v>1000</v>
      </c>
      <c r="W53">
        <v>0</v>
      </c>
      <c r="X53">
        <v>-638797071</v>
      </c>
      <c r="Y53">
        <f t="shared" si="19"/>
        <v>1.0000000000000001E-5</v>
      </c>
      <c r="AA53">
        <v>72836.649999999994</v>
      </c>
      <c r="AB53">
        <v>0</v>
      </c>
      <c r="AC53">
        <v>0</v>
      </c>
      <c r="AD53">
        <v>0</v>
      </c>
      <c r="AE53">
        <v>60697.21</v>
      </c>
      <c r="AF53">
        <v>0</v>
      </c>
      <c r="AG53">
        <v>0</v>
      </c>
      <c r="AH53">
        <v>0</v>
      </c>
      <c r="AI53">
        <v>1.2</v>
      </c>
      <c r="AJ53">
        <v>1</v>
      </c>
      <c r="AK53">
        <v>1</v>
      </c>
      <c r="AL53">
        <v>1</v>
      </c>
      <c r="AM53">
        <v>2</v>
      </c>
      <c r="AN53">
        <v>0</v>
      </c>
      <c r="AO53">
        <v>0</v>
      </c>
      <c r="AP53">
        <v>1</v>
      </c>
      <c r="AQ53">
        <v>1</v>
      </c>
      <c r="AR53">
        <v>0</v>
      </c>
      <c r="AS53" t="s">
        <v>3</v>
      </c>
      <c r="AT53">
        <v>1.0000000000000001E-5</v>
      </c>
      <c r="AU53" t="s">
        <v>3</v>
      </c>
      <c r="AV53">
        <v>0</v>
      </c>
      <c r="AW53">
        <v>2</v>
      </c>
      <c r="AX53">
        <v>80308587</v>
      </c>
      <c r="AY53">
        <v>1</v>
      </c>
      <c r="AZ53">
        <v>0</v>
      </c>
      <c r="BA53">
        <v>52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0.60697210000000001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0.60697210000000001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V53">
        <v>0</v>
      </c>
      <c r="CW53">
        <v>0</v>
      </c>
      <c r="CX53">
        <f>ROUND(Y53*Source!I78,7)</f>
        <v>8.0000000000000007E-5</v>
      </c>
      <c r="CY53">
        <f t="shared" si="20"/>
        <v>72836.649999999994</v>
      </c>
      <c r="CZ53">
        <f t="shared" si="21"/>
        <v>60697.21</v>
      </c>
      <c r="DA53">
        <f t="shared" si="22"/>
        <v>1.2</v>
      </c>
      <c r="DB53">
        <f t="shared" si="23"/>
        <v>0.61</v>
      </c>
      <c r="DC53">
        <f t="shared" si="24"/>
        <v>0</v>
      </c>
      <c r="DD53" t="s">
        <v>3</v>
      </c>
      <c r="DE53" t="s">
        <v>3</v>
      </c>
      <c r="DF53">
        <f>ROUND(ROUND(AE53*AI53,2)*CX53,2)</f>
        <v>5.83</v>
      </c>
      <c r="DG53">
        <f t="shared" si="18"/>
        <v>0</v>
      </c>
      <c r="DH53">
        <f t="shared" si="4"/>
        <v>0</v>
      </c>
      <c r="DI53">
        <f t="shared" si="5"/>
        <v>0</v>
      </c>
      <c r="DJ53">
        <f t="shared" si="25"/>
        <v>5.83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ROW(Source!A78)</f>
        <v>78</v>
      </c>
      <c r="B54">
        <v>80308166</v>
      </c>
      <c r="C54">
        <v>80308575</v>
      </c>
      <c r="D54">
        <v>77545117</v>
      </c>
      <c r="E54">
        <v>1</v>
      </c>
      <c r="F54">
        <v>1</v>
      </c>
      <c r="G54">
        <v>1</v>
      </c>
      <c r="H54">
        <v>3</v>
      </c>
      <c r="I54" t="s">
        <v>163</v>
      </c>
      <c r="J54" t="s">
        <v>165</v>
      </c>
      <c r="K54" t="s">
        <v>164</v>
      </c>
      <c r="L54">
        <v>1371</v>
      </c>
      <c r="N54">
        <v>1013</v>
      </c>
      <c r="O54" t="s">
        <v>30</v>
      </c>
      <c r="P54" t="s">
        <v>30</v>
      </c>
      <c r="Q54">
        <v>1</v>
      </c>
      <c r="W54">
        <v>0</v>
      </c>
      <c r="X54">
        <v>761676809</v>
      </c>
      <c r="Y54">
        <f t="shared" si="19"/>
        <v>0.375</v>
      </c>
      <c r="AA54">
        <v>1287.76</v>
      </c>
      <c r="AB54">
        <v>0</v>
      </c>
      <c r="AC54">
        <v>0</v>
      </c>
      <c r="AD54">
        <v>0</v>
      </c>
      <c r="AE54">
        <v>1287.76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2</v>
      </c>
      <c r="AN54">
        <v>0</v>
      </c>
      <c r="AO54">
        <v>0</v>
      </c>
      <c r="AP54">
        <v>1</v>
      </c>
      <c r="AQ54">
        <v>0</v>
      </c>
      <c r="AR54">
        <v>0</v>
      </c>
      <c r="AS54" t="s">
        <v>3</v>
      </c>
      <c r="AT54">
        <v>0.375</v>
      </c>
      <c r="AU54" t="s">
        <v>3</v>
      </c>
      <c r="AV54">
        <v>0</v>
      </c>
      <c r="AW54">
        <v>1</v>
      </c>
      <c r="AX54">
        <v>-1</v>
      </c>
      <c r="AY54">
        <v>0</v>
      </c>
      <c r="AZ54">
        <v>0</v>
      </c>
      <c r="BA54" t="s">
        <v>3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V54">
        <v>0</v>
      </c>
      <c r="CW54">
        <v>0</v>
      </c>
      <c r="CX54">
        <f>ROUND(Y54*Source!I78,7)</f>
        <v>3</v>
      </c>
      <c r="CY54">
        <f t="shared" si="20"/>
        <v>1287.76</v>
      </c>
      <c r="CZ54">
        <f t="shared" si="21"/>
        <v>1287.76</v>
      </c>
      <c r="DA54">
        <f t="shared" si="22"/>
        <v>1</v>
      </c>
      <c r="DB54">
        <f t="shared" si="23"/>
        <v>482.91</v>
      </c>
      <c r="DC54">
        <f t="shared" si="24"/>
        <v>0</v>
      </c>
      <c r="DD54" t="s">
        <v>3</v>
      </c>
      <c r="DE54" t="s">
        <v>3</v>
      </c>
      <c r="DF54">
        <f>ROUND(ROUND(AE54,2)*CX54,2)</f>
        <v>3863.28</v>
      </c>
      <c r="DG54">
        <f t="shared" si="18"/>
        <v>0</v>
      </c>
      <c r="DH54">
        <f t="shared" si="4"/>
        <v>0</v>
      </c>
      <c r="DI54">
        <f t="shared" si="5"/>
        <v>0</v>
      </c>
      <c r="DJ54">
        <f t="shared" si="25"/>
        <v>3863.28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ROW(Source!A78)</f>
        <v>78</v>
      </c>
      <c r="B55">
        <v>80308166</v>
      </c>
      <c r="C55">
        <v>80308575</v>
      </c>
      <c r="D55">
        <v>77545123</v>
      </c>
      <c r="E55">
        <v>1</v>
      </c>
      <c r="F55">
        <v>1</v>
      </c>
      <c r="G55">
        <v>1</v>
      </c>
      <c r="H55">
        <v>3</v>
      </c>
      <c r="I55" t="s">
        <v>170</v>
      </c>
      <c r="J55" t="s">
        <v>172</v>
      </c>
      <c r="K55" t="s">
        <v>171</v>
      </c>
      <c r="L55">
        <v>1377</v>
      </c>
      <c r="N55">
        <v>1013</v>
      </c>
      <c r="O55" t="s">
        <v>90</v>
      </c>
      <c r="P55" t="s">
        <v>90</v>
      </c>
      <c r="Q55">
        <v>1</v>
      </c>
      <c r="W55">
        <v>0</v>
      </c>
      <c r="X55">
        <v>1842579120</v>
      </c>
      <c r="Y55">
        <f t="shared" si="19"/>
        <v>0.625</v>
      </c>
      <c r="AA55">
        <v>641.15</v>
      </c>
      <c r="AB55">
        <v>0</v>
      </c>
      <c r="AC55">
        <v>0</v>
      </c>
      <c r="AD55">
        <v>0</v>
      </c>
      <c r="AE55">
        <v>641.15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2</v>
      </c>
      <c r="AN55">
        <v>0</v>
      </c>
      <c r="AO55">
        <v>0</v>
      </c>
      <c r="AP55">
        <v>1</v>
      </c>
      <c r="AQ55">
        <v>0</v>
      </c>
      <c r="AR55">
        <v>0</v>
      </c>
      <c r="AS55" t="s">
        <v>3</v>
      </c>
      <c r="AT55">
        <v>0.625</v>
      </c>
      <c r="AU55" t="s">
        <v>3</v>
      </c>
      <c r="AV55">
        <v>0</v>
      </c>
      <c r="AW55">
        <v>1</v>
      </c>
      <c r="AX55">
        <v>-1</v>
      </c>
      <c r="AY55">
        <v>0</v>
      </c>
      <c r="AZ55">
        <v>0</v>
      </c>
      <c r="BA55" t="s">
        <v>3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ROUND(Y55*Source!I78,7)</f>
        <v>5</v>
      </c>
      <c r="CY55">
        <f t="shared" si="20"/>
        <v>641.15</v>
      </c>
      <c r="CZ55">
        <f t="shared" si="21"/>
        <v>641.15</v>
      </c>
      <c r="DA55">
        <f t="shared" si="22"/>
        <v>1</v>
      </c>
      <c r="DB55">
        <f t="shared" si="23"/>
        <v>400.72</v>
      </c>
      <c r="DC55">
        <f t="shared" si="24"/>
        <v>0</v>
      </c>
      <c r="DD55" t="s">
        <v>3</v>
      </c>
      <c r="DE55" t="s">
        <v>3</v>
      </c>
      <c r="DF55">
        <f>ROUND(ROUND(AE55,2)*CX55,2)</f>
        <v>3205.75</v>
      </c>
      <c r="DG55">
        <f t="shared" si="18"/>
        <v>0</v>
      </c>
      <c r="DH55">
        <f t="shared" si="4"/>
        <v>0</v>
      </c>
      <c r="DI55">
        <f t="shared" si="5"/>
        <v>0</v>
      </c>
      <c r="DJ55">
        <f t="shared" si="25"/>
        <v>3205.75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ROW(Source!A81)</f>
        <v>81</v>
      </c>
      <c r="B56">
        <v>80308166</v>
      </c>
      <c r="C56">
        <v>80308590</v>
      </c>
      <c r="D56">
        <v>72850627</v>
      </c>
      <c r="E56">
        <v>114</v>
      </c>
      <c r="F56">
        <v>1</v>
      </c>
      <c r="G56">
        <v>1</v>
      </c>
      <c r="H56">
        <v>1</v>
      </c>
      <c r="I56" t="s">
        <v>464</v>
      </c>
      <c r="J56" t="s">
        <v>3</v>
      </c>
      <c r="K56" t="s">
        <v>465</v>
      </c>
      <c r="L56">
        <v>1191</v>
      </c>
      <c r="N56">
        <v>1013</v>
      </c>
      <c r="O56" t="s">
        <v>449</v>
      </c>
      <c r="P56" t="s">
        <v>449</v>
      </c>
      <c r="Q56">
        <v>1</v>
      </c>
      <c r="W56">
        <v>0</v>
      </c>
      <c r="X56">
        <v>-1833565283</v>
      </c>
      <c r="Y56">
        <f t="shared" si="19"/>
        <v>2.31</v>
      </c>
      <c r="AA56">
        <v>0</v>
      </c>
      <c r="AB56">
        <v>0</v>
      </c>
      <c r="AC56">
        <v>0</v>
      </c>
      <c r="AD56">
        <v>641.22</v>
      </c>
      <c r="AE56">
        <v>0</v>
      </c>
      <c r="AF56">
        <v>0</v>
      </c>
      <c r="AG56">
        <v>0</v>
      </c>
      <c r="AH56">
        <v>641.22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0</v>
      </c>
      <c r="AQ56">
        <v>1</v>
      </c>
      <c r="AR56">
        <v>0</v>
      </c>
      <c r="AS56" t="s">
        <v>3</v>
      </c>
      <c r="AT56">
        <v>2.31</v>
      </c>
      <c r="AU56" t="s">
        <v>3</v>
      </c>
      <c r="AV56">
        <v>1</v>
      </c>
      <c r="AW56">
        <v>2</v>
      </c>
      <c r="AX56">
        <v>80308592</v>
      </c>
      <c r="AY56">
        <v>1</v>
      </c>
      <c r="AZ56">
        <v>0</v>
      </c>
      <c r="BA56">
        <v>53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1481.2182</v>
      </c>
      <c r="BN56">
        <v>2.31</v>
      </c>
      <c r="BO56">
        <v>0</v>
      </c>
      <c r="BP56">
        <v>1</v>
      </c>
      <c r="BQ56">
        <v>0</v>
      </c>
      <c r="BR56">
        <v>0</v>
      </c>
      <c r="BS56">
        <v>0</v>
      </c>
      <c r="BT56">
        <v>1481.2182</v>
      </c>
      <c r="BU56">
        <v>2.31</v>
      </c>
      <c r="BV56">
        <v>0</v>
      </c>
      <c r="BW56">
        <v>1</v>
      </c>
      <c r="CU56">
        <f>ROUND(AT56*Source!I81*AH56*AL56,2)</f>
        <v>74.06</v>
      </c>
      <c r="CV56">
        <f>ROUND(Y56*Source!I81,7)</f>
        <v>0.11550000000000001</v>
      </c>
      <c r="CW56">
        <v>0</v>
      </c>
      <c r="CX56">
        <f>ROUND(Y56*Source!I81,7)</f>
        <v>0.11550000000000001</v>
      </c>
      <c r="CY56">
        <f>AD56</f>
        <v>641.22</v>
      </c>
      <c r="CZ56">
        <f>AH56</f>
        <v>641.22</v>
      </c>
      <c r="DA56">
        <f>AL56</f>
        <v>1</v>
      </c>
      <c r="DB56">
        <f t="shared" si="23"/>
        <v>1481.22</v>
      </c>
      <c r="DC56">
        <f t="shared" si="24"/>
        <v>0</v>
      </c>
      <c r="DD56" t="s">
        <v>3</v>
      </c>
      <c r="DE56" t="s">
        <v>3</v>
      </c>
      <c r="DF56">
        <f>ROUND(ROUND(AE56,2)*CX56,2)</f>
        <v>0</v>
      </c>
      <c r="DG56">
        <f t="shared" si="18"/>
        <v>0</v>
      </c>
      <c r="DH56">
        <f t="shared" si="4"/>
        <v>0</v>
      </c>
      <c r="DI56">
        <f t="shared" si="5"/>
        <v>74.06</v>
      </c>
      <c r="DJ56">
        <f>DI56</f>
        <v>74.06</v>
      </c>
      <c r="DK56">
        <v>1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ROW(Source!A82)</f>
        <v>82</v>
      </c>
      <c r="B57">
        <v>80308166</v>
      </c>
      <c r="C57">
        <v>80308593</v>
      </c>
      <c r="D57">
        <v>72850657</v>
      </c>
      <c r="E57">
        <v>114</v>
      </c>
      <c r="F57">
        <v>1</v>
      </c>
      <c r="G57">
        <v>1</v>
      </c>
      <c r="H57">
        <v>1</v>
      </c>
      <c r="I57" t="s">
        <v>525</v>
      </c>
      <c r="J57" t="s">
        <v>3</v>
      </c>
      <c r="K57" t="s">
        <v>526</v>
      </c>
      <c r="L57">
        <v>1191</v>
      </c>
      <c r="N57">
        <v>1013</v>
      </c>
      <c r="O57" t="s">
        <v>449</v>
      </c>
      <c r="P57" t="s">
        <v>449</v>
      </c>
      <c r="Q57">
        <v>1</v>
      </c>
      <c r="W57">
        <v>0</v>
      </c>
      <c r="X57">
        <v>1522950421</v>
      </c>
      <c r="Y57">
        <f>(AT57*ROUND(1.15,7))</f>
        <v>0.253</v>
      </c>
      <c r="AA57">
        <v>0</v>
      </c>
      <c r="AB57">
        <v>0</v>
      </c>
      <c r="AC57">
        <v>0</v>
      </c>
      <c r="AD57">
        <v>743.6</v>
      </c>
      <c r="AE57">
        <v>0</v>
      </c>
      <c r="AF57">
        <v>0</v>
      </c>
      <c r="AG57">
        <v>0</v>
      </c>
      <c r="AH57">
        <v>743.6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0.22</v>
      </c>
      <c r="AU57" t="s">
        <v>49</v>
      </c>
      <c r="AV57">
        <v>1</v>
      </c>
      <c r="AW57">
        <v>2</v>
      </c>
      <c r="AX57">
        <v>80308599</v>
      </c>
      <c r="AY57">
        <v>1</v>
      </c>
      <c r="AZ57">
        <v>0</v>
      </c>
      <c r="BA57">
        <v>54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163.59200000000001</v>
      </c>
      <c r="BN57">
        <v>0.22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188.13079999999999</v>
      </c>
      <c r="BU57">
        <v>0.253</v>
      </c>
      <c r="BV57">
        <v>0</v>
      </c>
      <c r="BW57">
        <v>1</v>
      </c>
      <c r="CU57">
        <f>ROUND(AT57*Source!I82*AH57*AL57,2)</f>
        <v>981.55</v>
      </c>
      <c r="CV57">
        <f>ROUND(Y57*Source!I82,7)</f>
        <v>1.518</v>
      </c>
      <c r="CW57">
        <v>0</v>
      </c>
      <c r="CX57">
        <f>ROUND(Y57*Source!I82,7)</f>
        <v>1.518</v>
      </c>
      <c r="CY57">
        <f>AD57</f>
        <v>743.6</v>
      </c>
      <c r="CZ57">
        <f>AH57</f>
        <v>743.6</v>
      </c>
      <c r="DA57">
        <f>AL57</f>
        <v>1</v>
      </c>
      <c r="DB57">
        <f>ROUND((ROUND(AT57*CZ57,2)*ROUND(1.15,7)),6)</f>
        <v>188.1285</v>
      </c>
      <c r="DC57">
        <f>ROUND((ROUND(AT57*AG57,2)*ROUND(1.15,7)),6)</f>
        <v>0</v>
      </c>
      <c r="DD57" t="s">
        <v>3</v>
      </c>
      <c r="DE57" t="s">
        <v>3</v>
      </c>
      <c r="DF57">
        <f>ROUND(ROUND(AE57,2)*CX57,2)</f>
        <v>0</v>
      </c>
      <c r="DG57">
        <f t="shared" si="18"/>
        <v>0</v>
      </c>
      <c r="DH57">
        <f t="shared" si="4"/>
        <v>0</v>
      </c>
      <c r="DI57">
        <f t="shared" si="5"/>
        <v>1128.78</v>
      </c>
      <c r="DJ57">
        <f>DI57</f>
        <v>1128.78</v>
      </c>
      <c r="DK57">
        <v>1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ROW(Source!A82)</f>
        <v>82</v>
      </c>
      <c r="B58">
        <v>80308166</v>
      </c>
      <c r="C58">
        <v>80308593</v>
      </c>
      <c r="D58">
        <v>72922828</v>
      </c>
      <c r="E58">
        <v>1</v>
      </c>
      <c r="F58">
        <v>1</v>
      </c>
      <c r="G58">
        <v>1</v>
      </c>
      <c r="H58">
        <v>3</v>
      </c>
      <c r="I58" t="s">
        <v>508</v>
      </c>
      <c r="J58" t="s">
        <v>509</v>
      </c>
      <c r="K58" t="s">
        <v>510</v>
      </c>
      <c r="L58">
        <v>1346</v>
      </c>
      <c r="N58">
        <v>1009</v>
      </c>
      <c r="O58" t="s">
        <v>295</v>
      </c>
      <c r="P58" t="s">
        <v>295</v>
      </c>
      <c r="Q58">
        <v>1</v>
      </c>
      <c r="W58">
        <v>0</v>
      </c>
      <c r="X58">
        <v>147489920</v>
      </c>
      <c r="Y58">
        <f t="shared" ref="Y58:Y65" si="26">AT58</f>
        <v>0.01</v>
      </c>
      <c r="AA58">
        <v>170.77</v>
      </c>
      <c r="AB58">
        <v>0</v>
      </c>
      <c r="AC58">
        <v>0</v>
      </c>
      <c r="AD58">
        <v>0</v>
      </c>
      <c r="AE58">
        <v>128.4</v>
      </c>
      <c r="AF58">
        <v>0</v>
      </c>
      <c r="AG58">
        <v>0</v>
      </c>
      <c r="AH58">
        <v>0</v>
      </c>
      <c r="AI58">
        <v>1.33</v>
      </c>
      <c r="AJ58">
        <v>1</v>
      </c>
      <c r="AK58">
        <v>1</v>
      </c>
      <c r="AL58">
        <v>1</v>
      </c>
      <c r="AM58">
        <v>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0.01</v>
      </c>
      <c r="AU58" t="s">
        <v>3</v>
      </c>
      <c r="AV58">
        <v>0</v>
      </c>
      <c r="AW58">
        <v>2</v>
      </c>
      <c r="AX58">
        <v>80308600</v>
      </c>
      <c r="AY58">
        <v>1</v>
      </c>
      <c r="AZ58">
        <v>0</v>
      </c>
      <c r="BA58">
        <v>55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1.284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1.284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CV58">
        <v>0</v>
      </c>
      <c r="CW58">
        <v>0</v>
      </c>
      <c r="CX58">
        <f>ROUND(Y58*Source!I82,7)</f>
        <v>0.06</v>
      </c>
      <c r="CY58">
        <f>AA58</f>
        <v>170.77</v>
      </c>
      <c r="CZ58">
        <f>AE58</f>
        <v>128.4</v>
      </c>
      <c r="DA58">
        <f>AI58</f>
        <v>1.33</v>
      </c>
      <c r="DB58">
        <f t="shared" ref="DB58:DB65" si="27">ROUND(ROUND(AT58*CZ58,2),6)</f>
        <v>1.28</v>
      </c>
      <c r="DC58">
        <f t="shared" ref="DC58:DC65" si="28">ROUND(ROUND(AT58*AG58,2),6)</f>
        <v>0</v>
      </c>
      <c r="DD58" t="s">
        <v>3</v>
      </c>
      <c r="DE58" t="s">
        <v>3</v>
      </c>
      <c r="DF58">
        <f>ROUND(ROUND(AE58*AI58,2)*CX58,2)</f>
        <v>10.25</v>
      </c>
      <c r="DG58">
        <f t="shared" si="18"/>
        <v>0</v>
      </c>
      <c r="DH58">
        <f t="shared" si="4"/>
        <v>0</v>
      </c>
      <c r="DI58">
        <f t="shared" si="5"/>
        <v>0</v>
      </c>
      <c r="DJ58">
        <f>DF58</f>
        <v>10.25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ROW(Source!A82)</f>
        <v>82</v>
      </c>
      <c r="B59">
        <v>80308166</v>
      </c>
      <c r="C59">
        <v>80308593</v>
      </c>
      <c r="D59">
        <v>72941506</v>
      </c>
      <c r="E59">
        <v>1</v>
      </c>
      <c r="F59">
        <v>1</v>
      </c>
      <c r="G59">
        <v>1</v>
      </c>
      <c r="H59">
        <v>3</v>
      </c>
      <c r="I59" t="s">
        <v>511</v>
      </c>
      <c r="J59" t="s">
        <v>512</v>
      </c>
      <c r="K59" t="s">
        <v>513</v>
      </c>
      <c r="L59">
        <v>1346</v>
      </c>
      <c r="N59">
        <v>1009</v>
      </c>
      <c r="O59" t="s">
        <v>295</v>
      </c>
      <c r="P59" t="s">
        <v>295</v>
      </c>
      <c r="Q59">
        <v>1</v>
      </c>
      <c r="W59">
        <v>0</v>
      </c>
      <c r="X59">
        <v>790403873</v>
      </c>
      <c r="Y59">
        <f t="shared" si="26"/>
        <v>0.02</v>
      </c>
      <c r="AA59">
        <v>111.83</v>
      </c>
      <c r="AB59">
        <v>0</v>
      </c>
      <c r="AC59">
        <v>0</v>
      </c>
      <c r="AD59">
        <v>0</v>
      </c>
      <c r="AE59">
        <v>79.88</v>
      </c>
      <c r="AF59">
        <v>0</v>
      </c>
      <c r="AG59">
        <v>0</v>
      </c>
      <c r="AH59">
        <v>0</v>
      </c>
      <c r="AI59">
        <v>1.4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0.02</v>
      </c>
      <c r="AU59" t="s">
        <v>3</v>
      </c>
      <c r="AV59">
        <v>0</v>
      </c>
      <c r="AW59">
        <v>2</v>
      </c>
      <c r="AX59">
        <v>80308601</v>
      </c>
      <c r="AY59">
        <v>1</v>
      </c>
      <c r="AZ59">
        <v>0</v>
      </c>
      <c r="BA59">
        <v>56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1.5975999999999999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1.5975999999999999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CV59">
        <v>0</v>
      </c>
      <c r="CW59">
        <v>0</v>
      </c>
      <c r="CX59">
        <f>ROUND(Y59*Source!I82,7)</f>
        <v>0.12</v>
      </c>
      <c r="CY59">
        <f>AA59</f>
        <v>111.83</v>
      </c>
      <c r="CZ59">
        <f>AE59</f>
        <v>79.88</v>
      </c>
      <c r="DA59">
        <f>AI59</f>
        <v>1.4</v>
      </c>
      <c r="DB59">
        <f t="shared" si="27"/>
        <v>1.6</v>
      </c>
      <c r="DC59">
        <f t="shared" si="28"/>
        <v>0</v>
      </c>
      <c r="DD59" t="s">
        <v>3</v>
      </c>
      <c r="DE59" t="s">
        <v>3</v>
      </c>
      <c r="DF59">
        <f>ROUND(ROUND(AE59*AI59,2)*CX59,2)</f>
        <v>13.42</v>
      </c>
      <c r="DG59">
        <f t="shared" si="18"/>
        <v>0</v>
      </c>
      <c r="DH59">
        <f t="shared" si="4"/>
        <v>0</v>
      </c>
      <c r="DI59">
        <f t="shared" si="5"/>
        <v>0</v>
      </c>
      <c r="DJ59">
        <f>DF59</f>
        <v>13.42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ROW(Source!A82)</f>
        <v>82</v>
      </c>
      <c r="B60">
        <v>80308166</v>
      </c>
      <c r="C60">
        <v>80308593</v>
      </c>
      <c r="D60">
        <v>72941800</v>
      </c>
      <c r="E60">
        <v>1</v>
      </c>
      <c r="F60">
        <v>1</v>
      </c>
      <c r="G60">
        <v>1</v>
      </c>
      <c r="H60">
        <v>3</v>
      </c>
      <c r="I60" t="s">
        <v>514</v>
      </c>
      <c r="J60" t="s">
        <v>515</v>
      </c>
      <c r="K60" t="s">
        <v>516</v>
      </c>
      <c r="L60">
        <v>1348</v>
      </c>
      <c r="N60">
        <v>1009</v>
      </c>
      <c r="O60" t="s">
        <v>35</v>
      </c>
      <c r="P60" t="s">
        <v>35</v>
      </c>
      <c r="Q60">
        <v>1000</v>
      </c>
      <c r="W60">
        <v>0</v>
      </c>
      <c r="X60">
        <v>-638797071</v>
      </c>
      <c r="Y60">
        <f t="shared" si="26"/>
        <v>1.0000000000000001E-5</v>
      </c>
      <c r="AA60">
        <v>72836.649999999994</v>
      </c>
      <c r="AB60">
        <v>0</v>
      </c>
      <c r="AC60">
        <v>0</v>
      </c>
      <c r="AD60">
        <v>0</v>
      </c>
      <c r="AE60">
        <v>60697.21</v>
      </c>
      <c r="AF60">
        <v>0</v>
      </c>
      <c r="AG60">
        <v>0</v>
      </c>
      <c r="AH60">
        <v>0</v>
      </c>
      <c r="AI60">
        <v>1.2</v>
      </c>
      <c r="AJ60">
        <v>1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1.0000000000000001E-5</v>
      </c>
      <c r="AU60" t="s">
        <v>3</v>
      </c>
      <c r="AV60">
        <v>0</v>
      </c>
      <c r="AW60">
        <v>2</v>
      </c>
      <c r="AX60">
        <v>80308602</v>
      </c>
      <c r="AY60">
        <v>1</v>
      </c>
      <c r="AZ60">
        <v>0</v>
      </c>
      <c r="BA60">
        <v>57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0.60697210000000001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0.60697210000000001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v>0</v>
      </c>
      <c r="CX60">
        <f>ROUND(Y60*Source!I82,7)</f>
        <v>6.0000000000000002E-5</v>
      </c>
      <c r="CY60">
        <f>AA60</f>
        <v>72836.649999999994</v>
      </c>
      <c r="CZ60">
        <f>AE60</f>
        <v>60697.21</v>
      </c>
      <c r="DA60">
        <f>AI60</f>
        <v>1.2</v>
      </c>
      <c r="DB60">
        <f t="shared" si="27"/>
        <v>0.61</v>
      </c>
      <c r="DC60">
        <f t="shared" si="28"/>
        <v>0</v>
      </c>
      <c r="DD60" t="s">
        <v>3</v>
      </c>
      <c r="DE60" t="s">
        <v>3</v>
      </c>
      <c r="DF60">
        <f>ROUND(ROUND(AE60*AI60,2)*CX60,2)</f>
        <v>4.37</v>
      </c>
      <c r="DG60">
        <f t="shared" si="18"/>
        <v>0</v>
      </c>
      <c r="DH60">
        <f t="shared" si="4"/>
        <v>0</v>
      </c>
      <c r="DI60">
        <f t="shared" si="5"/>
        <v>0</v>
      </c>
      <c r="DJ60">
        <f>DF60</f>
        <v>4.37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ROW(Source!A82)</f>
        <v>82</v>
      </c>
      <c r="B61">
        <v>80308166</v>
      </c>
      <c r="C61">
        <v>80308593</v>
      </c>
      <c r="D61">
        <v>77545091</v>
      </c>
      <c r="E61">
        <v>1</v>
      </c>
      <c r="F61">
        <v>1</v>
      </c>
      <c r="G61">
        <v>1</v>
      </c>
      <c r="H61">
        <v>3</v>
      </c>
      <c r="I61" t="s">
        <v>182</v>
      </c>
      <c r="J61" t="s">
        <v>184</v>
      </c>
      <c r="K61" t="s">
        <v>183</v>
      </c>
      <c r="L61">
        <v>1371</v>
      </c>
      <c r="N61">
        <v>1013</v>
      </c>
      <c r="O61" t="s">
        <v>30</v>
      </c>
      <c r="P61" t="s">
        <v>30</v>
      </c>
      <c r="Q61">
        <v>1</v>
      </c>
      <c r="W61">
        <v>0</v>
      </c>
      <c r="X61">
        <v>304774065</v>
      </c>
      <c r="Y61">
        <f t="shared" si="26"/>
        <v>1</v>
      </c>
      <c r="AA61">
        <v>624.23</v>
      </c>
      <c r="AB61">
        <v>0</v>
      </c>
      <c r="AC61">
        <v>0</v>
      </c>
      <c r="AD61">
        <v>0</v>
      </c>
      <c r="AE61">
        <v>624.23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2</v>
      </c>
      <c r="AN61">
        <v>0</v>
      </c>
      <c r="AO61">
        <v>0</v>
      </c>
      <c r="AP61">
        <v>1</v>
      </c>
      <c r="AQ61">
        <v>0</v>
      </c>
      <c r="AR61">
        <v>0</v>
      </c>
      <c r="AS61" t="s">
        <v>3</v>
      </c>
      <c r="AT61">
        <v>1</v>
      </c>
      <c r="AU61" t="s">
        <v>3</v>
      </c>
      <c r="AV61">
        <v>0</v>
      </c>
      <c r="AW61">
        <v>1</v>
      </c>
      <c r="AX61">
        <v>-1</v>
      </c>
      <c r="AY61">
        <v>0</v>
      </c>
      <c r="AZ61">
        <v>0</v>
      </c>
      <c r="BA61" t="s">
        <v>3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V61">
        <v>0</v>
      </c>
      <c r="CW61">
        <v>0</v>
      </c>
      <c r="CX61">
        <f>ROUND(Y61*Source!I82,7)</f>
        <v>6</v>
      </c>
      <c r="CY61">
        <f>AA61</f>
        <v>624.23</v>
      </c>
      <c r="CZ61">
        <f>AE61</f>
        <v>624.23</v>
      </c>
      <c r="DA61">
        <f>AI61</f>
        <v>1</v>
      </c>
      <c r="DB61">
        <f t="shared" si="27"/>
        <v>624.23</v>
      </c>
      <c r="DC61">
        <f t="shared" si="28"/>
        <v>0</v>
      </c>
      <c r="DD61" t="s">
        <v>3</v>
      </c>
      <c r="DE61" t="s">
        <v>3</v>
      </c>
      <c r="DF61">
        <f t="shared" ref="DF61:DF69" si="29">ROUND(ROUND(AE61,2)*CX61,2)</f>
        <v>3745.38</v>
      </c>
      <c r="DG61">
        <f t="shared" si="18"/>
        <v>0</v>
      </c>
      <c r="DH61">
        <f t="shared" si="4"/>
        <v>0</v>
      </c>
      <c r="DI61">
        <f t="shared" si="5"/>
        <v>0</v>
      </c>
      <c r="DJ61">
        <f>DF61</f>
        <v>3745.38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ROW(Source!A84)</f>
        <v>84</v>
      </c>
      <c r="B62">
        <v>80308166</v>
      </c>
      <c r="C62">
        <v>80308604</v>
      </c>
      <c r="D62">
        <v>72850627</v>
      </c>
      <c r="E62">
        <v>114</v>
      </c>
      <c r="F62">
        <v>1</v>
      </c>
      <c r="G62">
        <v>1</v>
      </c>
      <c r="H62">
        <v>1</v>
      </c>
      <c r="I62" t="s">
        <v>464</v>
      </c>
      <c r="J62" t="s">
        <v>3</v>
      </c>
      <c r="K62" t="s">
        <v>465</v>
      </c>
      <c r="L62">
        <v>1191</v>
      </c>
      <c r="N62">
        <v>1013</v>
      </c>
      <c r="O62" t="s">
        <v>449</v>
      </c>
      <c r="P62" t="s">
        <v>449</v>
      </c>
      <c r="Q62">
        <v>1</v>
      </c>
      <c r="W62">
        <v>0</v>
      </c>
      <c r="X62">
        <v>-1833565283</v>
      </c>
      <c r="Y62">
        <f t="shared" si="26"/>
        <v>95.3</v>
      </c>
      <c r="AA62">
        <v>0</v>
      </c>
      <c r="AB62">
        <v>0</v>
      </c>
      <c r="AC62">
        <v>0</v>
      </c>
      <c r="AD62">
        <v>641.22</v>
      </c>
      <c r="AE62">
        <v>0</v>
      </c>
      <c r="AF62">
        <v>0</v>
      </c>
      <c r="AG62">
        <v>0</v>
      </c>
      <c r="AH62">
        <v>641.22</v>
      </c>
      <c r="AI62">
        <v>1</v>
      </c>
      <c r="AJ62">
        <v>1</v>
      </c>
      <c r="AK62">
        <v>1</v>
      </c>
      <c r="AL62">
        <v>1</v>
      </c>
      <c r="AM62">
        <v>-2</v>
      </c>
      <c r="AN62">
        <v>0</v>
      </c>
      <c r="AO62">
        <v>0</v>
      </c>
      <c r="AP62">
        <v>0</v>
      </c>
      <c r="AQ62">
        <v>1</v>
      </c>
      <c r="AR62">
        <v>0</v>
      </c>
      <c r="AS62" t="s">
        <v>3</v>
      </c>
      <c r="AT62">
        <v>95.3</v>
      </c>
      <c r="AU62" t="s">
        <v>3</v>
      </c>
      <c r="AV62">
        <v>1</v>
      </c>
      <c r="AW62">
        <v>2</v>
      </c>
      <c r="AX62">
        <v>80308609</v>
      </c>
      <c r="AY62">
        <v>1</v>
      </c>
      <c r="AZ62">
        <v>0</v>
      </c>
      <c r="BA62">
        <v>58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61108.266000000003</v>
      </c>
      <c r="BN62">
        <v>95.3</v>
      </c>
      <c r="BO62">
        <v>0</v>
      </c>
      <c r="BP62">
        <v>1</v>
      </c>
      <c r="BQ62">
        <v>0</v>
      </c>
      <c r="BR62">
        <v>0</v>
      </c>
      <c r="BS62">
        <v>0</v>
      </c>
      <c r="BT62">
        <v>61108.266000000003</v>
      </c>
      <c r="BU62">
        <v>95.3</v>
      </c>
      <c r="BV62">
        <v>0</v>
      </c>
      <c r="BW62">
        <v>1</v>
      </c>
      <c r="CU62">
        <f>ROUND(AT62*Source!I84*AH62*AL62,2)</f>
        <v>1833.25</v>
      </c>
      <c r="CV62">
        <f>ROUND(Y62*Source!I84,7)</f>
        <v>2.859</v>
      </c>
      <c r="CW62">
        <v>0</v>
      </c>
      <c r="CX62">
        <f>ROUND(Y62*Source!I84,7)</f>
        <v>2.859</v>
      </c>
      <c r="CY62">
        <f>AD62</f>
        <v>641.22</v>
      </c>
      <c r="CZ62">
        <f>AH62</f>
        <v>641.22</v>
      </c>
      <c r="DA62">
        <f>AL62</f>
        <v>1</v>
      </c>
      <c r="DB62">
        <f t="shared" si="27"/>
        <v>61108.27</v>
      </c>
      <c r="DC62">
        <f t="shared" si="28"/>
        <v>0</v>
      </c>
      <c r="DD62" t="s">
        <v>3</v>
      </c>
      <c r="DE62" t="s">
        <v>3</v>
      </c>
      <c r="DF62">
        <f t="shared" si="29"/>
        <v>0</v>
      </c>
      <c r="DG62">
        <f t="shared" si="18"/>
        <v>0</v>
      </c>
      <c r="DH62">
        <f t="shared" si="4"/>
        <v>0</v>
      </c>
      <c r="DI62">
        <f t="shared" si="5"/>
        <v>1833.25</v>
      </c>
      <c r="DJ62">
        <f>DI62</f>
        <v>1833.25</v>
      </c>
      <c r="DK62">
        <v>1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ROW(Source!A84)</f>
        <v>84</v>
      </c>
      <c r="B63">
        <v>80308166</v>
      </c>
      <c r="C63">
        <v>80308604</v>
      </c>
      <c r="D63">
        <v>72850822</v>
      </c>
      <c r="E63">
        <v>114</v>
      </c>
      <c r="F63">
        <v>1</v>
      </c>
      <c r="G63">
        <v>1</v>
      </c>
      <c r="H63">
        <v>1</v>
      </c>
      <c r="I63" t="s">
        <v>450</v>
      </c>
      <c r="J63" t="s">
        <v>3</v>
      </c>
      <c r="K63" t="s">
        <v>451</v>
      </c>
      <c r="L63">
        <v>1191</v>
      </c>
      <c r="N63">
        <v>1013</v>
      </c>
      <c r="O63" t="s">
        <v>449</v>
      </c>
      <c r="P63" t="s">
        <v>449</v>
      </c>
      <c r="Q63">
        <v>1</v>
      </c>
      <c r="W63">
        <v>0</v>
      </c>
      <c r="X63">
        <v>-1417349443</v>
      </c>
      <c r="Y63">
        <f t="shared" si="26"/>
        <v>0.25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0</v>
      </c>
      <c r="AP63">
        <v>0</v>
      </c>
      <c r="AQ63">
        <v>1</v>
      </c>
      <c r="AR63">
        <v>0</v>
      </c>
      <c r="AS63" t="s">
        <v>3</v>
      </c>
      <c r="AT63">
        <v>0.25</v>
      </c>
      <c r="AU63" t="s">
        <v>3</v>
      </c>
      <c r="AV63">
        <v>2</v>
      </c>
      <c r="AW63">
        <v>2</v>
      </c>
      <c r="AX63">
        <v>80308610</v>
      </c>
      <c r="AY63">
        <v>1</v>
      </c>
      <c r="AZ63">
        <v>0</v>
      </c>
      <c r="BA63">
        <v>59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V63">
        <v>0</v>
      </c>
      <c r="CW63">
        <v>0</v>
      </c>
      <c r="CX63">
        <f>ROUND(Y63*Source!I84,7)</f>
        <v>7.4999999999999997E-3</v>
      </c>
      <c r="CY63">
        <f>AD63</f>
        <v>0</v>
      </c>
      <c r="CZ63">
        <f>AH63</f>
        <v>0</v>
      </c>
      <c r="DA63">
        <f>AL63</f>
        <v>1</v>
      </c>
      <c r="DB63">
        <f t="shared" si="27"/>
        <v>0</v>
      </c>
      <c r="DC63">
        <f t="shared" si="28"/>
        <v>0</v>
      </c>
      <c r="DD63" t="s">
        <v>3</v>
      </c>
      <c r="DE63" t="s">
        <v>3</v>
      </c>
      <c r="DF63">
        <f t="shared" si="29"/>
        <v>0</v>
      </c>
      <c r="DG63">
        <f t="shared" si="18"/>
        <v>0</v>
      </c>
      <c r="DH63">
        <f t="shared" si="4"/>
        <v>0</v>
      </c>
      <c r="DI63">
        <f t="shared" si="5"/>
        <v>0</v>
      </c>
      <c r="DJ63">
        <f>DI63</f>
        <v>0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ROW(Source!A84)</f>
        <v>84</v>
      </c>
      <c r="B64">
        <v>80308166</v>
      </c>
      <c r="C64">
        <v>80308604</v>
      </c>
      <c r="D64">
        <v>72975454</v>
      </c>
      <c r="E64">
        <v>1</v>
      </c>
      <c r="F64">
        <v>1</v>
      </c>
      <c r="G64">
        <v>1</v>
      </c>
      <c r="H64">
        <v>2</v>
      </c>
      <c r="I64" t="s">
        <v>466</v>
      </c>
      <c r="J64" t="s">
        <v>467</v>
      </c>
      <c r="K64" t="s">
        <v>468</v>
      </c>
      <c r="L64">
        <v>1368</v>
      </c>
      <c r="N64">
        <v>1011</v>
      </c>
      <c r="O64" t="s">
        <v>455</v>
      </c>
      <c r="P64" t="s">
        <v>455</v>
      </c>
      <c r="Q64">
        <v>1</v>
      </c>
      <c r="W64">
        <v>0</v>
      </c>
      <c r="X64">
        <v>-92307625</v>
      </c>
      <c r="Y64">
        <f t="shared" si="26"/>
        <v>0.25</v>
      </c>
      <c r="AA64">
        <v>0</v>
      </c>
      <c r="AB64">
        <v>57.47</v>
      </c>
      <c r="AC64">
        <v>641.22</v>
      </c>
      <c r="AD64">
        <v>0</v>
      </c>
      <c r="AE64">
        <v>0</v>
      </c>
      <c r="AF64">
        <v>37.32</v>
      </c>
      <c r="AG64">
        <v>641.22</v>
      </c>
      <c r="AH64">
        <v>0</v>
      </c>
      <c r="AI64">
        <v>1</v>
      </c>
      <c r="AJ64">
        <v>1.54</v>
      </c>
      <c r="AK64">
        <v>1</v>
      </c>
      <c r="AL64">
        <v>1</v>
      </c>
      <c r="AM64">
        <v>2</v>
      </c>
      <c r="AN64">
        <v>0</v>
      </c>
      <c r="AO64">
        <v>0</v>
      </c>
      <c r="AP64">
        <v>0</v>
      </c>
      <c r="AQ64">
        <v>1</v>
      </c>
      <c r="AR64">
        <v>0</v>
      </c>
      <c r="AS64" t="s">
        <v>3</v>
      </c>
      <c r="AT64">
        <v>0.25</v>
      </c>
      <c r="AU64" t="s">
        <v>3</v>
      </c>
      <c r="AV64">
        <v>1</v>
      </c>
      <c r="AW64">
        <v>2</v>
      </c>
      <c r="AX64">
        <v>80308611</v>
      </c>
      <c r="AY64">
        <v>1</v>
      </c>
      <c r="AZ64">
        <v>0</v>
      </c>
      <c r="BA64">
        <v>60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9.33</v>
      </c>
      <c r="BL64">
        <v>160.30500000000001</v>
      </c>
      <c r="BM64">
        <v>0</v>
      </c>
      <c r="BN64">
        <v>0</v>
      </c>
      <c r="BO64">
        <v>0.25</v>
      </c>
      <c r="BP64">
        <v>1</v>
      </c>
      <c r="BQ64">
        <v>0</v>
      </c>
      <c r="BR64">
        <v>9.33</v>
      </c>
      <c r="BS64">
        <v>160.30500000000001</v>
      </c>
      <c r="BT64">
        <v>0</v>
      </c>
      <c r="BU64">
        <v>0</v>
      </c>
      <c r="BV64">
        <v>0.25</v>
      </c>
      <c r="BW64">
        <v>1</v>
      </c>
      <c r="CV64">
        <v>0</v>
      </c>
      <c r="CW64">
        <f>ROUND(Y64*Source!I84*DO64,7)</f>
        <v>7.4999999999999997E-3</v>
      </c>
      <c r="CX64">
        <f>ROUND(Y64*Source!I84,7)</f>
        <v>7.4999999999999997E-3</v>
      </c>
      <c r="CY64">
        <f>AB64</f>
        <v>57.47</v>
      </c>
      <c r="CZ64">
        <f>AF64</f>
        <v>37.32</v>
      </c>
      <c r="DA64">
        <f>AJ64</f>
        <v>1.54</v>
      </c>
      <c r="DB64">
        <f t="shared" si="27"/>
        <v>9.33</v>
      </c>
      <c r="DC64">
        <f t="shared" si="28"/>
        <v>160.31</v>
      </c>
      <c r="DD64" t="s">
        <v>3</v>
      </c>
      <c r="DE64" t="s">
        <v>3</v>
      </c>
      <c r="DF64">
        <f t="shared" si="29"/>
        <v>0</v>
      </c>
      <c r="DG64">
        <f>ROUND(ROUND(AF64*AJ64,2)*CX64,2)</f>
        <v>0.43</v>
      </c>
      <c r="DH64">
        <f t="shared" si="4"/>
        <v>4.8099999999999996</v>
      </c>
      <c r="DI64">
        <f t="shared" si="5"/>
        <v>0</v>
      </c>
      <c r="DJ64">
        <f>DG64+DH64</f>
        <v>5.2399999999999993</v>
      </c>
      <c r="DK64">
        <v>0</v>
      </c>
      <c r="DL64" t="s">
        <v>469</v>
      </c>
      <c r="DM64">
        <v>3</v>
      </c>
      <c r="DN64" t="s">
        <v>449</v>
      </c>
      <c r="DO64">
        <v>1</v>
      </c>
    </row>
    <row r="65" spans="1:119" x14ac:dyDescent="0.2">
      <c r="A65">
        <f>ROW(Source!A84)</f>
        <v>84</v>
      </c>
      <c r="B65">
        <v>80308166</v>
      </c>
      <c r="C65">
        <v>80308604</v>
      </c>
      <c r="D65">
        <v>72856517</v>
      </c>
      <c r="E65">
        <v>114</v>
      </c>
      <c r="F65">
        <v>1</v>
      </c>
      <c r="G65">
        <v>1</v>
      </c>
      <c r="H65">
        <v>3</v>
      </c>
      <c r="I65" t="s">
        <v>33</v>
      </c>
      <c r="J65" t="s">
        <v>3</v>
      </c>
      <c r="K65" t="s">
        <v>34</v>
      </c>
      <c r="L65">
        <v>1348</v>
      </c>
      <c r="N65">
        <v>1009</v>
      </c>
      <c r="O65" t="s">
        <v>35</v>
      </c>
      <c r="P65" t="s">
        <v>35</v>
      </c>
      <c r="Q65">
        <v>1000</v>
      </c>
      <c r="W65">
        <v>0</v>
      </c>
      <c r="X65">
        <v>-1296435862</v>
      </c>
      <c r="Y65">
        <f t="shared" si="26"/>
        <v>3.98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0</v>
      </c>
      <c r="AQ65">
        <v>0</v>
      </c>
      <c r="AR65">
        <v>0</v>
      </c>
      <c r="AS65" t="s">
        <v>3</v>
      </c>
      <c r="AT65">
        <v>3.98</v>
      </c>
      <c r="AU65" t="s">
        <v>3</v>
      </c>
      <c r="AV65">
        <v>0</v>
      </c>
      <c r="AW65">
        <v>2</v>
      </c>
      <c r="AX65">
        <v>80308612</v>
      </c>
      <c r="AY65">
        <v>1</v>
      </c>
      <c r="AZ65">
        <v>0</v>
      </c>
      <c r="BA65">
        <v>61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V65">
        <v>0</v>
      </c>
      <c r="CW65">
        <v>0</v>
      </c>
      <c r="CX65">
        <f>ROUND(Y65*Source!I84,7)</f>
        <v>0.11940000000000001</v>
      </c>
      <c r="CY65">
        <f>AA65</f>
        <v>0</v>
      </c>
      <c r="CZ65">
        <f>AE65</f>
        <v>0</v>
      </c>
      <c r="DA65">
        <f>AI65</f>
        <v>1</v>
      </c>
      <c r="DB65">
        <f t="shared" si="27"/>
        <v>0</v>
      </c>
      <c r="DC65">
        <f t="shared" si="28"/>
        <v>0</v>
      </c>
      <c r="DD65" t="s">
        <v>3</v>
      </c>
      <c r="DE65" t="s">
        <v>3</v>
      </c>
      <c r="DF65">
        <f t="shared" si="29"/>
        <v>0</v>
      </c>
      <c r="DG65">
        <f t="shared" ref="DG65:DG96" si="30">ROUND(ROUND(AF65,2)*CX65,2)</f>
        <v>0</v>
      </c>
      <c r="DH65">
        <f t="shared" ref="DH65:DH128" si="31">ROUND(ROUND(AG65,2)*CX65,2)</f>
        <v>0</v>
      </c>
      <c r="DI65">
        <f t="shared" ref="DI65:DI128" si="32">ROUND(ROUND(AH65,2)*CX65,2)</f>
        <v>0</v>
      </c>
      <c r="DJ65">
        <f>DF65</f>
        <v>0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ROW(Source!A86)</f>
        <v>86</v>
      </c>
      <c r="B66">
        <v>80308166</v>
      </c>
      <c r="C66">
        <v>80308614</v>
      </c>
      <c r="D66">
        <v>72850637</v>
      </c>
      <c r="E66">
        <v>114</v>
      </c>
      <c r="F66">
        <v>1</v>
      </c>
      <c r="G66">
        <v>1</v>
      </c>
      <c r="H66">
        <v>1</v>
      </c>
      <c r="I66" t="s">
        <v>447</v>
      </c>
      <c r="J66" t="s">
        <v>3</v>
      </c>
      <c r="K66" t="s">
        <v>448</v>
      </c>
      <c r="L66">
        <v>1191</v>
      </c>
      <c r="N66">
        <v>1013</v>
      </c>
      <c r="O66" t="s">
        <v>449</v>
      </c>
      <c r="P66" t="s">
        <v>449</v>
      </c>
      <c r="Q66">
        <v>1</v>
      </c>
      <c r="W66">
        <v>0</v>
      </c>
      <c r="X66">
        <v>-715079457</v>
      </c>
      <c r="Y66">
        <f>(AT66*ROUND(1.15,7))</f>
        <v>1.6904999999999999</v>
      </c>
      <c r="AA66">
        <v>0</v>
      </c>
      <c r="AB66">
        <v>0</v>
      </c>
      <c r="AC66">
        <v>0</v>
      </c>
      <c r="AD66">
        <v>681.63</v>
      </c>
      <c r="AE66">
        <v>0</v>
      </c>
      <c r="AF66">
        <v>0</v>
      </c>
      <c r="AG66">
        <v>0</v>
      </c>
      <c r="AH66">
        <v>681.63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1.47</v>
      </c>
      <c r="AU66" t="s">
        <v>49</v>
      </c>
      <c r="AV66">
        <v>1</v>
      </c>
      <c r="AW66">
        <v>2</v>
      </c>
      <c r="AX66">
        <v>80308624</v>
      </c>
      <c r="AY66">
        <v>1</v>
      </c>
      <c r="AZ66">
        <v>0</v>
      </c>
      <c r="BA66">
        <v>62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1001.9961</v>
      </c>
      <c r="BN66">
        <v>1.47</v>
      </c>
      <c r="BO66">
        <v>0</v>
      </c>
      <c r="BP66">
        <v>1</v>
      </c>
      <c r="BQ66">
        <v>0</v>
      </c>
      <c r="BR66">
        <v>0</v>
      </c>
      <c r="BS66">
        <v>0</v>
      </c>
      <c r="BT66">
        <v>1152.295515</v>
      </c>
      <c r="BU66">
        <v>1.6904999999999999</v>
      </c>
      <c r="BV66">
        <v>0</v>
      </c>
      <c r="BW66">
        <v>1</v>
      </c>
      <c r="CU66">
        <f>ROUND(AT66*Source!I86*AH66*AL66,2)</f>
        <v>3005.99</v>
      </c>
      <c r="CV66">
        <f>ROUND(Y66*Source!I86,7)</f>
        <v>5.0715000000000003</v>
      </c>
      <c r="CW66">
        <v>0</v>
      </c>
      <c r="CX66">
        <f>ROUND(Y66*Source!I86,7)</f>
        <v>5.0715000000000003</v>
      </c>
      <c r="CY66">
        <f>AD66</f>
        <v>681.63</v>
      </c>
      <c r="CZ66">
        <f>AH66</f>
        <v>681.63</v>
      </c>
      <c r="DA66">
        <f>AL66</f>
        <v>1</v>
      </c>
      <c r="DB66">
        <f>ROUND((ROUND(AT66*CZ66,2)*ROUND(1.15,7)),6)</f>
        <v>1152.3</v>
      </c>
      <c r="DC66">
        <f>ROUND((ROUND(AT66*AG66,2)*ROUND(1.15,7)),6)</f>
        <v>0</v>
      </c>
      <c r="DD66" t="s">
        <v>3</v>
      </c>
      <c r="DE66" t="s">
        <v>3</v>
      </c>
      <c r="DF66">
        <f t="shared" si="29"/>
        <v>0</v>
      </c>
      <c r="DG66">
        <f t="shared" si="30"/>
        <v>0</v>
      </c>
      <c r="DH66">
        <f t="shared" si="31"/>
        <v>0</v>
      </c>
      <c r="DI66">
        <f t="shared" si="32"/>
        <v>3456.89</v>
      </c>
      <c r="DJ66">
        <f>DI66</f>
        <v>3456.89</v>
      </c>
      <c r="DK66">
        <v>1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ROW(Source!A86)</f>
        <v>86</v>
      </c>
      <c r="B67">
        <v>80308166</v>
      </c>
      <c r="C67">
        <v>80308614</v>
      </c>
      <c r="D67">
        <v>72850822</v>
      </c>
      <c r="E67">
        <v>114</v>
      </c>
      <c r="F67">
        <v>1</v>
      </c>
      <c r="G67">
        <v>1</v>
      </c>
      <c r="H67">
        <v>1</v>
      </c>
      <c r="I67" t="s">
        <v>450</v>
      </c>
      <c r="J67" t="s">
        <v>3</v>
      </c>
      <c r="K67" t="s">
        <v>451</v>
      </c>
      <c r="L67">
        <v>1191</v>
      </c>
      <c r="N67">
        <v>1013</v>
      </c>
      <c r="O67" t="s">
        <v>449</v>
      </c>
      <c r="P67" t="s">
        <v>449</v>
      </c>
      <c r="Q67">
        <v>1</v>
      </c>
      <c r="W67">
        <v>0</v>
      </c>
      <c r="X67">
        <v>-1417349443</v>
      </c>
      <c r="Y67">
        <f>(AT67*ROUND(1.25,7))</f>
        <v>2.5000000000000001E-2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0.02</v>
      </c>
      <c r="AU67" t="s">
        <v>48</v>
      </c>
      <c r="AV67">
        <v>2</v>
      </c>
      <c r="AW67">
        <v>2</v>
      </c>
      <c r="AX67">
        <v>80308625</v>
      </c>
      <c r="AY67">
        <v>1</v>
      </c>
      <c r="AZ67">
        <v>0</v>
      </c>
      <c r="BA67">
        <v>63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V67">
        <v>0</v>
      </c>
      <c r="CW67">
        <v>0</v>
      </c>
      <c r="CX67">
        <f>ROUND(Y67*Source!I86,7)</f>
        <v>7.4999999999999997E-2</v>
      </c>
      <c r="CY67">
        <f>AD67</f>
        <v>0</v>
      </c>
      <c r="CZ67">
        <f>AH67</f>
        <v>0</v>
      </c>
      <c r="DA67">
        <f>AL67</f>
        <v>1</v>
      </c>
      <c r="DB67">
        <f>ROUND((ROUND(AT67*CZ67,2)*ROUND(1.25,7)),6)</f>
        <v>0</v>
      </c>
      <c r="DC67">
        <f>ROUND((ROUND(AT67*AG67,2)*ROUND(1.25,7)),6)</f>
        <v>0</v>
      </c>
      <c r="DD67" t="s">
        <v>3</v>
      </c>
      <c r="DE67" t="s">
        <v>3</v>
      </c>
      <c r="DF67">
        <f t="shared" si="29"/>
        <v>0</v>
      </c>
      <c r="DG67">
        <f t="shared" si="30"/>
        <v>0</v>
      </c>
      <c r="DH67">
        <f t="shared" si="31"/>
        <v>0</v>
      </c>
      <c r="DI67">
        <f t="shared" si="32"/>
        <v>0</v>
      </c>
      <c r="DJ67">
        <f>DI67</f>
        <v>0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ROW(Source!A86)</f>
        <v>86</v>
      </c>
      <c r="B68">
        <v>80308166</v>
      </c>
      <c r="C68">
        <v>80308614</v>
      </c>
      <c r="D68">
        <v>72976159</v>
      </c>
      <c r="E68">
        <v>1</v>
      </c>
      <c r="F68">
        <v>1</v>
      </c>
      <c r="G68">
        <v>1</v>
      </c>
      <c r="H68">
        <v>2</v>
      </c>
      <c r="I68" t="s">
        <v>452</v>
      </c>
      <c r="J68" t="s">
        <v>453</v>
      </c>
      <c r="K68" t="s">
        <v>454</v>
      </c>
      <c r="L68">
        <v>1368</v>
      </c>
      <c r="N68">
        <v>1011</v>
      </c>
      <c r="O68" t="s">
        <v>455</v>
      </c>
      <c r="P68" t="s">
        <v>455</v>
      </c>
      <c r="Q68">
        <v>1</v>
      </c>
      <c r="W68">
        <v>0</v>
      </c>
      <c r="X68">
        <v>-1152394969</v>
      </c>
      <c r="Y68">
        <f>(AT68*ROUND(1.25,7))</f>
        <v>2.5000000000000001E-2</v>
      </c>
      <c r="AA68">
        <v>0</v>
      </c>
      <c r="AB68">
        <v>643.29</v>
      </c>
      <c r="AC68">
        <v>722.05</v>
      </c>
      <c r="AD68">
        <v>0</v>
      </c>
      <c r="AE68">
        <v>0</v>
      </c>
      <c r="AF68">
        <v>643.29</v>
      </c>
      <c r="AG68">
        <v>722.05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-2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0.02</v>
      </c>
      <c r="AU68" t="s">
        <v>48</v>
      </c>
      <c r="AV68">
        <v>1</v>
      </c>
      <c r="AW68">
        <v>2</v>
      </c>
      <c r="AX68">
        <v>80308626</v>
      </c>
      <c r="AY68">
        <v>1</v>
      </c>
      <c r="AZ68">
        <v>0</v>
      </c>
      <c r="BA68">
        <v>64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12.8658</v>
      </c>
      <c r="BL68">
        <v>14.440999999999999</v>
      </c>
      <c r="BM68">
        <v>0</v>
      </c>
      <c r="BN68">
        <v>0</v>
      </c>
      <c r="BO68">
        <v>0.02</v>
      </c>
      <c r="BP68">
        <v>1</v>
      </c>
      <c r="BQ68">
        <v>0</v>
      </c>
      <c r="BR68">
        <v>16.082249999999998</v>
      </c>
      <c r="BS68">
        <v>18.05125</v>
      </c>
      <c r="BT68">
        <v>0</v>
      </c>
      <c r="BU68">
        <v>0</v>
      </c>
      <c r="BV68">
        <v>2.5000000000000001E-2</v>
      </c>
      <c r="BW68">
        <v>1</v>
      </c>
      <c r="CV68">
        <v>0</v>
      </c>
      <c r="CW68">
        <f>ROUND(Y68*Source!I86*DO68,7)</f>
        <v>7.4999999999999997E-2</v>
      </c>
      <c r="CX68">
        <f>ROUND(Y68*Source!I86,7)</f>
        <v>7.4999999999999997E-2</v>
      </c>
      <c r="CY68">
        <f>AB68</f>
        <v>643.29</v>
      </c>
      <c r="CZ68">
        <f>AF68</f>
        <v>643.29</v>
      </c>
      <c r="DA68">
        <f>AJ68</f>
        <v>1</v>
      </c>
      <c r="DB68">
        <f>ROUND((ROUND(AT68*CZ68,2)*ROUND(1.25,7)),6)</f>
        <v>16.087499999999999</v>
      </c>
      <c r="DC68">
        <f>ROUND((ROUND(AT68*AG68,2)*ROUND(1.25,7)),6)</f>
        <v>18.05</v>
      </c>
      <c r="DD68" t="s">
        <v>3</v>
      </c>
      <c r="DE68" t="s">
        <v>3</v>
      </c>
      <c r="DF68">
        <f t="shared" si="29"/>
        <v>0</v>
      </c>
      <c r="DG68">
        <f t="shared" si="30"/>
        <v>48.25</v>
      </c>
      <c r="DH68">
        <f t="shared" si="31"/>
        <v>54.15</v>
      </c>
      <c r="DI68">
        <f t="shared" si="32"/>
        <v>0</v>
      </c>
      <c r="DJ68">
        <f>DG68+DH68</f>
        <v>102.4</v>
      </c>
      <c r="DK68">
        <v>1</v>
      </c>
      <c r="DL68" t="s">
        <v>456</v>
      </c>
      <c r="DM68">
        <v>4</v>
      </c>
      <c r="DN68" t="s">
        <v>449</v>
      </c>
      <c r="DO68">
        <v>1</v>
      </c>
    </row>
    <row r="69" spans="1:119" x14ac:dyDescent="0.2">
      <c r="A69">
        <f>ROW(Source!A86)</f>
        <v>86</v>
      </c>
      <c r="B69">
        <v>80308166</v>
      </c>
      <c r="C69">
        <v>80308614</v>
      </c>
      <c r="D69">
        <v>72976354</v>
      </c>
      <c r="E69">
        <v>1</v>
      </c>
      <c r="F69">
        <v>1</v>
      </c>
      <c r="G69">
        <v>1</v>
      </c>
      <c r="H69">
        <v>2</v>
      </c>
      <c r="I69" t="s">
        <v>477</v>
      </c>
      <c r="J69" t="s">
        <v>478</v>
      </c>
      <c r="K69" t="s">
        <v>479</v>
      </c>
      <c r="L69">
        <v>1368</v>
      </c>
      <c r="N69">
        <v>1011</v>
      </c>
      <c r="O69" t="s">
        <v>455</v>
      </c>
      <c r="P69" t="s">
        <v>455</v>
      </c>
      <c r="Q69">
        <v>1</v>
      </c>
      <c r="W69">
        <v>0</v>
      </c>
      <c r="X69">
        <v>-334821386</v>
      </c>
      <c r="Y69">
        <f>(AT69*ROUND(1.25,7))</f>
        <v>0.4375</v>
      </c>
      <c r="AA69">
        <v>0</v>
      </c>
      <c r="AB69">
        <v>32.26</v>
      </c>
      <c r="AC69">
        <v>0</v>
      </c>
      <c r="AD69">
        <v>0</v>
      </c>
      <c r="AE69">
        <v>0</v>
      </c>
      <c r="AF69">
        <v>32.26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M69">
        <v>-2</v>
      </c>
      <c r="AN69">
        <v>0</v>
      </c>
      <c r="AO69">
        <v>0</v>
      </c>
      <c r="AP69">
        <v>1</v>
      </c>
      <c r="AQ69">
        <v>1</v>
      </c>
      <c r="AR69">
        <v>0</v>
      </c>
      <c r="AS69" t="s">
        <v>3</v>
      </c>
      <c r="AT69">
        <v>0.35</v>
      </c>
      <c r="AU69" t="s">
        <v>48</v>
      </c>
      <c r="AV69">
        <v>1</v>
      </c>
      <c r="AW69">
        <v>2</v>
      </c>
      <c r="AX69">
        <v>80308627</v>
      </c>
      <c r="AY69">
        <v>1</v>
      </c>
      <c r="AZ69">
        <v>0</v>
      </c>
      <c r="BA69">
        <v>65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11.290999999999999</v>
      </c>
      <c r="BL69">
        <v>0</v>
      </c>
      <c r="BM69">
        <v>0</v>
      </c>
      <c r="BN69">
        <v>0</v>
      </c>
      <c r="BO69">
        <v>0</v>
      </c>
      <c r="BP69">
        <v>1</v>
      </c>
      <c r="BQ69">
        <v>0</v>
      </c>
      <c r="BR69">
        <v>14.11375</v>
      </c>
      <c r="BS69">
        <v>0</v>
      </c>
      <c r="BT69">
        <v>0</v>
      </c>
      <c r="BU69">
        <v>0</v>
      </c>
      <c r="BV69">
        <v>0</v>
      </c>
      <c r="BW69">
        <v>1</v>
      </c>
      <c r="CV69">
        <v>0</v>
      </c>
      <c r="CW69">
        <f>ROUND(Y69*Source!I86*DO69,7)</f>
        <v>0</v>
      </c>
      <c r="CX69">
        <f>ROUND(Y69*Source!I86,7)</f>
        <v>1.3125</v>
      </c>
      <c r="CY69">
        <f>AB69</f>
        <v>32.26</v>
      </c>
      <c r="CZ69">
        <f>AF69</f>
        <v>32.26</v>
      </c>
      <c r="DA69">
        <f>AJ69</f>
        <v>1</v>
      </c>
      <c r="DB69">
        <f>ROUND((ROUND(AT69*CZ69,2)*ROUND(1.25,7)),6)</f>
        <v>14.112500000000001</v>
      </c>
      <c r="DC69">
        <f>ROUND((ROUND(AT69*AG69,2)*ROUND(1.25,7)),6)</f>
        <v>0</v>
      </c>
      <c r="DD69" t="s">
        <v>3</v>
      </c>
      <c r="DE69" t="s">
        <v>3</v>
      </c>
      <c r="DF69">
        <f t="shared" si="29"/>
        <v>0</v>
      </c>
      <c r="DG69">
        <f t="shared" si="30"/>
        <v>42.34</v>
      </c>
      <c r="DH69">
        <f t="shared" si="31"/>
        <v>0</v>
      </c>
      <c r="DI69">
        <f t="shared" si="32"/>
        <v>0</v>
      </c>
      <c r="DJ69">
        <f>DG69+DH69</f>
        <v>42.34</v>
      </c>
      <c r="DK69">
        <v>1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ROW(Source!A86)</f>
        <v>86</v>
      </c>
      <c r="B70">
        <v>80308166</v>
      </c>
      <c r="C70">
        <v>80308614</v>
      </c>
      <c r="D70">
        <v>72919987</v>
      </c>
      <c r="E70">
        <v>1</v>
      </c>
      <c r="F70">
        <v>1</v>
      </c>
      <c r="G70">
        <v>1</v>
      </c>
      <c r="H70">
        <v>3</v>
      </c>
      <c r="I70" t="s">
        <v>527</v>
      </c>
      <c r="J70" t="s">
        <v>528</v>
      </c>
      <c r="K70" t="s">
        <v>529</v>
      </c>
      <c r="L70">
        <v>1407</v>
      </c>
      <c r="N70">
        <v>1013</v>
      </c>
      <c r="O70" t="s">
        <v>460</v>
      </c>
      <c r="P70" t="s">
        <v>460</v>
      </c>
      <c r="Q70">
        <v>1</v>
      </c>
      <c r="W70">
        <v>0</v>
      </c>
      <c r="X70">
        <v>-1517034322</v>
      </c>
      <c r="Y70">
        <f t="shared" ref="Y70:Y76" si="33">AT70</f>
        <v>2E-3</v>
      </c>
      <c r="AA70">
        <v>8287.8799999999992</v>
      </c>
      <c r="AB70">
        <v>0</v>
      </c>
      <c r="AC70">
        <v>0</v>
      </c>
      <c r="AD70">
        <v>0</v>
      </c>
      <c r="AE70">
        <v>7023.63</v>
      </c>
      <c r="AF70">
        <v>0</v>
      </c>
      <c r="AG70">
        <v>0</v>
      </c>
      <c r="AH70">
        <v>0</v>
      </c>
      <c r="AI70">
        <v>1.18</v>
      </c>
      <c r="AJ70">
        <v>1</v>
      </c>
      <c r="AK70">
        <v>1</v>
      </c>
      <c r="AL70">
        <v>1</v>
      </c>
      <c r="AM70">
        <v>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2E-3</v>
      </c>
      <c r="AU70" t="s">
        <v>3</v>
      </c>
      <c r="AV70">
        <v>0</v>
      </c>
      <c r="AW70">
        <v>2</v>
      </c>
      <c r="AX70">
        <v>80308628</v>
      </c>
      <c r="AY70">
        <v>1</v>
      </c>
      <c r="AZ70">
        <v>0</v>
      </c>
      <c r="BA70">
        <v>66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14.04726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14.04726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CV70">
        <v>0</v>
      </c>
      <c r="CW70">
        <v>0</v>
      </c>
      <c r="CX70">
        <f>ROUND(Y70*Source!I86,7)</f>
        <v>6.0000000000000001E-3</v>
      </c>
      <c r="CY70">
        <f>AA70</f>
        <v>8287.8799999999992</v>
      </c>
      <c r="CZ70">
        <f>AE70</f>
        <v>7023.63</v>
      </c>
      <c r="DA70">
        <f>AI70</f>
        <v>1.18</v>
      </c>
      <c r="DB70">
        <f t="shared" ref="DB70:DB76" si="34">ROUND(ROUND(AT70*CZ70,2),6)</f>
        <v>14.05</v>
      </c>
      <c r="DC70">
        <f t="shared" ref="DC70:DC76" si="35">ROUND(ROUND(AT70*AG70,2),6)</f>
        <v>0</v>
      </c>
      <c r="DD70" t="s">
        <v>3</v>
      </c>
      <c r="DE70" t="s">
        <v>3</v>
      </c>
      <c r="DF70">
        <f>ROUND(ROUND(AE70*AI70,2)*CX70,2)</f>
        <v>49.73</v>
      </c>
      <c r="DG70">
        <f t="shared" si="30"/>
        <v>0</v>
      </c>
      <c r="DH70">
        <f t="shared" si="31"/>
        <v>0</v>
      </c>
      <c r="DI70">
        <f t="shared" si="32"/>
        <v>0</v>
      </c>
      <c r="DJ70">
        <f>DF70</f>
        <v>49.73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ROW(Source!A86)</f>
        <v>86</v>
      </c>
      <c r="B71">
        <v>80308166</v>
      </c>
      <c r="C71">
        <v>80308614</v>
      </c>
      <c r="D71">
        <v>72923110</v>
      </c>
      <c r="E71">
        <v>1</v>
      </c>
      <c r="F71">
        <v>1</v>
      </c>
      <c r="G71">
        <v>1</v>
      </c>
      <c r="H71">
        <v>3</v>
      </c>
      <c r="I71" t="s">
        <v>480</v>
      </c>
      <c r="J71" t="s">
        <v>481</v>
      </c>
      <c r="K71" t="s">
        <v>482</v>
      </c>
      <c r="L71">
        <v>1346</v>
      </c>
      <c r="N71">
        <v>1009</v>
      </c>
      <c r="O71" t="s">
        <v>295</v>
      </c>
      <c r="P71" t="s">
        <v>295</v>
      </c>
      <c r="Q71">
        <v>1</v>
      </c>
      <c r="W71">
        <v>0</v>
      </c>
      <c r="X71">
        <v>212334824</v>
      </c>
      <c r="Y71">
        <f t="shared" si="33"/>
        <v>0.14000000000000001</v>
      </c>
      <c r="AA71">
        <v>121.39</v>
      </c>
      <c r="AB71">
        <v>0</v>
      </c>
      <c r="AC71">
        <v>0</v>
      </c>
      <c r="AD71">
        <v>0</v>
      </c>
      <c r="AE71">
        <v>155.63</v>
      </c>
      <c r="AF71">
        <v>0</v>
      </c>
      <c r="AG71">
        <v>0</v>
      </c>
      <c r="AH71">
        <v>0</v>
      </c>
      <c r="AI71">
        <v>0.78</v>
      </c>
      <c r="AJ71">
        <v>1</v>
      </c>
      <c r="AK71">
        <v>1</v>
      </c>
      <c r="AL71">
        <v>1</v>
      </c>
      <c r="AM71">
        <v>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0.14000000000000001</v>
      </c>
      <c r="AU71" t="s">
        <v>3</v>
      </c>
      <c r="AV71">
        <v>0</v>
      </c>
      <c r="AW71">
        <v>2</v>
      </c>
      <c r="AX71">
        <v>80308629</v>
      </c>
      <c r="AY71">
        <v>1</v>
      </c>
      <c r="AZ71">
        <v>0</v>
      </c>
      <c r="BA71">
        <v>67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21.7882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21.7882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1</v>
      </c>
      <c r="CV71">
        <v>0</v>
      </c>
      <c r="CW71">
        <v>0</v>
      </c>
      <c r="CX71">
        <f>ROUND(Y71*Source!I86,7)</f>
        <v>0.42</v>
      </c>
      <c r="CY71">
        <f>AA71</f>
        <v>121.39</v>
      </c>
      <c r="CZ71">
        <f>AE71</f>
        <v>155.63</v>
      </c>
      <c r="DA71">
        <f>AI71</f>
        <v>0.78</v>
      </c>
      <c r="DB71">
        <f t="shared" si="34"/>
        <v>21.79</v>
      </c>
      <c r="DC71">
        <f t="shared" si="35"/>
        <v>0</v>
      </c>
      <c r="DD71" t="s">
        <v>3</v>
      </c>
      <c r="DE71" t="s">
        <v>3</v>
      </c>
      <c r="DF71">
        <f>ROUND(ROUND(AE71*AI71,2)*CX71,2)</f>
        <v>50.98</v>
      </c>
      <c r="DG71">
        <f t="shared" si="30"/>
        <v>0</v>
      </c>
      <c r="DH71">
        <f t="shared" si="31"/>
        <v>0</v>
      </c>
      <c r="DI71">
        <f t="shared" si="32"/>
        <v>0</v>
      </c>
      <c r="DJ71">
        <f>DF71</f>
        <v>50.98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ROW(Source!A86)</f>
        <v>86</v>
      </c>
      <c r="B72">
        <v>80308166</v>
      </c>
      <c r="C72">
        <v>80308614</v>
      </c>
      <c r="D72">
        <v>72923821</v>
      </c>
      <c r="E72">
        <v>1</v>
      </c>
      <c r="F72">
        <v>1</v>
      </c>
      <c r="G72">
        <v>1</v>
      </c>
      <c r="H72">
        <v>3</v>
      </c>
      <c r="I72" t="s">
        <v>483</v>
      </c>
      <c r="J72" t="s">
        <v>484</v>
      </c>
      <c r="K72" t="s">
        <v>485</v>
      </c>
      <c r="L72">
        <v>1348</v>
      </c>
      <c r="N72">
        <v>1009</v>
      </c>
      <c r="O72" t="s">
        <v>35</v>
      </c>
      <c r="P72" t="s">
        <v>35</v>
      </c>
      <c r="Q72">
        <v>1000</v>
      </c>
      <c r="W72">
        <v>0</v>
      </c>
      <c r="X72">
        <v>308094901</v>
      </c>
      <c r="Y72">
        <f t="shared" si="33"/>
        <v>1.1000000000000001E-3</v>
      </c>
      <c r="AA72">
        <v>158923.62</v>
      </c>
      <c r="AB72">
        <v>0</v>
      </c>
      <c r="AC72">
        <v>0</v>
      </c>
      <c r="AD72">
        <v>0</v>
      </c>
      <c r="AE72">
        <v>145801.49</v>
      </c>
      <c r="AF72">
        <v>0</v>
      </c>
      <c r="AG72">
        <v>0</v>
      </c>
      <c r="AH72">
        <v>0</v>
      </c>
      <c r="AI72">
        <v>1.0900000000000001</v>
      </c>
      <c r="AJ72">
        <v>1</v>
      </c>
      <c r="AK72">
        <v>1</v>
      </c>
      <c r="AL72">
        <v>1</v>
      </c>
      <c r="AM72">
        <v>2</v>
      </c>
      <c r="AN72">
        <v>0</v>
      </c>
      <c r="AO72">
        <v>0</v>
      </c>
      <c r="AP72">
        <v>1</v>
      </c>
      <c r="AQ72">
        <v>1</v>
      </c>
      <c r="AR72">
        <v>0</v>
      </c>
      <c r="AS72" t="s">
        <v>3</v>
      </c>
      <c r="AT72">
        <v>1.1000000000000001E-3</v>
      </c>
      <c r="AU72" t="s">
        <v>3</v>
      </c>
      <c r="AV72">
        <v>0</v>
      </c>
      <c r="AW72">
        <v>2</v>
      </c>
      <c r="AX72">
        <v>80308630</v>
      </c>
      <c r="AY72">
        <v>1</v>
      </c>
      <c r="AZ72">
        <v>0</v>
      </c>
      <c r="BA72">
        <v>68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160.38163900000001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160.38163900000001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1</v>
      </c>
      <c r="CV72">
        <v>0</v>
      </c>
      <c r="CW72">
        <v>0</v>
      </c>
      <c r="CX72">
        <f>ROUND(Y72*Source!I86,7)</f>
        <v>3.3E-3</v>
      </c>
      <c r="CY72">
        <f>AA72</f>
        <v>158923.62</v>
      </c>
      <c r="CZ72">
        <f>AE72</f>
        <v>145801.49</v>
      </c>
      <c r="DA72">
        <f>AI72</f>
        <v>1.0900000000000001</v>
      </c>
      <c r="DB72">
        <f t="shared" si="34"/>
        <v>160.38</v>
      </c>
      <c r="DC72">
        <f t="shared" si="35"/>
        <v>0</v>
      </c>
      <c r="DD72" t="s">
        <v>3</v>
      </c>
      <c r="DE72" t="s">
        <v>3</v>
      </c>
      <c r="DF72">
        <f>ROUND(ROUND(AE72*AI72,2)*CX72,2)</f>
        <v>524.45000000000005</v>
      </c>
      <c r="DG72">
        <f t="shared" si="30"/>
        <v>0</v>
      </c>
      <c r="DH72">
        <f t="shared" si="31"/>
        <v>0</v>
      </c>
      <c r="DI72">
        <f t="shared" si="32"/>
        <v>0</v>
      </c>
      <c r="DJ72">
        <f>DF72</f>
        <v>524.45000000000005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ROW(Source!A86)</f>
        <v>86</v>
      </c>
      <c r="B73">
        <v>80308166</v>
      </c>
      <c r="C73">
        <v>80308614</v>
      </c>
      <c r="D73">
        <v>77518651</v>
      </c>
      <c r="E73">
        <v>1</v>
      </c>
      <c r="F73">
        <v>1</v>
      </c>
      <c r="G73">
        <v>1</v>
      </c>
      <c r="H73">
        <v>3</v>
      </c>
      <c r="I73" t="s">
        <v>193</v>
      </c>
      <c r="J73" t="s">
        <v>195</v>
      </c>
      <c r="K73" t="s">
        <v>194</v>
      </c>
      <c r="L73">
        <v>1371</v>
      </c>
      <c r="N73">
        <v>1013</v>
      </c>
      <c r="O73" t="s">
        <v>30</v>
      </c>
      <c r="P73" t="s">
        <v>30</v>
      </c>
      <c r="Q73">
        <v>1</v>
      </c>
      <c r="W73">
        <v>0</v>
      </c>
      <c r="X73">
        <v>1609212438</v>
      </c>
      <c r="Y73">
        <f t="shared" si="33"/>
        <v>1</v>
      </c>
      <c r="AA73">
        <v>4384.42</v>
      </c>
      <c r="AB73">
        <v>0</v>
      </c>
      <c r="AC73">
        <v>0</v>
      </c>
      <c r="AD73">
        <v>0</v>
      </c>
      <c r="AE73">
        <v>3985.84</v>
      </c>
      <c r="AF73">
        <v>0</v>
      </c>
      <c r="AG73">
        <v>0</v>
      </c>
      <c r="AH73">
        <v>0</v>
      </c>
      <c r="AI73">
        <v>1.1000000000000001</v>
      </c>
      <c r="AJ73">
        <v>1</v>
      </c>
      <c r="AK73">
        <v>1</v>
      </c>
      <c r="AL73">
        <v>1</v>
      </c>
      <c r="AM73">
        <v>2</v>
      </c>
      <c r="AN73">
        <v>0</v>
      </c>
      <c r="AO73">
        <v>0</v>
      </c>
      <c r="AP73">
        <v>1</v>
      </c>
      <c r="AQ73">
        <v>0</v>
      </c>
      <c r="AR73">
        <v>0</v>
      </c>
      <c r="AS73" t="s">
        <v>3</v>
      </c>
      <c r="AT73">
        <v>1</v>
      </c>
      <c r="AU73" t="s">
        <v>3</v>
      </c>
      <c r="AV73">
        <v>0</v>
      </c>
      <c r="AW73">
        <v>1</v>
      </c>
      <c r="AX73">
        <v>-1</v>
      </c>
      <c r="AY73">
        <v>0</v>
      </c>
      <c r="AZ73">
        <v>0</v>
      </c>
      <c r="BA73" t="s">
        <v>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V73">
        <v>0</v>
      </c>
      <c r="CW73">
        <v>0</v>
      </c>
      <c r="CX73">
        <f>ROUND(Y73*Source!I86,7)</f>
        <v>3</v>
      </c>
      <c r="CY73">
        <f>AA73</f>
        <v>4384.42</v>
      </c>
      <c r="CZ73">
        <f>AE73</f>
        <v>3985.84</v>
      </c>
      <c r="DA73">
        <f>AI73</f>
        <v>1.1000000000000001</v>
      </c>
      <c r="DB73">
        <f t="shared" si="34"/>
        <v>3985.84</v>
      </c>
      <c r="DC73">
        <f t="shared" si="35"/>
        <v>0</v>
      </c>
      <c r="DD73" t="s">
        <v>3</v>
      </c>
      <c r="DE73" t="s">
        <v>3</v>
      </c>
      <c r="DF73">
        <f>ROUND(ROUND(AE73*AI73,2)*CX73,2)</f>
        <v>13153.26</v>
      </c>
      <c r="DG73">
        <f t="shared" si="30"/>
        <v>0</v>
      </c>
      <c r="DH73">
        <f t="shared" si="31"/>
        <v>0</v>
      </c>
      <c r="DI73">
        <f t="shared" si="32"/>
        <v>0</v>
      </c>
      <c r="DJ73">
        <f>DF73</f>
        <v>13153.26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ROW(Source!A86)</f>
        <v>86</v>
      </c>
      <c r="B74">
        <v>80308166</v>
      </c>
      <c r="C74">
        <v>80308614</v>
      </c>
      <c r="D74">
        <v>77536579</v>
      </c>
      <c r="E74">
        <v>1</v>
      </c>
      <c r="F74">
        <v>1</v>
      </c>
      <c r="G74">
        <v>1</v>
      </c>
      <c r="H74">
        <v>3</v>
      </c>
      <c r="I74" t="s">
        <v>197</v>
      </c>
      <c r="J74" t="s">
        <v>199</v>
      </c>
      <c r="K74" t="s">
        <v>198</v>
      </c>
      <c r="L74">
        <v>1371</v>
      </c>
      <c r="N74">
        <v>1013</v>
      </c>
      <c r="O74" t="s">
        <v>30</v>
      </c>
      <c r="P74" t="s">
        <v>30</v>
      </c>
      <c r="Q74">
        <v>1</v>
      </c>
      <c r="W74">
        <v>0</v>
      </c>
      <c r="X74">
        <v>1011476876</v>
      </c>
      <c r="Y74">
        <f t="shared" si="33"/>
        <v>2</v>
      </c>
      <c r="AA74">
        <v>437.56</v>
      </c>
      <c r="AB74">
        <v>0</v>
      </c>
      <c r="AC74">
        <v>0</v>
      </c>
      <c r="AD74">
        <v>0</v>
      </c>
      <c r="AE74">
        <v>394.2</v>
      </c>
      <c r="AF74">
        <v>0</v>
      </c>
      <c r="AG74">
        <v>0</v>
      </c>
      <c r="AH74">
        <v>0</v>
      </c>
      <c r="AI74">
        <v>1.1100000000000001</v>
      </c>
      <c r="AJ74">
        <v>1</v>
      </c>
      <c r="AK74">
        <v>1</v>
      </c>
      <c r="AL74">
        <v>1</v>
      </c>
      <c r="AM74">
        <v>2</v>
      </c>
      <c r="AN74">
        <v>0</v>
      </c>
      <c r="AO74">
        <v>0</v>
      </c>
      <c r="AP74">
        <v>1</v>
      </c>
      <c r="AQ74">
        <v>0</v>
      </c>
      <c r="AR74">
        <v>0</v>
      </c>
      <c r="AS74" t="s">
        <v>3</v>
      </c>
      <c r="AT74">
        <v>2</v>
      </c>
      <c r="AU74" t="s">
        <v>3</v>
      </c>
      <c r="AV74">
        <v>0</v>
      </c>
      <c r="AW74">
        <v>1</v>
      </c>
      <c r="AX74">
        <v>-1</v>
      </c>
      <c r="AY74">
        <v>0</v>
      </c>
      <c r="AZ74">
        <v>0</v>
      </c>
      <c r="BA74" t="s">
        <v>3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V74">
        <v>0</v>
      </c>
      <c r="CW74">
        <v>0</v>
      </c>
      <c r="CX74">
        <f>ROUND(Y74*Source!I86,7)</f>
        <v>6</v>
      </c>
      <c r="CY74">
        <f>AA74</f>
        <v>437.56</v>
      </c>
      <c r="CZ74">
        <f>AE74</f>
        <v>394.2</v>
      </c>
      <c r="DA74">
        <f>AI74</f>
        <v>1.1100000000000001</v>
      </c>
      <c r="DB74">
        <f t="shared" si="34"/>
        <v>788.4</v>
      </c>
      <c r="DC74">
        <f t="shared" si="35"/>
        <v>0</v>
      </c>
      <c r="DD74" t="s">
        <v>3</v>
      </c>
      <c r="DE74" t="s">
        <v>3</v>
      </c>
      <c r="DF74">
        <f>ROUND(ROUND(AE74*AI74,2)*CX74,2)</f>
        <v>2625.36</v>
      </c>
      <c r="DG74">
        <f t="shared" si="30"/>
        <v>0</v>
      </c>
      <c r="DH74">
        <f t="shared" si="31"/>
        <v>0</v>
      </c>
      <c r="DI74">
        <f t="shared" si="32"/>
        <v>0</v>
      </c>
      <c r="DJ74">
        <f>DF74</f>
        <v>2625.36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ROW(Source!A89)</f>
        <v>89</v>
      </c>
      <c r="B75">
        <v>80308166</v>
      </c>
      <c r="C75">
        <v>80308635</v>
      </c>
      <c r="D75">
        <v>72850627</v>
      </c>
      <c r="E75">
        <v>114</v>
      </c>
      <c r="F75">
        <v>1</v>
      </c>
      <c r="G75">
        <v>1</v>
      </c>
      <c r="H75">
        <v>1</v>
      </c>
      <c r="I75" t="s">
        <v>464</v>
      </c>
      <c r="J75" t="s">
        <v>3</v>
      </c>
      <c r="K75" t="s">
        <v>465</v>
      </c>
      <c r="L75">
        <v>1191</v>
      </c>
      <c r="N75">
        <v>1013</v>
      </c>
      <c r="O75" t="s">
        <v>449</v>
      </c>
      <c r="P75" t="s">
        <v>449</v>
      </c>
      <c r="Q75">
        <v>1</v>
      </c>
      <c r="W75">
        <v>0</v>
      </c>
      <c r="X75">
        <v>-1833565283</v>
      </c>
      <c r="Y75">
        <f t="shared" si="33"/>
        <v>159</v>
      </c>
      <c r="AA75">
        <v>0</v>
      </c>
      <c r="AB75">
        <v>0</v>
      </c>
      <c r="AC75">
        <v>0</v>
      </c>
      <c r="AD75">
        <v>641.22</v>
      </c>
      <c r="AE75">
        <v>0</v>
      </c>
      <c r="AF75">
        <v>0</v>
      </c>
      <c r="AG75">
        <v>0</v>
      </c>
      <c r="AH75">
        <v>641.22</v>
      </c>
      <c r="AI75">
        <v>1</v>
      </c>
      <c r="AJ75">
        <v>1</v>
      </c>
      <c r="AK75">
        <v>1</v>
      </c>
      <c r="AL75">
        <v>1</v>
      </c>
      <c r="AM75">
        <v>-2</v>
      </c>
      <c r="AN75">
        <v>0</v>
      </c>
      <c r="AO75">
        <v>0</v>
      </c>
      <c r="AP75">
        <v>0</v>
      </c>
      <c r="AQ75">
        <v>1</v>
      </c>
      <c r="AR75">
        <v>0</v>
      </c>
      <c r="AS75" t="s">
        <v>3</v>
      </c>
      <c r="AT75">
        <v>159</v>
      </c>
      <c r="AU75" t="s">
        <v>3</v>
      </c>
      <c r="AV75">
        <v>1</v>
      </c>
      <c r="AW75">
        <v>2</v>
      </c>
      <c r="AX75">
        <v>80308638</v>
      </c>
      <c r="AY75">
        <v>1</v>
      </c>
      <c r="AZ75">
        <v>0</v>
      </c>
      <c r="BA75">
        <v>71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101953.98000000001</v>
      </c>
      <c r="BN75">
        <v>159</v>
      </c>
      <c r="BO75">
        <v>0</v>
      </c>
      <c r="BP75">
        <v>1</v>
      </c>
      <c r="BQ75">
        <v>0</v>
      </c>
      <c r="BR75">
        <v>0</v>
      </c>
      <c r="BS75">
        <v>0</v>
      </c>
      <c r="BT75">
        <v>101953.98000000001</v>
      </c>
      <c r="BU75">
        <v>159</v>
      </c>
      <c r="BV75">
        <v>0</v>
      </c>
      <c r="BW75">
        <v>1</v>
      </c>
      <c r="CU75">
        <f>ROUND(AT75*Source!I89*AH75*AL75,2)</f>
        <v>2039.08</v>
      </c>
      <c r="CV75">
        <f>ROUND(Y75*Source!I89,7)</f>
        <v>3.18</v>
      </c>
      <c r="CW75">
        <v>0</v>
      </c>
      <c r="CX75">
        <f>ROUND(Y75*Source!I89,7)</f>
        <v>3.18</v>
      </c>
      <c r="CY75">
        <f>AD75</f>
        <v>641.22</v>
      </c>
      <c r="CZ75">
        <f>AH75</f>
        <v>641.22</v>
      </c>
      <c r="DA75">
        <f>AL75</f>
        <v>1</v>
      </c>
      <c r="DB75">
        <f t="shared" si="34"/>
        <v>101953.98</v>
      </c>
      <c r="DC75">
        <f t="shared" si="35"/>
        <v>0</v>
      </c>
      <c r="DD75" t="s">
        <v>3</v>
      </c>
      <c r="DE75" t="s">
        <v>3</v>
      </c>
      <c r="DF75">
        <f t="shared" ref="DF75:DF81" si="36">ROUND(ROUND(AE75,2)*CX75,2)</f>
        <v>0</v>
      </c>
      <c r="DG75">
        <f t="shared" si="30"/>
        <v>0</v>
      </c>
      <c r="DH75">
        <f t="shared" si="31"/>
        <v>0</v>
      </c>
      <c r="DI75">
        <f t="shared" si="32"/>
        <v>2039.08</v>
      </c>
      <c r="DJ75">
        <f>DI75</f>
        <v>2039.08</v>
      </c>
      <c r="DK75">
        <v>1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ROW(Source!A89)</f>
        <v>89</v>
      </c>
      <c r="B76">
        <v>80308166</v>
      </c>
      <c r="C76">
        <v>80308635</v>
      </c>
      <c r="D76">
        <v>72856517</v>
      </c>
      <c r="E76">
        <v>114</v>
      </c>
      <c r="F76">
        <v>1</v>
      </c>
      <c r="G76">
        <v>1</v>
      </c>
      <c r="H76">
        <v>3</v>
      </c>
      <c r="I76" t="s">
        <v>33</v>
      </c>
      <c r="J76" t="s">
        <v>3</v>
      </c>
      <c r="K76" t="s">
        <v>34</v>
      </c>
      <c r="L76">
        <v>1348</v>
      </c>
      <c r="N76">
        <v>1009</v>
      </c>
      <c r="O76" t="s">
        <v>35</v>
      </c>
      <c r="P76" t="s">
        <v>35</v>
      </c>
      <c r="Q76">
        <v>1000</v>
      </c>
      <c r="W76">
        <v>0</v>
      </c>
      <c r="X76">
        <v>-1296435862</v>
      </c>
      <c r="Y76">
        <f t="shared" si="33"/>
        <v>5.3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0</v>
      </c>
      <c r="AP76">
        <v>0</v>
      </c>
      <c r="AQ76">
        <v>0</v>
      </c>
      <c r="AR76">
        <v>0</v>
      </c>
      <c r="AS76" t="s">
        <v>3</v>
      </c>
      <c r="AT76">
        <v>5.3</v>
      </c>
      <c r="AU76" t="s">
        <v>3</v>
      </c>
      <c r="AV76">
        <v>0</v>
      </c>
      <c r="AW76">
        <v>2</v>
      </c>
      <c r="AX76">
        <v>80308639</v>
      </c>
      <c r="AY76">
        <v>1</v>
      </c>
      <c r="AZ76">
        <v>0</v>
      </c>
      <c r="BA76">
        <v>72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V76">
        <v>0</v>
      </c>
      <c r="CW76">
        <v>0</v>
      </c>
      <c r="CX76">
        <f>ROUND(Y76*Source!I89,7)</f>
        <v>0.106</v>
      </c>
      <c r="CY76">
        <f>AA76</f>
        <v>0</v>
      </c>
      <c r="CZ76">
        <f>AE76</f>
        <v>0</v>
      </c>
      <c r="DA76">
        <f>AI76</f>
        <v>1</v>
      </c>
      <c r="DB76">
        <f t="shared" si="34"/>
        <v>0</v>
      </c>
      <c r="DC76">
        <f t="shared" si="35"/>
        <v>0</v>
      </c>
      <c r="DD76" t="s">
        <v>3</v>
      </c>
      <c r="DE76" t="s">
        <v>3</v>
      </c>
      <c r="DF76">
        <f t="shared" si="36"/>
        <v>0</v>
      </c>
      <c r="DG76">
        <f t="shared" si="30"/>
        <v>0</v>
      </c>
      <c r="DH76">
        <f t="shared" si="31"/>
        <v>0</v>
      </c>
      <c r="DI76">
        <f t="shared" si="32"/>
        <v>0</v>
      </c>
      <c r="DJ76">
        <f>DF76</f>
        <v>0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ROW(Source!A91)</f>
        <v>91</v>
      </c>
      <c r="B77">
        <v>80308166</v>
      </c>
      <c r="C77">
        <v>80308641</v>
      </c>
      <c r="D77">
        <v>72850641</v>
      </c>
      <c r="E77">
        <v>114</v>
      </c>
      <c r="F77">
        <v>1</v>
      </c>
      <c r="G77">
        <v>1</v>
      </c>
      <c r="H77">
        <v>1</v>
      </c>
      <c r="I77" t="s">
        <v>530</v>
      </c>
      <c r="J77" t="s">
        <v>3</v>
      </c>
      <c r="K77" t="s">
        <v>531</v>
      </c>
      <c r="L77">
        <v>1191</v>
      </c>
      <c r="N77">
        <v>1013</v>
      </c>
      <c r="O77" t="s">
        <v>449</v>
      </c>
      <c r="P77" t="s">
        <v>449</v>
      </c>
      <c r="Q77">
        <v>1</v>
      </c>
      <c r="W77">
        <v>0</v>
      </c>
      <c r="X77">
        <v>-1105933552</v>
      </c>
      <c r="Y77">
        <f>(AT77*ROUND(1.15,7))</f>
        <v>4.117</v>
      </c>
      <c r="AA77">
        <v>0</v>
      </c>
      <c r="AB77">
        <v>0</v>
      </c>
      <c r="AC77">
        <v>0</v>
      </c>
      <c r="AD77">
        <v>697.8</v>
      </c>
      <c r="AE77">
        <v>0</v>
      </c>
      <c r="AF77">
        <v>0</v>
      </c>
      <c r="AG77">
        <v>0</v>
      </c>
      <c r="AH77">
        <v>697.8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0</v>
      </c>
      <c r="AP77">
        <v>1</v>
      </c>
      <c r="AQ77">
        <v>1</v>
      </c>
      <c r="AR77">
        <v>0</v>
      </c>
      <c r="AS77" t="s">
        <v>3</v>
      </c>
      <c r="AT77">
        <v>3.58</v>
      </c>
      <c r="AU77" t="s">
        <v>49</v>
      </c>
      <c r="AV77">
        <v>1</v>
      </c>
      <c r="AW77">
        <v>2</v>
      </c>
      <c r="AX77">
        <v>80308653</v>
      </c>
      <c r="AY77">
        <v>1</v>
      </c>
      <c r="AZ77">
        <v>0</v>
      </c>
      <c r="BA77">
        <v>73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2498.1239999999998</v>
      </c>
      <c r="BN77">
        <v>3.58</v>
      </c>
      <c r="BO77">
        <v>0</v>
      </c>
      <c r="BP77">
        <v>1</v>
      </c>
      <c r="BQ77">
        <v>0</v>
      </c>
      <c r="BR77">
        <v>0</v>
      </c>
      <c r="BS77">
        <v>0</v>
      </c>
      <c r="BT77">
        <v>2872.8425999999999</v>
      </c>
      <c r="BU77">
        <v>4.117</v>
      </c>
      <c r="BV77">
        <v>0</v>
      </c>
      <c r="BW77">
        <v>1</v>
      </c>
      <c r="CU77">
        <f>ROUND(AT77*Source!I91*AH77*AL77,2)</f>
        <v>2498.12</v>
      </c>
      <c r="CV77">
        <f>ROUND(Y77*Source!I91,7)</f>
        <v>4.117</v>
      </c>
      <c r="CW77">
        <v>0</v>
      </c>
      <c r="CX77">
        <f>ROUND(Y77*Source!I91,7)</f>
        <v>4.117</v>
      </c>
      <c r="CY77">
        <f>AD77</f>
        <v>697.8</v>
      </c>
      <c r="CZ77">
        <f>AH77</f>
        <v>697.8</v>
      </c>
      <c r="DA77">
        <f>AL77</f>
        <v>1</v>
      </c>
      <c r="DB77">
        <f>ROUND((ROUND(AT77*CZ77,2)*ROUND(1.15,7)),6)</f>
        <v>2872.8380000000002</v>
      </c>
      <c r="DC77">
        <f>ROUND((ROUND(AT77*AG77,2)*ROUND(1.15,7)),6)</f>
        <v>0</v>
      </c>
      <c r="DD77" t="s">
        <v>3</v>
      </c>
      <c r="DE77" t="s">
        <v>3</v>
      </c>
      <c r="DF77">
        <f t="shared" si="36"/>
        <v>0</v>
      </c>
      <c r="DG77">
        <f t="shared" si="30"/>
        <v>0</v>
      </c>
      <c r="DH77">
        <f t="shared" si="31"/>
        <v>0</v>
      </c>
      <c r="DI77">
        <f t="shared" si="32"/>
        <v>2872.84</v>
      </c>
      <c r="DJ77">
        <f>DI77</f>
        <v>2872.84</v>
      </c>
      <c r="DK77">
        <v>1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ROW(Source!A91)</f>
        <v>91</v>
      </c>
      <c r="B78">
        <v>80308166</v>
      </c>
      <c r="C78">
        <v>80308641</v>
      </c>
      <c r="D78">
        <v>72850822</v>
      </c>
      <c r="E78">
        <v>114</v>
      </c>
      <c r="F78">
        <v>1</v>
      </c>
      <c r="G78">
        <v>1</v>
      </c>
      <c r="H78">
        <v>1</v>
      </c>
      <c r="I78" t="s">
        <v>450</v>
      </c>
      <c r="J78" t="s">
        <v>3</v>
      </c>
      <c r="K78" t="s">
        <v>451</v>
      </c>
      <c r="L78">
        <v>1191</v>
      </c>
      <c r="N78">
        <v>1013</v>
      </c>
      <c r="O78" t="s">
        <v>449</v>
      </c>
      <c r="P78" t="s">
        <v>449</v>
      </c>
      <c r="Q78">
        <v>1</v>
      </c>
      <c r="W78">
        <v>0</v>
      </c>
      <c r="X78">
        <v>-1417349443</v>
      </c>
      <c r="Y78">
        <f>(AT78*ROUND(1.25,7))</f>
        <v>0.05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3</v>
      </c>
      <c r="AT78">
        <v>0.04</v>
      </c>
      <c r="AU78" t="s">
        <v>48</v>
      </c>
      <c r="AV78">
        <v>2</v>
      </c>
      <c r="AW78">
        <v>2</v>
      </c>
      <c r="AX78">
        <v>80308654</v>
      </c>
      <c r="AY78">
        <v>1</v>
      </c>
      <c r="AZ78">
        <v>0</v>
      </c>
      <c r="BA78">
        <v>74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V78">
        <v>0</v>
      </c>
      <c r="CW78">
        <v>0</v>
      </c>
      <c r="CX78">
        <f>ROUND(Y78*Source!I91,7)</f>
        <v>0.05</v>
      </c>
      <c r="CY78">
        <f>AD78</f>
        <v>0</v>
      </c>
      <c r="CZ78">
        <f>AH78</f>
        <v>0</v>
      </c>
      <c r="DA78">
        <f>AL78</f>
        <v>1</v>
      </c>
      <c r="DB78">
        <f>ROUND((ROUND(AT78*CZ78,2)*ROUND(1.25,7)),6)</f>
        <v>0</v>
      </c>
      <c r="DC78">
        <f>ROUND((ROUND(AT78*AG78,2)*ROUND(1.25,7)),6)</f>
        <v>0</v>
      </c>
      <c r="DD78" t="s">
        <v>3</v>
      </c>
      <c r="DE78" t="s">
        <v>3</v>
      </c>
      <c r="DF78">
        <f t="shared" si="36"/>
        <v>0</v>
      </c>
      <c r="DG78">
        <f t="shared" si="30"/>
        <v>0</v>
      </c>
      <c r="DH78">
        <f t="shared" si="31"/>
        <v>0</v>
      </c>
      <c r="DI78">
        <f t="shared" si="32"/>
        <v>0</v>
      </c>
      <c r="DJ78">
        <f>DI78</f>
        <v>0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ROW(Source!A91)</f>
        <v>91</v>
      </c>
      <c r="B79">
        <v>80308166</v>
      </c>
      <c r="C79">
        <v>80308641</v>
      </c>
      <c r="D79">
        <v>72975268</v>
      </c>
      <c r="E79">
        <v>1</v>
      </c>
      <c r="F79">
        <v>1</v>
      </c>
      <c r="G79">
        <v>1</v>
      </c>
      <c r="H79">
        <v>2</v>
      </c>
      <c r="I79" t="s">
        <v>474</v>
      </c>
      <c r="J79" t="s">
        <v>475</v>
      </c>
      <c r="K79" t="s">
        <v>476</v>
      </c>
      <c r="L79">
        <v>1368</v>
      </c>
      <c r="N79">
        <v>1011</v>
      </c>
      <c r="O79" t="s">
        <v>455</v>
      </c>
      <c r="P79" t="s">
        <v>455</v>
      </c>
      <c r="Q79">
        <v>1</v>
      </c>
      <c r="W79">
        <v>0</v>
      </c>
      <c r="X79">
        <v>-468861091</v>
      </c>
      <c r="Y79">
        <f>(AT79*ROUND(1.25,7))</f>
        <v>2.5000000000000001E-2</v>
      </c>
      <c r="AA79">
        <v>0</v>
      </c>
      <c r="AB79">
        <v>1629.55</v>
      </c>
      <c r="AC79">
        <v>969.91</v>
      </c>
      <c r="AD79">
        <v>0</v>
      </c>
      <c r="AE79">
        <v>0</v>
      </c>
      <c r="AF79">
        <v>1629.55</v>
      </c>
      <c r="AG79">
        <v>969.91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0.02</v>
      </c>
      <c r="AU79" t="s">
        <v>48</v>
      </c>
      <c r="AV79">
        <v>1</v>
      </c>
      <c r="AW79">
        <v>2</v>
      </c>
      <c r="AX79">
        <v>80308655</v>
      </c>
      <c r="AY79">
        <v>1</v>
      </c>
      <c r="AZ79">
        <v>0</v>
      </c>
      <c r="BA79">
        <v>75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32.591000000000001</v>
      </c>
      <c r="BL79">
        <v>19.398199999999999</v>
      </c>
      <c r="BM79">
        <v>0</v>
      </c>
      <c r="BN79">
        <v>0</v>
      </c>
      <c r="BO79">
        <v>0.02</v>
      </c>
      <c r="BP79">
        <v>1</v>
      </c>
      <c r="BQ79">
        <v>0</v>
      </c>
      <c r="BR79">
        <v>40.738750000000003</v>
      </c>
      <c r="BS79">
        <v>24.24775</v>
      </c>
      <c r="BT79">
        <v>0</v>
      </c>
      <c r="BU79">
        <v>0</v>
      </c>
      <c r="BV79">
        <v>2.5000000000000001E-2</v>
      </c>
      <c r="BW79">
        <v>1</v>
      </c>
      <c r="CV79">
        <v>0</v>
      </c>
      <c r="CW79">
        <f>ROUND(Y79*Source!I91*DO79,7)</f>
        <v>2.5000000000000001E-2</v>
      </c>
      <c r="CX79">
        <f>ROUND(Y79*Source!I91,7)</f>
        <v>2.5000000000000001E-2</v>
      </c>
      <c r="CY79">
        <f>AB79</f>
        <v>1629.55</v>
      </c>
      <c r="CZ79">
        <f>AF79</f>
        <v>1629.55</v>
      </c>
      <c r="DA79">
        <f>AJ79</f>
        <v>1</v>
      </c>
      <c r="DB79">
        <f>ROUND((ROUND(AT79*CZ79,2)*ROUND(1.25,7)),6)</f>
        <v>40.737499999999997</v>
      </c>
      <c r="DC79">
        <f>ROUND((ROUND(AT79*AG79,2)*ROUND(1.25,7)),6)</f>
        <v>24.25</v>
      </c>
      <c r="DD79" t="s">
        <v>3</v>
      </c>
      <c r="DE79" t="s">
        <v>3</v>
      </c>
      <c r="DF79">
        <f t="shared" si="36"/>
        <v>0</v>
      </c>
      <c r="DG79">
        <f t="shared" si="30"/>
        <v>40.74</v>
      </c>
      <c r="DH79">
        <f t="shared" si="31"/>
        <v>24.25</v>
      </c>
      <c r="DI79">
        <f t="shared" si="32"/>
        <v>0</v>
      </c>
      <c r="DJ79">
        <f>DG79+DH79</f>
        <v>64.990000000000009</v>
      </c>
      <c r="DK79">
        <v>1</v>
      </c>
      <c r="DL79" t="s">
        <v>473</v>
      </c>
      <c r="DM79">
        <v>6</v>
      </c>
      <c r="DN79" t="s">
        <v>449</v>
      </c>
      <c r="DO79">
        <v>1</v>
      </c>
    </row>
    <row r="80" spans="1:119" x14ac:dyDescent="0.2">
      <c r="A80">
        <f>ROW(Source!A91)</f>
        <v>91</v>
      </c>
      <c r="B80">
        <v>80308166</v>
      </c>
      <c r="C80">
        <v>80308641</v>
      </c>
      <c r="D80">
        <v>72976159</v>
      </c>
      <c r="E80">
        <v>1</v>
      </c>
      <c r="F80">
        <v>1</v>
      </c>
      <c r="G80">
        <v>1</v>
      </c>
      <c r="H80">
        <v>2</v>
      </c>
      <c r="I80" t="s">
        <v>452</v>
      </c>
      <c r="J80" t="s">
        <v>453</v>
      </c>
      <c r="K80" t="s">
        <v>454</v>
      </c>
      <c r="L80">
        <v>1368</v>
      </c>
      <c r="N80">
        <v>1011</v>
      </c>
      <c r="O80" t="s">
        <v>455</v>
      </c>
      <c r="P80" t="s">
        <v>455</v>
      </c>
      <c r="Q80">
        <v>1</v>
      </c>
      <c r="W80">
        <v>0</v>
      </c>
      <c r="X80">
        <v>-1152394969</v>
      </c>
      <c r="Y80">
        <f>(AT80*ROUND(1.25,7))</f>
        <v>2.5000000000000001E-2</v>
      </c>
      <c r="AA80">
        <v>0</v>
      </c>
      <c r="AB80">
        <v>643.29</v>
      </c>
      <c r="AC80">
        <v>722.05</v>
      </c>
      <c r="AD80">
        <v>0</v>
      </c>
      <c r="AE80">
        <v>0</v>
      </c>
      <c r="AF80">
        <v>643.29</v>
      </c>
      <c r="AG80">
        <v>722.05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0.02</v>
      </c>
      <c r="AU80" t="s">
        <v>48</v>
      </c>
      <c r="AV80">
        <v>1</v>
      </c>
      <c r="AW80">
        <v>2</v>
      </c>
      <c r="AX80">
        <v>80308656</v>
      </c>
      <c r="AY80">
        <v>1</v>
      </c>
      <c r="AZ80">
        <v>0</v>
      </c>
      <c r="BA80">
        <v>76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12.8658</v>
      </c>
      <c r="BL80">
        <v>14.440999999999999</v>
      </c>
      <c r="BM80">
        <v>0</v>
      </c>
      <c r="BN80">
        <v>0</v>
      </c>
      <c r="BO80">
        <v>0.02</v>
      </c>
      <c r="BP80">
        <v>1</v>
      </c>
      <c r="BQ80">
        <v>0</v>
      </c>
      <c r="BR80">
        <v>16.082249999999998</v>
      </c>
      <c r="BS80">
        <v>18.05125</v>
      </c>
      <c r="BT80">
        <v>0</v>
      </c>
      <c r="BU80">
        <v>0</v>
      </c>
      <c r="BV80">
        <v>2.5000000000000001E-2</v>
      </c>
      <c r="BW80">
        <v>1</v>
      </c>
      <c r="CV80">
        <v>0</v>
      </c>
      <c r="CW80">
        <f>ROUND(Y80*Source!I91*DO80,7)</f>
        <v>2.5000000000000001E-2</v>
      </c>
      <c r="CX80">
        <f>ROUND(Y80*Source!I91,7)</f>
        <v>2.5000000000000001E-2</v>
      </c>
      <c r="CY80">
        <f>AB80</f>
        <v>643.29</v>
      </c>
      <c r="CZ80">
        <f>AF80</f>
        <v>643.29</v>
      </c>
      <c r="DA80">
        <f>AJ80</f>
        <v>1</v>
      </c>
      <c r="DB80">
        <f>ROUND((ROUND(AT80*CZ80,2)*ROUND(1.25,7)),6)</f>
        <v>16.087499999999999</v>
      </c>
      <c r="DC80">
        <f>ROUND((ROUND(AT80*AG80,2)*ROUND(1.25,7)),6)</f>
        <v>18.05</v>
      </c>
      <c r="DD80" t="s">
        <v>3</v>
      </c>
      <c r="DE80" t="s">
        <v>3</v>
      </c>
      <c r="DF80">
        <f t="shared" si="36"/>
        <v>0</v>
      </c>
      <c r="DG80">
        <f t="shared" si="30"/>
        <v>16.079999999999998</v>
      </c>
      <c r="DH80">
        <f t="shared" si="31"/>
        <v>18.05</v>
      </c>
      <c r="DI80">
        <f t="shared" si="32"/>
        <v>0</v>
      </c>
      <c r="DJ80">
        <f>DG80+DH80</f>
        <v>34.129999999999995</v>
      </c>
      <c r="DK80">
        <v>1</v>
      </c>
      <c r="DL80" t="s">
        <v>456</v>
      </c>
      <c r="DM80">
        <v>4</v>
      </c>
      <c r="DN80" t="s">
        <v>449</v>
      </c>
      <c r="DO80">
        <v>1</v>
      </c>
    </row>
    <row r="81" spans="1:119" x14ac:dyDescent="0.2">
      <c r="A81">
        <f>ROW(Source!A91)</f>
        <v>91</v>
      </c>
      <c r="B81">
        <v>80308166</v>
      </c>
      <c r="C81">
        <v>80308641</v>
      </c>
      <c r="D81">
        <v>72976354</v>
      </c>
      <c r="E81">
        <v>1</v>
      </c>
      <c r="F81">
        <v>1</v>
      </c>
      <c r="G81">
        <v>1</v>
      </c>
      <c r="H81">
        <v>2</v>
      </c>
      <c r="I81" t="s">
        <v>477</v>
      </c>
      <c r="J81" t="s">
        <v>478</v>
      </c>
      <c r="K81" t="s">
        <v>479</v>
      </c>
      <c r="L81">
        <v>1368</v>
      </c>
      <c r="N81">
        <v>1011</v>
      </c>
      <c r="O81" t="s">
        <v>455</v>
      </c>
      <c r="P81" t="s">
        <v>455</v>
      </c>
      <c r="Q81">
        <v>1</v>
      </c>
      <c r="W81">
        <v>0</v>
      </c>
      <c r="X81">
        <v>-334821386</v>
      </c>
      <c r="Y81">
        <f>(AT81*ROUND(1.25,7))</f>
        <v>1.5</v>
      </c>
      <c r="AA81">
        <v>0</v>
      </c>
      <c r="AB81">
        <v>32.26</v>
      </c>
      <c r="AC81">
        <v>0</v>
      </c>
      <c r="AD81">
        <v>0</v>
      </c>
      <c r="AE81">
        <v>0</v>
      </c>
      <c r="AF81">
        <v>32.26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3</v>
      </c>
      <c r="AT81">
        <v>1.2</v>
      </c>
      <c r="AU81" t="s">
        <v>48</v>
      </c>
      <c r="AV81">
        <v>1</v>
      </c>
      <c r="AW81">
        <v>2</v>
      </c>
      <c r="AX81">
        <v>80308657</v>
      </c>
      <c r="AY81">
        <v>1</v>
      </c>
      <c r="AZ81">
        <v>0</v>
      </c>
      <c r="BA81">
        <v>77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38.711999999999996</v>
      </c>
      <c r="BL81">
        <v>0</v>
      </c>
      <c r="BM81">
        <v>0</v>
      </c>
      <c r="BN81">
        <v>0</v>
      </c>
      <c r="BO81">
        <v>0</v>
      </c>
      <c r="BP81">
        <v>1</v>
      </c>
      <c r="BQ81">
        <v>0</v>
      </c>
      <c r="BR81">
        <v>48.39</v>
      </c>
      <c r="BS81">
        <v>0</v>
      </c>
      <c r="BT81">
        <v>0</v>
      </c>
      <c r="BU81">
        <v>0</v>
      </c>
      <c r="BV81">
        <v>0</v>
      </c>
      <c r="BW81">
        <v>1</v>
      </c>
      <c r="CV81">
        <v>0</v>
      </c>
      <c r="CW81">
        <f>ROUND(Y81*Source!I91*DO81,7)</f>
        <v>0</v>
      </c>
      <c r="CX81">
        <f>ROUND(Y81*Source!I91,7)</f>
        <v>1.5</v>
      </c>
      <c r="CY81">
        <f>AB81</f>
        <v>32.26</v>
      </c>
      <c r="CZ81">
        <f>AF81</f>
        <v>32.26</v>
      </c>
      <c r="DA81">
        <f>AJ81</f>
        <v>1</v>
      </c>
      <c r="DB81">
        <f>ROUND((ROUND(AT81*CZ81,2)*ROUND(1.25,7)),6)</f>
        <v>48.387500000000003</v>
      </c>
      <c r="DC81">
        <f>ROUND((ROUND(AT81*AG81,2)*ROUND(1.25,7)),6)</f>
        <v>0</v>
      </c>
      <c r="DD81" t="s">
        <v>3</v>
      </c>
      <c r="DE81" t="s">
        <v>3</v>
      </c>
      <c r="DF81">
        <f t="shared" si="36"/>
        <v>0</v>
      </c>
      <c r="DG81">
        <f t="shared" si="30"/>
        <v>48.39</v>
      </c>
      <c r="DH81">
        <f t="shared" si="31"/>
        <v>0</v>
      </c>
      <c r="DI81">
        <f t="shared" si="32"/>
        <v>0</v>
      </c>
      <c r="DJ81">
        <f>DG81+DH81</f>
        <v>48.39</v>
      </c>
      <c r="DK81">
        <v>1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ROW(Source!A91)</f>
        <v>91</v>
      </c>
      <c r="B82">
        <v>80308166</v>
      </c>
      <c r="C82">
        <v>80308641</v>
      </c>
      <c r="D82">
        <v>72919974</v>
      </c>
      <c r="E82">
        <v>1</v>
      </c>
      <c r="F82">
        <v>1</v>
      </c>
      <c r="G82">
        <v>1</v>
      </c>
      <c r="H82">
        <v>3</v>
      </c>
      <c r="I82" t="s">
        <v>532</v>
      </c>
      <c r="J82" t="s">
        <v>533</v>
      </c>
      <c r="K82" t="s">
        <v>534</v>
      </c>
      <c r="L82">
        <v>1348</v>
      </c>
      <c r="N82">
        <v>1009</v>
      </c>
      <c r="O82" t="s">
        <v>35</v>
      </c>
      <c r="P82" t="s">
        <v>35</v>
      </c>
      <c r="Q82">
        <v>1000</v>
      </c>
      <c r="W82">
        <v>0</v>
      </c>
      <c r="X82">
        <v>-1093393206</v>
      </c>
      <c r="Y82">
        <f t="shared" ref="Y82:Y87" si="37">AT82</f>
        <v>3.0000000000000001E-3</v>
      </c>
      <c r="AA82">
        <v>62637.81</v>
      </c>
      <c r="AB82">
        <v>0</v>
      </c>
      <c r="AC82">
        <v>0</v>
      </c>
      <c r="AD82">
        <v>0</v>
      </c>
      <c r="AE82">
        <v>50110.25</v>
      </c>
      <c r="AF82">
        <v>0</v>
      </c>
      <c r="AG82">
        <v>0</v>
      </c>
      <c r="AH82">
        <v>0</v>
      </c>
      <c r="AI82">
        <v>1.25</v>
      </c>
      <c r="AJ82">
        <v>1</v>
      </c>
      <c r="AK82">
        <v>1</v>
      </c>
      <c r="AL82">
        <v>1</v>
      </c>
      <c r="AM82">
        <v>2</v>
      </c>
      <c r="AN82">
        <v>0</v>
      </c>
      <c r="AO82">
        <v>0</v>
      </c>
      <c r="AP82">
        <v>1</v>
      </c>
      <c r="AQ82">
        <v>1</v>
      </c>
      <c r="AR82">
        <v>0</v>
      </c>
      <c r="AS82" t="s">
        <v>3</v>
      </c>
      <c r="AT82">
        <v>3.0000000000000001E-3</v>
      </c>
      <c r="AU82" t="s">
        <v>3</v>
      </c>
      <c r="AV82">
        <v>0</v>
      </c>
      <c r="AW82">
        <v>2</v>
      </c>
      <c r="AX82">
        <v>80308658</v>
      </c>
      <c r="AY82">
        <v>1</v>
      </c>
      <c r="AZ82">
        <v>0</v>
      </c>
      <c r="BA82">
        <v>78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150.33074999999999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150.33074999999999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CV82">
        <v>0</v>
      </c>
      <c r="CW82">
        <v>0</v>
      </c>
      <c r="CX82">
        <f>ROUND(Y82*Source!I91,7)</f>
        <v>3.0000000000000001E-3</v>
      </c>
      <c r="CY82">
        <f t="shared" ref="CY82:CY87" si="38">AA82</f>
        <v>62637.81</v>
      </c>
      <c r="CZ82">
        <f t="shared" ref="CZ82:CZ87" si="39">AE82</f>
        <v>50110.25</v>
      </c>
      <c r="DA82">
        <f t="shared" ref="DA82:DA87" si="40">AI82</f>
        <v>1.25</v>
      </c>
      <c r="DB82">
        <f t="shared" ref="DB82:DB87" si="41">ROUND(ROUND(AT82*CZ82,2),6)</f>
        <v>150.33000000000001</v>
      </c>
      <c r="DC82">
        <f t="shared" ref="DC82:DC87" si="42">ROUND(ROUND(AT82*AG82,2),6)</f>
        <v>0</v>
      </c>
      <c r="DD82" t="s">
        <v>3</v>
      </c>
      <c r="DE82" t="s">
        <v>3</v>
      </c>
      <c r="DF82">
        <f>ROUND(ROUND(AE82*AI82,2)*CX82,2)</f>
        <v>187.91</v>
      </c>
      <c r="DG82">
        <f t="shared" si="30"/>
        <v>0</v>
      </c>
      <c r="DH82">
        <f t="shared" si="31"/>
        <v>0</v>
      </c>
      <c r="DI82">
        <f t="shared" si="32"/>
        <v>0</v>
      </c>
      <c r="DJ82">
        <f t="shared" ref="DJ82:DJ87" si="43">DF82</f>
        <v>187.91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ROW(Source!A91)</f>
        <v>91</v>
      </c>
      <c r="B83">
        <v>80308166</v>
      </c>
      <c r="C83">
        <v>80308641</v>
      </c>
      <c r="D83">
        <v>72919988</v>
      </c>
      <c r="E83">
        <v>1</v>
      </c>
      <c r="F83">
        <v>1</v>
      </c>
      <c r="G83">
        <v>1</v>
      </c>
      <c r="H83">
        <v>3</v>
      </c>
      <c r="I83" t="s">
        <v>457</v>
      </c>
      <c r="J83" t="s">
        <v>458</v>
      </c>
      <c r="K83" t="s">
        <v>459</v>
      </c>
      <c r="L83">
        <v>1407</v>
      </c>
      <c r="N83">
        <v>1013</v>
      </c>
      <c r="O83" t="s">
        <v>460</v>
      </c>
      <c r="P83" t="s">
        <v>460</v>
      </c>
      <c r="Q83">
        <v>1</v>
      </c>
      <c r="W83">
        <v>0</v>
      </c>
      <c r="X83">
        <v>-819936498</v>
      </c>
      <c r="Y83">
        <f t="shared" si="37"/>
        <v>4.0000000000000001E-3</v>
      </c>
      <c r="AA83">
        <v>16142.86</v>
      </c>
      <c r="AB83">
        <v>0</v>
      </c>
      <c r="AC83">
        <v>0</v>
      </c>
      <c r="AD83">
        <v>0</v>
      </c>
      <c r="AE83">
        <v>13680.39</v>
      </c>
      <c r="AF83">
        <v>0</v>
      </c>
      <c r="AG83">
        <v>0</v>
      </c>
      <c r="AH83">
        <v>0</v>
      </c>
      <c r="AI83">
        <v>1.18</v>
      </c>
      <c r="AJ83">
        <v>1</v>
      </c>
      <c r="AK83">
        <v>1</v>
      </c>
      <c r="AL83">
        <v>1</v>
      </c>
      <c r="AM83">
        <v>2</v>
      </c>
      <c r="AN83">
        <v>0</v>
      </c>
      <c r="AO83">
        <v>0</v>
      </c>
      <c r="AP83">
        <v>1</v>
      </c>
      <c r="AQ83">
        <v>1</v>
      </c>
      <c r="AR83">
        <v>0</v>
      </c>
      <c r="AS83" t="s">
        <v>3</v>
      </c>
      <c r="AT83">
        <v>4.0000000000000001E-3</v>
      </c>
      <c r="AU83" t="s">
        <v>3</v>
      </c>
      <c r="AV83">
        <v>0</v>
      </c>
      <c r="AW83">
        <v>2</v>
      </c>
      <c r="AX83">
        <v>80308659</v>
      </c>
      <c r="AY83">
        <v>1</v>
      </c>
      <c r="AZ83">
        <v>0</v>
      </c>
      <c r="BA83">
        <v>79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54.721559999999997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54.721559999999997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</v>
      </c>
      <c r="CV83">
        <v>0</v>
      </c>
      <c r="CW83">
        <v>0</v>
      </c>
      <c r="CX83">
        <f>ROUND(Y83*Source!I91,7)</f>
        <v>4.0000000000000001E-3</v>
      </c>
      <c r="CY83">
        <f t="shared" si="38"/>
        <v>16142.86</v>
      </c>
      <c r="CZ83">
        <f t="shared" si="39"/>
        <v>13680.39</v>
      </c>
      <c r="DA83">
        <f t="shared" si="40"/>
        <v>1.18</v>
      </c>
      <c r="DB83">
        <f t="shared" si="41"/>
        <v>54.72</v>
      </c>
      <c r="DC83">
        <f t="shared" si="42"/>
        <v>0</v>
      </c>
      <c r="DD83" t="s">
        <v>3</v>
      </c>
      <c r="DE83" t="s">
        <v>3</v>
      </c>
      <c r="DF83">
        <f>ROUND(ROUND(AE83*AI83,2)*CX83,2)</f>
        <v>64.569999999999993</v>
      </c>
      <c r="DG83">
        <f t="shared" si="30"/>
        <v>0</v>
      </c>
      <c r="DH83">
        <f t="shared" si="31"/>
        <v>0</v>
      </c>
      <c r="DI83">
        <f t="shared" si="32"/>
        <v>0</v>
      </c>
      <c r="DJ83">
        <f t="shared" si="43"/>
        <v>64.569999999999993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ROW(Source!A91)</f>
        <v>91</v>
      </c>
      <c r="B84">
        <v>80308166</v>
      </c>
      <c r="C84">
        <v>80308641</v>
      </c>
      <c r="D84">
        <v>72923110</v>
      </c>
      <c r="E84">
        <v>1</v>
      </c>
      <c r="F84">
        <v>1</v>
      </c>
      <c r="G84">
        <v>1</v>
      </c>
      <c r="H84">
        <v>3</v>
      </c>
      <c r="I84" t="s">
        <v>480</v>
      </c>
      <c r="J84" t="s">
        <v>481</v>
      </c>
      <c r="K84" t="s">
        <v>482</v>
      </c>
      <c r="L84">
        <v>1346</v>
      </c>
      <c r="N84">
        <v>1009</v>
      </c>
      <c r="O84" t="s">
        <v>295</v>
      </c>
      <c r="P84" t="s">
        <v>295</v>
      </c>
      <c r="Q84">
        <v>1</v>
      </c>
      <c r="W84">
        <v>0</v>
      </c>
      <c r="X84">
        <v>212334824</v>
      </c>
      <c r="Y84">
        <f t="shared" si="37"/>
        <v>1</v>
      </c>
      <c r="AA84">
        <v>121.39</v>
      </c>
      <c r="AB84">
        <v>0</v>
      </c>
      <c r="AC84">
        <v>0</v>
      </c>
      <c r="AD84">
        <v>0</v>
      </c>
      <c r="AE84">
        <v>155.63</v>
      </c>
      <c r="AF84">
        <v>0</v>
      </c>
      <c r="AG84">
        <v>0</v>
      </c>
      <c r="AH84">
        <v>0</v>
      </c>
      <c r="AI84">
        <v>0.78</v>
      </c>
      <c r="AJ84">
        <v>1</v>
      </c>
      <c r="AK84">
        <v>1</v>
      </c>
      <c r="AL84">
        <v>1</v>
      </c>
      <c r="AM84">
        <v>2</v>
      </c>
      <c r="AN84">
        <v>0</v>
      </c>
      <c r="AO84">
        <v>0</v>
      </c>
      <c r="AP84">
        <v>1</v>
      </c>
      <c r="AQ84">
        <v>1</v>
      </c>
      <c r="AR84">
        <v>0</v>
      </c>
      <c r="AS84" t="s">
        <v>3</v>
      </c>
      <c r="AT84">
        <v>1</v>
      </c>
      <c r="AU84" t="s">
        <v>3</v>
      </c>
      <c r="AV84">
        <v>0</v>
      </c>
      <c r="AW84">
        <v>2</v>
      </c>
      <c r="AX84">
        <v>80308660</v>
      </c>
      <c r="AY84">
        <v>1</v>
      </c>
      <c r="AZ84">
        <v>0</v>
      </c>
      <c r="BA84">
        <v>80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155.63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155.63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1</v>
      </c>
      <c r="CV84">
        <v>0</v>
      </c>
      <c r="CW84">
        <v>0</v>
      </c>
      <c r="CX84">
        <f>ROUND(Y84*Source!I91,7)</f>
        <v>1</v>
      </c>
      <c r="CY84">
        <f t="shared" si="38"/>
        <v>121.39</v>
      </c>
      <c r="CZ84">
        <f t="shared" si="39"/>
        <v>155.63</v>
      </c>
      <c r="DA84">
        <f t="shared" si="40"/>
        <v>0.78</v>
      </c>
      <c r="DB84">
        <f t="shared" si="41"/>
        <v>155.63</v>
      </c>
      <c r="DC84">
        <f t="shared" si="42"/>
        <v>0</v>
      </c>
      <c r="DD84" t="s">
        <v>3</v>
      </c>
      <c r="DE84" t="s">
        <v>3</v>
      </c>
      <c r="DF84">
        <f>ROUND(ROUND(AE84*AI84,2)*CX84,2)</f>
        <v>121.39</v>
      </c>
      <c r="DG84">
        <f t="shared" si="30"/>
        <v>0</v>
      </c>
      <c r="DH84">
        <f t="shared" si="31"/>
        <v>0</v>
      </c>
      <c r="DI84">
        <f t="shared" si="32"/>
        <v>0</v>
      </c>
      <c r="DJ84">
        <f t="shared" si="43"/>
        <v>121.39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ROW(Source!A91)</f>
        <v>91</v>
      </c>
      <c r="B85">
        <v>80308166</v>
      </c>
      <c r="C85">
        <v>80308641</v>
      </c>
      <c r="D85">
        <v>72923820</v>
      </c>
      <c r="E85">
        <v>1</v>
      </c>
      <c r="F85">
        <v>1</v>
      </c>
      <c r="G85">
        <v>1</v>
      </c>
      <c r="H85">
        <v>3</v>
      </c>
      <c r="I85" t="s">
        <v>535</v>
      </c>
      <c r="J85" t="s">
        <v>536</v>
      </c>
      <c r="K85" t="s">
        <v>537</v>
      </c>
      <c r="L85">
        <v>1348</v>
      </c>
      <c r="N85">
        <v>1009</v>
      </c>
      <c r="O85" t="s">
        <v>35</v>
      </c>
      <c r="P85" t="s">
        <v>35</v>
      </c>
      <c r="Q85">
        <v>1000</v>
      </c>
      <c r="W85">
        <v>0</v>
      </c>
      <c r="X85">
        <v>713830522</v>
      </c>
      <c r="Y85">
        <f t="shared" si="37"/>
        <v>2.0200000000000001E-3</v>
      </c>
      <c r="AA85">
        <v>147652.14000000001</v>
      </c>
      <c r="AB85">
        <v>0</v>
      </c>
      <c r="AC85">
        <v>0</v>
      </c>
      <c r="AD85">
        <v>0</v>
      </c>
      <c r="AE85">
        <v>135460.68</v>
      </c>
      <c r="AF85">
        <v>0</v>
      </c>
      <c r="AG85">
        <v>0</v>
      </c>
      <c r="AH85">
        <v>0</v>
      </c>
      <c r="AI85">
        <v>1.0900000000000001</v>
      </c>
      <c r="AJ85">
        <v>1</v>
      </c>
      <c r="AK85">
        <v>1</v>
      </c>
      <c r="AL85">
        <v>1</v>
      </c>
      <c r="AM85">
        <v>2</v>
      </c>
      <c r="AN85">
        <v>0</v>
      </c>
      <c r="AO85">
        <v>0</v>
      </c>
      <c r="AP85">
        <v>1</v>
      </c>
      <c r="AQ85">
        <v>1</v>
      </c>
      <c r="AR85">
        <v>0</v>
      </c>
      <c r="AS85" t="s">
        <v>3</v>
      </c>
      <c r="AT85">
        <v>2.0200000000000001E-3</v>
      </c>
      <c r="AU85" t="s">
        <v>3</v>
      </c>
      <c r="AV85">
        <v>0</v>
      </c>
      <c r="AW85">
        <v>2</v>
      </c>
      <c r="AX85">
        <v>80308661</v>
      </c>
      <c r="AY85">
        <v>1</v>
      </c>
      <c r="AZ85">
        <v>0</v>
      </c>
      <c r="BA85">
        <v>81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273.63057359999999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1</v>
      </c>
      <c r="BQ85">
        <v>273.63057359999999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1</v>
      </c>
      <c r="CV85">
        <v>0</v>
      </c>
      <c r="CW85">
        <v>0</v>
      </c>
      <c r="CX85">
        <f>ROUND(Y85*Source!I91,7)</f>
        <v>2.0200000000000001E-3</v>
      </c>
      <c r="CY85">
        <f t="shared" si="38"/>
        <v>147652.14000000001</v>
      </c>
      <c r="CZ85">
        <f t="shared" si="39"/>
        <v>135460.68</v>
      </c>
      <c r="DA85">
        <f t="shared" si="40"/>
        <v>1.0900000000000001</v>
      </c>
      <c r="DB85">
        <f t="shared" si="41"/>
        <v>273.63</v>
      </c>
      <c r="DC85">
        <f t="shared" si="42"/>
        <v>0</v>
      </c>
      <c r="DD85" t="s">
        <v>3</v>
      </c>
      <c r="DE85" t="s">
        <v>3</v>
      </c>
      <c r="DF85">
        <f>ROUND(ROUND(AE85*AI85,2)*CX85,2)</f>
        <v>298.26</v>
      </c>
      <c r="DG85">
        <f t="shared" si="30"/>
        <v>0</v>
      </c>
      <c r="DH85">
        <f t="shared" si="31"/>
        <v>0</v>
      </c>
      <c r="DI85">
        <f t="shared" si="32"/>
        <v>0</v>
      </c>
      <c r="DJ85">
        <f t="shared" si="43"/>
        <v>298.26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ROW(Source!A91)</f>
        <v>91</v>
      </c>
      <c r="B86">
        <v>80308166</v>
      </c>
      <c r="C86">
        <v>80308641</v>
      </c>
      <c r="D86">
        <v>72945116</v>
      </c>
      <c r="E86">
        <v>1</v>
      </c>
      <c r="F86">
        <v>1</v>
      </c>
      <c r="G86">
        <v>1</v>
      </c>
      <c r="H86">
        <v>3</v>
      </c>
      <c r="I86" t="s">
        <v>538</v>
      </c>
      <c r="J86" t="s">
        <v>539</v>
      </c>
      <c r="K86" t="s">
        <v>540</v>
      </c>
      <c r="L86">
        <v>1371</v>
      </c>
      <c r="N86">
        <v>1013</v>
      </c>
      <c r="O86" t="s">
        <v>30</v>
      </c>
      <c r="P86" t="s">
        <v>30</v>
      </c>
      <c r="Q86">
        <v>1</v>
      </c>
      <c r="W86">
        <v>0</v>
      </c>
      <c r="X86">
        <v>2023755169</v>
      </c>
      <c r="Y86">
        <f t="shared" si="37"/>
        <v>1</v>
      </c>
      <c r="AA86">
        <v>5411.93</v>
      </c>
      <c r="AB86">
        <v>0</v>
      </c>
      <c r="AC86">
        <v>0</v>
      </c>
      <c r="AD86">
        <v>0</v>
      </c>
      <c r="AE86">
        <v>5411.93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3</v>
      </c>
      <c r="AT86">
        <v>1</v>
      </c>
      <c r="AU86" t="s">
        <v>3</v>
      </c>
      <c r="AV86">
        <v>0</v>
      </c>
      <c r="AW86">
        <v>1</v>
      </c>
      <c r="AX86">
        <v>-1</v>
      </c>
      <c r="AY86">
        <v>0</v>
      </c>
      <c r="AZ86">
        <v>0</v>
      </c>
      <c r="BA86" t="s">
        <v>3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5411.93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5411.93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1</v>
      </c>
      <c r="CV86">
        <v>0</v>
      </c>
      <c r="CW86">
        <v>0</v>
      </c>
      <c r="CX86">
        <f>ROUND(Y86*Source!I91,7)</f>
        <v>1</v>
      </c>
      <c r="CY86">
        <f t="shared" si="38"/>
        <v>5411.93</v>
      </c>
      <c r="CZ86">
        <f t="shared" si="39"/>
        <v>5411.93</v>
      </c>
      <c r="DA86">
        <f t="shared" si="40"/>
        <v>1</v>
      </c>
      <c r="DB86">
        <f t="shared" si="41"/>
        <v>5411.93</v>
      </c>
      <c r="DC86">
        <f t="shared" si="42"/>
        <v>0</v>
      </c>
      <c r="DD86" t="s">
        <v>3</v>
      </c>
      <c r="DE86" t="s">
        <v>3</v>
      </c>
      <c r="DF86">
        <f>ROUND(ROUND(AE86,2)*CX86,2)</f>
        <v>5411.93</v>
      </c>
      <c r="DG86">
        <f t="shared" si="30"/>
        <v>0</v>
      </c>
      <c r="DH86">
        <f t="shared" si="31"/>
        <v>0</v>
      </c>
      <c r="DI86">
        <f t="shared" si="32"/>
        <v>0</v>
      </c>
      <c r="DJ86">
        <f t="shared" si="43"/>
        <v>5411.93</v>
      </c>
      <c r="DK86">
        <v>0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ROW(Source!A91)</f>
        <v>91</v>
      </c>
      <c r="B87">
        <v>80308166</v>
      </c>
      <c r="C87">
        <v>80308641</v>
      </c>
      <c r="D87">
        <v>77536582</v>
      </c>
      <c r="E87">
        <v>1</v>
      </c>
      <c r="F87">
        <v>1</v>
      </c>
      <c r="G87">
        <v>1</v>
      </c>
      <c r="H87">
        <v>3</v>
      </c>
      <c r="I87" t="s">
        <v>210</v>
      </c>
      <c r="J87" t="s">
        <v>212</v>
      </c>
      <c r="K87" t="s">
        <v>211</v>
      </c>
      <c r="L87">
        <v>1371</v>
      </c>
      <c r="N87">
        <v>1013</v>
      </c>
      <c r="O87" t="s">
        <v>30</v>
      </c>
      <c r="P87" t="s">
        <v>30</v>
      </c>
      <c r="Q87">
        <v>1</v>
      </c>
      <c r="W87">
        <v>0</v>
      </c>
      <c r="X87">
        <v>392518138</v>
      </c>
      <c r="Y87">
        <f t="shared" si="37"/>
        <v>4</v>
      </c>
      <c r="AA87">
        <v>758.82</v>
      </c>
      <c r="AB87">
        <v>0</v>
      </c>
      <c r="AC87">
        <v>0</v>
      </c>
      <c r="AD87">
        <v>0</v>
      </c>
      <c r="AE87">
        <v>683.62</v>
      </c>
      <c r="AF87">
        <v>0</v>
      </c>
      <c r="AG87">
        <v>0</v>
      </c>
      <c r="AH87">
        <v>0</v>
      </c>
      <c r="AI87">
        <v>1.1100000000000001</v>
      </c>
      <c r="AJ87">
        <v>1</v>
      </c>
      <c r="AK87">
        <v>1</v>
      </c>
      <c r="AL87">
        <v>1</v>
      </c>
      <c r="AM87">
        <v>2</v>
      </c>
      <c r="AN87">
        <v>0</v>
      </c>
      <c r="AO87">
        <v>0</v>
      </c>
      <c r="AP87">
        <v>1</v>
      </c>
      <c r="AQ87">
        <v>0</v>
      </c>
      <c r="AR87">
        <v>0</v>
      </c>
      <c r="AS87" t="s">
        <v>3</v>
      </c>
      <c r="AT87">
        <v>4</v>
      </c>
      <c r="AU87" t="s">
        <v>3</v>
      </c>
      <c r="AV87">
        <v>0</v>
      </c>
      <c r="AW87">
        <v>1</v>
      </c>
      <c r="AX87">
        <v>-1</v>
      </c>
      <c r="AY87">
        <v>0</v>
      </c>
      <c r="AZ87">
        <v>0</v>
      </c>
      <c r="BA87" t="s">
        <v>3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V87">
        <v>0</v>
      </c>
      <c r="CW87">
        <v>0</v>
      </c>
      <c r="CX87">
        <f>ROUND(Y87*Source!I91,7)</f>
        <v>4</v>
      </c>
      <c r="CY87">
        <f t="shared" si="38"/>
        <v>758.82</v>
      </c>
      <c r="CZ87">
        <f t="shared" si="39"/>
        <v>683.62</v>
      </c>
      <c r="DA87">
        <f t="shared" si="40"/>
        <v>1.1100000000000001</v>
      </c>
      <c r="DB87">
        <f t="shared" si="41"/>
        <v>2734.48</v>
      </c>
      <c r="DC87">
        <f t="shared" si="42"/>
        <v>0</v>
      </c>
      <c r="DD87" t="s">
        <v>3</v>
      </c>
      <c r="DE87" t="s">
        <v>3</v>
      </c>
      <c r="DF87">
        <f>ROUND(ROUND(AE87*AI87,2)*CX87,2)</f>
        <v>3035.28</v>
      </c>
      <c r="DG87">
        <f t="shared" si="30"/>
        <v>0</v>
      </c>
      <c r="DH87">
        <f t="shared" si="31"/>
        <v>0</v>
      </c>
      <c r="DI87">
        <f t="shared" si="32"/>
        <v>0</v>
      </c>
      <c r="DJ87">
        <f t="shared" si="43"/>
        <v>3035.28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ROW(Source!A93)</f>
        <v>93</v>
      </c>
      <c r="B88">
        <v>80308166</v>
      </c>
      <c r="C88">
        <v>80308665</v>
      </c>
      <c r="D88">
        <v>72850641</v>
      </c>
      <c r="E88">
        <v>114</v>
      </c>
      <c r="F88">
        <v>1</v>
      </c>
      <c r="G88">
        <v>1</v>
      </c>
      <c r="H88">
        <v>1</v>
      </c>
      <c r="I88" t="s">
        <v>530</v>
      </c>
      <c r="J88" t="s">
        <v>3</v>
      </c>
      <c r="K88" t="s">
        <v>531</v>
      </c>
      <c r="L88">
        <v>1191</v>
      </c>
      <c r="N88">
        <v>1013</v>
      </c>
      <c r="O88" t="s">
        <v>449</v>
      </c>
      <c r="P88" t="s">
        <v>449</v>
      </c>
      <c r="Q88">
        <v>1</v>
      </c>
      <c r="W88">
        <v>0</v>
      </c>
      <c r="X88">
        <v>-1105933552</v>
      </c>
      <c r="Y88">
        <f>(AT88*ROUND(1.15,7))</f>
        <v>4.117</v>
      </c>
      <c r="AA88">
        <v>0</v>
      </c>
      <c r="AB88">
        <v>0</v>
      </c>
      <c r="AC88">
        <v>0</v>
      </c>
      <c r="AD88">
        <v>697.8</v>
      </c>
      <c r="AE88">
        <v>0</v>
      </c>
      <c r="AF88">
        <v>0</v>
      </c>
      <c r="AG88">
        <v>0</v>
      </c>
      <c r="AH88">
        <v>697.8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3</v>
      </c>
      <c r="AT88">
        <v>3.58</v>
      </c>
      <c r="AU88" t="s">
        <v>49</v>
      </c>
      <c r="AV88">
        <v>1</v>
      </c>
      <c r="AW88">
        <v>2</v>
      </c>
      <c r="AX88">
        <v>80308677</v>
      </c>
      <c r="AY88">
        <v>1</v>
      </c>
      <c r="AZ88">
        <v>0</v>
      </c>
      <c r="BA88">
        <v>84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2498.1239999999998</v>
      </c>
      <c r="BN88">
        <v>3.58</v>
      </c>
      <c r="BO88">
        <v>0</v>
      </c>
      <c r="BP88">
        <v>1</v>
      </c>
      <c r="BQ88">
        <v>0</v>
      </c>
      <c r="BR88">
        <v>0</v>
      </c>
      <c r="BS88">
        <v>0</v>
      </c>
      <c r="BT88">
        <v>2872.8425999999999</v>
      </c>
      <c r="BU88">
        <v>4.117</v>
      </c>
      <c r="BV88">
        <v>0</v>
      </c>
      <c r="BW88">
        <v>1</v>
      </c>
      <c r="CU88">
        <f>ROUND(AT88*Source!I93*AH88*AL88,2)</f>
        <v>2498.12</v>
      </c>
      <c r="CV88">
        <f>ROUND(Y88*Source!I93,7)</f>
        <v>4.117</v>
      </c>
      <c r="CW88">
        <v>0</v>
      </c>
      <c r="CX88">
        <f>ROUND(Y88*Source!I93,7)</f>
        <v>4.117</v>
      </c>
      <c r="CY88">
        <f>AD88</f>
        <v>697.8</v>
      </c>
      <c r="CZ88">
        <f>AH88</f>
        <v>697.8</v>
      </c>
      <c r="DA88">
        <f>AL88</f>
        <v>1</v>
      </c>
      <c r="DB88">
        <f>ROUND((ROUND(AT88*CZ88,2)*ROUND(1.15,7)),6)</f>
        <v>2872.8380000000002</v>
      </c>
      <c r="DC88">
        <f>ROUND((ROUND(AT88*AG88,2)*ROUND(1.15,7)),6)</f>
        <v>0</v>
      </c>
      <c r="DD88" t="s">
        <v>3</v>
      </c>
      <c r="DE88" t="s">
        <v>3</v>
      </c>
      <c r="DF88">
        <f>ROUND(ROUND(AE88,2)*CX88,2)</f>
        <v>0</v>
      </c>
      <c r="DG88">
        <f t="shared" si="30"/>
        <v>0</v>
      </c>
      <c r="DH88">
        <f t="shared" si="31"/>
        <v>0</v>
      </c>
      <c r="DI88">
        <f t="shared" si="32"/>
        <v>2872.84</v>
      </c>
      <c r="DJ88">
        <f>DI88</f>
        <v>2872.84</v>
      </c>
      <c r="DK88">
        <v>1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ROW(Source!A93)</f>
        <v>93</v>
      </c>
      <c r="B89">
        <v>80308166</v>
      </c>
      <c r="C89">
        <v>80308665</v>
      </c>
      <c r="D89">
        <v>72850822</v>
      </c>
      <c r="E89">
        <v>114</v>
      </c>
      <c r="F89">
        <v>1</v>
      </c>
      <c r="G89">
        <v>1</v>
      </c>
      <c r="H89">
        <v>1</v>
      </c>
      <c r="I89" t="s">
        <v>450</v>
      </c>
      <c r="J89" t="s">
        <v>3</v>
      </c>
      <c r="K89" t="s">
        <v>451</v>
      </c>
      <c r="L89">
        <v>1191</v>
      </c>
      <c r="N89">
        <v>1013</v>
      </c>
      <c r="O89" t="s">
        <v>449</v>
      </c>
      <c r="P89" t="s">
        <v>449</v>
      </c>
      <c r="Q89">
        <v>1</v>
      </c>
      <c r="W89">
        <v>0</v>
      </c>
      <c r="X89">
        <v>-1417349443</v>
      </c>
      <c r="Y89">
        <f>(AT89*ROUND(1.25,7))</f>
        <v>0.05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3</v>
      </c>
      <c r="AT89">
        <v>0.04</v>
      </c>
      <c r="AU89" t="s">
        <v>48</v>
      </c>
      <c r="AV89">
        <v>2</v>
      </c>
      <c r="AW89">
        <v>2</v>
      </c>
      <c r="AX89">
        <v>80308678</v>
      </c>
      <c r="AY89">
        <v>1</v>
      </c>
      <c r="AZ89">
        <v>0</v>
      </c>
      <c r="BA89">
        <v>85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V89">
        <v>0</v>
      </c>
      <c r="CW89">
        <v>0</v>
      </c>
      <c r="CX89">
        <f>ROUND(Y89*Source!I93,7)</f>
        <v>0.05</v>
      </c>
      <c r="CY89">
        <f>AD89</f>
        <v>0</v>
      </c>
      <c r="CZ89">
        <f>AH89</f>
        <v>0</v>
      </c>
      <c r="DA89">
        <f>AL89</f>
        <v>1</v>
      </c>
      <c r="DB89">
        <f>ROUND((ROUND(AT89*CZ89,2)*ROUND(1.25,7)),6)</f>
        <v>0</v>
      </c>
      <c r="DC89">
        <f>ROUND((ROUND(AT89*AG89,2)*ROUND(1.25,7)),6)</f>
        <v>0</v>
      </c>
      <c r="DD89" t="s">
        <v>3</v>
      </c>
      <c r="DE89" t="s">
        <v>3</v>
      </c>
      <c r="DF89">
        <f>ROUND(ROUND(AE89,2)*CX89,2)</f>
        <v>0</v>
      </c>
      <c r="DG89">
        <f t="shared" si="30"/>
        <v>0</v>
      </c>
      <c r="DH89">
        <f t="shared" si="31"/>
        <v>0</v>
      </c>
      <c r="DI89">
        <f t="shared" si="32"/>
        <v>0</v>
      </c>
      <c r="DJ89">
        <f>DI89</f>
        <v>0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ROW(Source!A93)</f>
        <v>93</v>
      </c>
      <c r="B90">
        <v>80308166</v>
      </c>
      <c r="C90">
        <v>80308665</v>
      </c>
      <c r="D90">
        <v>72975268</v>
      </c>
      <c r="E90">
        <v>1</v>
      </c>
      <c r="F90">
        <v>1</v>
      </c>
      <c r="G90">
        <v>1</v>
      </c>
      <c r="H90">
        <v>2</v>
      </c>
      <c r="I90" t="s">
        <v>474</v>
      </c>
      <c r="J90" t="s">
        <v>475</v>
      </c>
      <c r="K90" t="s">
        <v>476</v>
      </c>
      <c r="L90">
        <v>1368</v>
      </c>
      <c r="N90">
        <v>1011</v>
      </c>
      <c r="O90" t="s">
        <v>455</v>
      </c>
      <c r="P90" t="s">
        <v>455</v>
      </c>
      <c r="Q90">
        <v>1</v>
      </c>
      <c r="W90">
        <v>0</v>
      </c>
      <c r="X90">
        <v>-468861091</v>
      </c>
      <c r="Y90">
        <f>(AT90*ROUND(1.25,7))</f>
        <v>2.5000000000000001E-2</v>
      </c>
      <c r="AA90">
        <v>0</v>
      </c>
      <c r="AB90">
        <v>1629.55</v>
      </c>
      <c r="AC90">
        <v>969.91</v>
      </c>
      <c r="AD90">
        <v>0</v>
      </c>
      <c r="AE90">
        <v>0</v>
      </c>
      <c r="AF90">
        <v>1629.55</v>
      </c>
      <c r="AG90">
        <v>969.91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1</v>
      </c>
      <c r="AQ90">
        <v>1</v>
      </c>
      <c r="AR90">
        <v>0</v>
      </c>
      <c r="AS90" t="s">
        <v>3</v>
      </c>
      <c r="AT90">
        <v>0.02</v>
      </c>
      <c r="AU90" t="s">
        <v>48</v>
      </c>
      <c r="AV90">
        <v>1</v>
      </c>
      <c r="AW90">
        <v>2</v>
      </c>
      <c r="AX90">
        <v>80308679</v>
      </c>
      <c r="AY90">
        <v>1</v>
      </c>
      <c r="AZ90">
        <v>0</v>
      </c>
      <c r="BA90">
        <v>86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32.591000000000001</v>
      </c>
      <c r="BL90">
        <v>19.398199999999999</v>
      </c>
      <c r="BM90">
        <v>0</v>
      </c>
      <c r="BN90">
        <v>0</v>
      </c>
      <c r="BO90">
        <v>0.02</v>
      </c>
      <c r="BP90">
        <v>1</v>
      </c>
      <c r="BQ90">
        <v>0</v>
      </c>
      <c r="BR90">
        <v>40.738750000000003</v>
      </c>
      <c r="BS90">
        <v>24.24775</v>
      </c>
      <c r="BT90">
        <v>0</v>
      </c>
      <c r="BU90">
        <v>0</v>
      </c>
      <c r="BV90">
        <v>2.5000000000000001E-2</v>
      </c>
      <c r="BW90">
        <v>1</v>
      </c>
      <c r="CV90">
        <v>0</v>
      </c>
      <c r="CW90">
        <f>ROUND(Y90*Source!I93*DO90,7)</f>
        <v>2.5000000000000001E-2</v>
      </c>
      <c r="CX90">
        <f>ROUND(Y90*Source!I93,7)</f>
        <v>2.5000000000000001E-2</v>
      </c>
      <c r="CY90">
        <f>AB90</f>
        <v>1629.55</v>
      </c>
      <c r="CZ90">
        <f>AF90</f>
        <v>1629.55</v>
      </c>
      <c r="DA90">
        <f>AJ90</f>
        <v>1</v>
      </c>
      <c r="DB90">
        <f>ROUND((ROUND(AT90*CZ90,2)*ROUND(1.25,7)),6)</f>
        <v>40.737499999999997</v>
      </c>
      <c r="DC90">
        <f>ROUND((ROUND(AT90*AG90,2)*ROUND(1.25,7)),6)</f>
        <v>24.25</v>
      </c>
      <c r="DD90" t="s">
        <v>3</v>
      </c>
      <c r="DE90" t="s">
        <v>3</v>
      </c>
      <c r="DF90">
        <f>ROUND(ROUND(AE90,2)*CX90,2)</f>
        <v>0</v>
      </c>
      <c r="DG90">
        <f t="shared" si="30"/>
        <v>40.74</v>
      </c>
      <c r="DH90">
        <f t="shared" si="31"/>
        <v>24.25</v>
      </c>
      <c r="DI90">
        <f t="shared" si="32"/>
        <v>0</v>
      </c>
      <c r="DJ90">
        <f>DG90+DH90</f>
        <v>64.990000000000009</v>
      </c>
      <c r="DK90">
        <v>1</v>
      </c>
      <c r="DL90" t="s">
        <v>473</v>
      </c>
      <c r="DM90">
        <v>6</v>
      </c>
      <c r="DN90" t="s">
        <v>449</v>
      </c>
      <c r="DO90">
        <v>1</v>
      </c>
    </row>
    <row r="91" spans="1:119" x14ac:dyDescent="0.2">
      <c r="A91">
        <f>ROW(Source!A93)</f>
        <v>93</v>
      </c>
      <c r="B91">
        <v>80308166</v>
      </c>
      <c r="C91">
        <v>80308665</v>
      </c>
      <c r="D91">
        <v>72976159</v>
      </c>
      <c r="E91">
        <v>1</v>
      </c>
      <c r="F91">
        <v>1</v>
      </c>
      <c r="G91">
        <v>1</v>
      </c>
      <c r="H91">
        <v>2</v>
      </c>
      <c r="I91" t="s">
        <v>452</v>
      </c>
      <c r="J91" t="s">
        <v>453</v>
      </c>
      <c r="K91" t="s">
        <v>454</v>
      </c>
      <c r="L91">
        <v>1368</v>
      </c>
      <c r="N91">
        <v>1011</v>
      </c>
      <c r="O91" t="s">
        <v>455</v>
      </c>
      <c r="P91" t="s">
        <v>455</v>
      </c>
      <c r="Q91">
        <v>1</v>
      </c>
      <c r="W91">
        <v>0</v>
      </c>
      <c r="X91">
        <v>-1152394969</v>
      </c>
      <c r="Y91">
        <f>(AT91*ROUND(1.25,7))</f>
        <v>2.5000000000000001E-2</v>
      </c>
      <c r="AA91">
        <v>0</v>
      </c>
      <c r="AB91">
        <v>643.29</v>
      </c>
      <c r="AC91">
        <v>722.05</v>
      </c>
      <c r="AD91">
        <v>0</v>
      </c>
      <c r="AE91">
        <v>0</v>
      </c>
      <c r="AF91">
        <v>643.29</v>
      </c>
      <c r="AG91">
        <v>722.05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0</v>
      </c>
      <c r="AP91">
        <v>1</v>
      </c>
      <c r="AQ91">
        <v>1</v>
      </c>
      <c r="AR91">
        <v>0</v>
      </c>
      <c r="AS91" t="s">
        <v>3</v>
      </c>
      <c r="AT91">
        <v>0.02</v>
      </c>
      <c r="AU91" t="s">
        <v>48</v>
      </c>
      <c r="AV91">
        <v>1</v>
      </c>
      <c r="AW91">
        <v>2</v>
      </c>
      <c r="AX91">
        <v>80308680</v>
      </c>
      <c r="AY91">
        <v>1</v>
      </c>
      <c r="AZ91">
        <v>0</v>
      </c>
      <c r="BA91">
        <v>87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12.8658</v>
      </c>
      <c r="BL91">
        <v>14.440999999999999</v>
      </c>
      <c r="BM91">
        <v>0</v>
      </c>
      <c r="BN91">
        <v>0</v>
      </c>
      <c r="BO91">
        <v>0.02</v>
      </c>
      <c r="BP91">
        <v>1</v>
      </c>
      <c r="BQ91">
        <v>0</v>
      </c>
      <c r="BR91">
        <v>16.082249999999998</v>
      </c>
      <c r="BS91">
        <v>18.05125</v>
      </c>
      <c r="BT91">
        <v>0</v>
      </c>
      <c r="BU91">
        <v>0</v>
      </c>
      <c r="BV91">
        <v>2.5000000000000001E-2</v>
      </c>
      <c r="BW91">
        <v>1</v>
      </c>
      <c r="CV91">
        <v>0</v>
      </c>
      <c r="CW91">
        <f>ROUND(Y91*Source!I93*DO91,7)</f>
        <v>2.5000000000000001E-2</v>
      </c>
      <c r="CX91">
        <f>ROUND(Y91*Source!I93,7)</f>
        <v>2.5000000000000001E-2</v>
      </c>
      <c r="CY91">
        <f>AB91</f>
        <v>643.29</v>
      </c>
      <c r="CZ91">
        <f>AF91</f>
        <v>643.29</v>
      </c>
      <c r="DA91">
        <f>AJ91</f>
        <v>1</v>
      </c>
      <c r="DB91">
        <f>ROUND((ROUND(AT91*CZ91,2)*ROUND(1.25,7)),6)</f>
        <v>16.087499999999999</v>
      </c>
      <c r="DC91">
        <f>ROUND((ROUND(AT91*AG91,2)*ROUND(1.25,7)),6)</f>
        <v>18.05</v>
      </c>
      <c r="DD91" t="s">
        <v>3</v>
      </c>
      <c r="DE91" t="s">
        <v>3</v>
      </c>
      <c r="DF91">
        <f>ROUND(ROUND(AE91,2)*CX91,2)</f>
        <v>0</v>
      </c>
      <c r="DG91">
        <f t="shared" si="30"/>
        <v>16.079999999999998</v>
      </c>
      <c r="DH91">
        <f t="shared" si="31"/>
        <v>18.05</v>
      </c>
      <c r="DI91">
        <f t="shared" si="32"/>
        <v>0</v>
      </c>
      <c r="DJ91">
        <f>DG91+DH91</f>
        <v>34.129999999999995</v>
      </c>
      <c r="DK91">
        <v>1</v>
      </c>
      <c r="DL91" t="s">
        <v>456</v>
      </c>
      <c r="DM91">
        <v>4</v>
      </c>
      <c r="DN91" t="s">
        <v>449</v>
      </c>
      <c r="DO91">
        <v>1</v>
      </c>
    </row>
    <row r="92" spans="1:119" x14ac:dyDescent="0.2">
      <c r="A92">
        <f>ROW(Source!A93)</f>
        <v>93</v>
      </c>
      <c r="B92">
        <v>80308166</v>
      </c>
      <c r="C92">
        <v>80308665</v>
      </c>
      <c r="D92">
        <v>72976354</v>
      </c>
      <c r="E92">
        <v>1</v>
      </c>
      <c r="F92">
        <v>1</v>
      </c>
      <c r="G92">
        <v>1</v>
      </c>
      <c r="H92">
        <v>2</v>
      </c>
      <c r="I92" t="s">
        <v>477</v>
      </c>
      <c r="J92" t="s">
        <v>478</v>
      </c>
      <c r="K92" t="s">
        <v>479</v>
      </c>
      <c r="L92">
        <v>1368</v>
      </c>
      <c r="N92">
        <v>1011</v>
      </c>
      <c r="O92" t="s">
        <v>455</v>
      </c>
      <c r="P92" t="s">
        <v>455</v>
      </c>
      <c r="Q92">
        <v>1</v>
      </c>
      <c r="W92">
        <v>0</v>
      </c>
      <c r="X92">
        <v>-334821386</v>
      </c>
      <c r="Y92">
        <f>(AT92*ROUND(1.25,7))</f>
        <v>1.5125</v>
      </c>
      <c r="AA92">
        <v>0</v>
      </c>
      <c r="AB92">
        <v>32.26</v>
      </c>
      <c r="AC92">
        <v>0</v>
      </c>
      <c r="AD92">
        <v>0</v>
      </c>
      <c r="AE92">
        <v>0</v>
      </c>
      <c r="AF92">
        <v>32.26</v>
      </c>
      <c r="AG92">
        <v>0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-2</v>
      </c>
      <c r="AN92">
        <v>0</v>
      </c>
      <c r="AO92">
        <v>0</v>
      </c>
      <c r="AP92">
        <v>1</v>
      </c>
      <c r="AQ92">
        <v>1</v>
      </c>
      <c r="AR92">
        <v>0</v>
      </c>
      <c r="AS92" t="s">
        <v>3</v>
      </c>
      <c r="AT92">
        <v>1.21</v>
      </c>
      <c r="AU92" t="s">
        <v>48</v>
      </c>
      <c r="AV92">
        <v>1</v>
      </c>
      <c r="AW92">
        <v>2</v>
      </c>
      <c r="AX92">
        <v>80308681</v>
      </c>
      <c r="AY92">
        <v>1</v>
      </c>
      <c r="AZ92">
        <v>0</v>
      </c>
      <c r="BA92">
        <v>88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39.034599999999998</v>
      </c>
      <c r="BL92">
        <v>0</v>
      </c>
      <c r="BM92">
        <v>0</v>
      </c>
      <c r="BN92">
        <v>0</v>
      </c>
      <c r="BO92">
        <v>0</v>
      </c>
      <c r="BP92">
        <v>1</v>
      </c>
      <c r="BQ92">
        <v>0</v>
      </c>
      <c r="BR92">
        <v>48.793249999999993</v>
      </c>
      <c r="BS92">
        <v>0</v>
      </c>
      <c r="BT92">
        <v>0</v>
      </c>
      <c r="BU92">
        <v>0</v>
      </c>
      <c r="BV92">
        <v>0</v>
      </c>
      <c r="BW92">
        <v>1</v>
      </c>
      <c r="CV92">
        <v>0</v>
      </c>
      <c r="CW92">
        <f>ROUND(Y92*Source!I93*DO92,7)</f>
        <v>0</v>
      </c>
      <c r="CX92">
        <f>ROUND(Y92*Source!I93,7)</f>
        <v>1.5125</v>
      </c>
      <c r="CY92">
        <f>AB92</f>
        <v>32.26</v>
      </c>
      <c r="CZ92">
        <f>AF92</f>
        <v>32.26</v>
      </c>
      <c r="DA92">
        <f>AJ92</f>
        <v>1</v>
      </c>
      <c r="DB92">
        <f>ROUND((ROUND(AT92*CZ92,2)*ROUND(1.25,7)),6)</f>
        <v>48.787500000000001</v>
      </c>
      <c r="DC92">
        <f>ROUND((ROUND(AT92*AG92,2)*ROUND(1.25,7)),6)</f>
        <v>0</v>
      </c>
      <c r="DD92" t="s">
        <v>3</v>
      </c>
      <c r="DE92" t="s">
        <v>3</v>
      </c>
      <c r="DF92">
        <f>ROUND(ROUND(AE92,2)*CX92,2)</f>
        <v>0</v>
      </c>
      <c r="DG92">
        <f t="shared" si="30"/>
        <v>48.79</v>
      </c>
      <c r="DH92">
        <f t="shared" si="31"/>
        <v>0</v>
      </c>
      <c r="DI92">
        <f t="shared" si="32"/>
        <v>0</v>
      </c>
      <c r="DJ92">
        <f>DG92+DH92</f>
        <v>48.79</v>
      </c>
      <c r="DK92">
        <v>1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ROW(Source!A93)</f>
        <v>93</v>
      </c>
      <c r="B93">
        <v>80308166</v>
      </c>
      <c r="C93">
        <v>80308665</v>
      </c>
      <c r="D93">
        <v>72919974</v>
      </c>
      <c r="E93">
        <v>1</v>
      </c>
      <c r="F93">
        <v>1</v>
      </c>
      <c r="G93">
        <v>1</v>
      </c>
      <c r="H93">
        <v>3</v>
      </c>
      <c r="I93" t="s">
        <v>532</v>
      </c>
      <c r="J93" t="s">
        <v>533</v>
      </c>
      <c r="K93" t="s">
        <v>534</v>
      </c>
      <c r="L93">
        <v>1348</v>
      </c>
      <c r="N93">
        <v>1009</v>
      </c>
      <c r="O93" t="s">
        <v>35</v>
      </c>
      <c r="P93" t="s">
        <v>35</v>
      </c>
      <c r="Q93">
        <v>1000</v>
      </c>
      <c r="W93">
        <v>0</v>
      </c>
      <c r="X93">
        <v>-1093393206</v>
      </c>
      <c r="Y93">
        <f t="shared" ref="Y93:Y99" si="44">AT93</f>
        <v>3.0000000000000001E-3</v>
      </c>
      <c r="AA93">
        <v>62637.81</v>
      </c>
      <c r="AB93">
        <v>0</v>
      </c>
      <c r="AC93">
        <v>0</v>
      </c>
      <c r="AD93">
        <v>0</v>
      </c>
      <c r="AE93">
        <v>50110.25</v>
      </c>
      <c r="AF93">
        <v>0</v>
      </c>
      <c r="AG93">
        <v>0</v>
      </c>
      <c r="AH93">
        <v>0</v>
      </c>
      <c r="AI93">
        <v>1.25</v>
      </c>
      <c r="AJ93">
        <v>1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3.0000000000000001E-3</v>
      </c>
      <c r="AU93" t="s">
        <v>3</v>
      </c>
      <c r="AV93">
        <v>0</v>
      </c>
      <c r="AW93">
        <v>2</v>
      </c>
      <c r="AX93">
        <v>80308682</v>
      </c>
      <c r="AY93">
        <v>1</v>
      </c>
      <c r="AZ93">
        <v>0</v>
      </c>
      <c r="BA93">
        <v>89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150.33074999999999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150.33074999999999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CV93">
        <v>0</v>
      </c>
      <c r="CW93">
        <v>0</v>
      </c>
      <c r="CX93">
        <f>ROUND(Y93*Source!I93,7)</f>
        <v>3.0000000000000001E-3</v>
      </c>
      <c r="CY93">
        <f t="shared" ref="CY93:CY98" si="45">AA93</f>
        <v>62637.81</v>
      </c>
      <c r="CZ93">
        <f t="shared" ref="CZ93:CZ98" si="46">AE93</f>
        <v>50110.25</v>
      </c>
      <c r="DA93">
        <f t="shared" ref="DA93:DA98" si="47">AI93</f>
        <v>1.25</v>
      </c>
      <c r="DB93">
        <f t="shared" ref="DB93:DB99" si="48">ROUND(ROUND(AT93*CZ93,2),6)</f>
        <v>150.33000000000001</v>
      </c>
      <c r="DC93">
        <f t="shared" ref="DC93:DC99" si="49">ROUND(ROUND(AT93*AG93,2),6)</f>
        <v>0</v>
      </c>
      <c r="DD93" t="s">
        <v>3</v>
      </c>
      <c r="DE93" t="s">
        <v>3</v>
      </c>
      <c r="DF93">
        <f>ROUND(ROUND(AE93*AI93,2)*CX93,2)</f>
        <v>187.91</v>
      </c>
      <c r="DG93">
        <f t="shared" si="30"/>
        <v>0</v>
      </c>
      <c r="DH93">
        <f t="shared" si="31"/>
        <v>0</v>
      </c>
      <c r="DI93">
        <f t="shared" si="32"/>
        <v>0</v>
      </c>
      <c r="DJ93">
        <f t="shared" ref="DJ93:DJ98" si="50">DF93</f>
        <v>187.91</v>
      </c>
      <c r="DK93">
        <v>0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ROW(Source!A93)</f>
        <v>93</v>
      </c>
      <c r="B94">
        <v>80308166</v>
      </c>
      <c r="C94">
        <v>80308665</v>
      </c>
      <c r="D94">
        <v>72919988</v>
      </c>
      <c r="E94">
        <v>1</v>
      </c>
      <c r="F94">
        <v>1</v>
      </c>
      <c r="G94">
        <v>1</v>
      </c>
      <c r="H94">
        <v>3</v>
      </c>
      <c r="I94" t="s">
        <v>457</v>
      </c>
      <c r="J94" t="s">
        <v>458</v>
      </c>
      <c r="K94" t="s">
        <v>459</v>
      </c>
      <c r="L94">
        <v>1407</v>
      </c>
      <c r="N94">
        <v>1013</v>
      </c>
      <c r="O94" t="s">
        <v>460</v>
      </c>
      <c r="P94" t="s">
        <v>460</v>
      </c>
      <c r="Q94">
        <v>1</v>
      </c>
      <c r="W94">
        <v>0</v>
      </c>
      <c r="X94">
        <v>-819936498</v>
      </c>
      <c r="Y94">
        <f t="shared" si="44"/>
        <v>4.0000000000000001E-3</v>
      </c>
      <c r="AA94">
        <v>16142.86</v>
      </c>
      <c r="AB94">
        <v>0</v>
      </c>
      <c r="AC94">
        <v>0</v>
      </c>
      <c r="AD94">
        <v>0</v>
      </c>
      <c r="AE94">
        <v>13680.39</v>
      </c>
      <c r="AF94">
        <v>0</v>
      </c>
      <c r="AG94">
        <v>0</v>
      </c>
      <c r="AH94">
        <v>0</v>
      </c>
      <c r="AI94">
        <v>1.18</v>
      </c>
      <c r="AJ94">
        <v>1</v>
      </c>
      <c r="AK94">
        <v>1</v>
      </c>
      <c r="AL94">
        <v>1</v>
      </c>
      <c r="AM94">
        <v>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3</v>
      </c>
      <c r="AT94">
        <v>4.0000000000000001E-3</v>
      </c>
      <c r="AU94" t="s">
        <v>3</v>
      </c>
      <c r="AV94">
        <v>0</v>
      </c>
      <c r="AW94">
        <v>2</v>
      </c>
      <c r="AX94">
        <v>80308683</v>
      </c>
      <c r="AY94">
        <v>1</v>
      </c>
      <c r="AZ94">
        <v>0</v>
      </c>
      <c r="BA94">
        <v>90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54.721559999999997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54.721559999999997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1</v>
      </c>
      <c r="CV94">
        <v>0</v>
      </c>
      <c r="CW94">
        <v>0</v>
      </c>
      <c r="CX94">
        <f>ROUND(Y94*Source!I93,7)</f>
        <v>4.0000000000000001E-3</v>
      </c>
      <c r="CY94">
        <f t="shared" si="45"/>
        <v>16142.86</v>
      </c>
      <c r="CZ94">
        <f t="shared" si="46"/>
        <v>13680.39</v>
      </c>
      <c r="DA94">
        <f t="shared" si="47"/>
        <v>1.18</v>
      </c>
      <c r="DB94">
        <f t="shared" si="48"/>
        <v>54.72</v>
      </c>
      <c r="DC94">
        <f t="shared" si="49"/>
        <v>0</v>
      </c>
      <c r="DD94" t="s">
        <v>3</v>
      </c>
      <c r="DE94" t="s">
        <v>3</v>
      </c>
      <c r="DF94">
        <f>ROUND(ROUND(AE94*AI94,2)*CX94,2)</f>
        <v>64.569999999999993</v>
      </c>
      <c r="DG94">
        <f t="shared" si="30"/>
        <v>0</v>
      </c>
      <c r="DH94">
        <f t="shared" si="31"/>
        <v>0</v>
      </c>
      <c r="DI94">
        <f t="shared" si="32"/>
        <v>0</v>
      </c>
      <c r="DJ94">
        <f t="shared" si="50"/>
        <v>64.569999999999993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ROW(Source!A93)</f>
        <v>93</v>
      </c>
      <c r="B95">
        <v>80308166</v>
      </c>
      <c r="C95">
        <v>80308665</v>
      </c>
      <c r="D95">
        <v>72923110</v>
      </c>
      <c r="E95">
        <v>1</v>
      </c>
      <c r="F95">
        <v>1</v>
      </c>
      <c r="G95">
        <v>1</v>
      </c>
      <c r="H95">
        <v>3</v>
      </c>
      <c r="I95" t="s">
        <v>480</v>
      </c>
      <c r="J95" t="s">
        <v>481</v>
      </c>
      <c r="K95" t="s">
        <v>482</v>
      </c>
      <c r="L95">
        <v>1346</v>
      </c>
      <c r="N95">
        <v>1009</v>
      </c>
      <c r="O95" t="s">
        <v>295</v>
      </c>
      <c r="P95" t="s">
        <v>295</v>
      </c>
      <c r="Q95">
        <v>1</v>
      </c>
      <c r="W95">
        <v>0</v>
      </c>
      <c r="X95">
        <v>212334824</v>
      </c>
      <c r="Y95">
        <f t="shared" si="44"/>
        <v>1</v>
      </c>
      <c r="AA95">
        <v>121.39</v>
      </c>
      <c r="AB95">
        <v>0</v>
      </c>
      <c r="AC95">
        <v>0</v>
      </c>
      <c r="AD95">
        <v>0</v>
      </c>
      <c r="AE95">
        <v>155.63</v>
      </c>
      <c r="AF95">
        <v>0</v>
      </c>
      <c r="AG95">
        <v>0</v>
      </c>
      <c r="AH95">
        <v>0</v>
      </c>
      <c r="AI95">
        <v>0.78</v>
      </c>
      <c r="AJ95">
        <v>1</v>
      </c>
      <c r="AK95">
        <v>1</v>
      </c>
      <c r="AL95">
        <v>1</v>
      </c>
      <c r="AM95">
        <v>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3</v>
      </c>
      <c r="AT95">
        <v>1</v>
      </c>
      <c r="AU95" t="s">
        <v>3</v>
      </c>
      <c r="AV95">
        <v>0</v>
      </c>
      <c r="AW95">
        <v>2</v>
      </c>
      <c r="AX95">
        <v>80308684</v>
      </c>
      <c r="AY95">
        <v>1</v>
      </c>
      <c r="AZ95">
        <v>0</v>
      </c>
      <c r="BA95">
        <v>91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155.63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155.63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1</v>
      </c>
      <c r="CV95">
        <v>0</v>
      </c>
      <c r="CW95">
        <v>0</v>
      </c>
      <c r="CX95">
        <f>ROUND(Y95*Source!I93,7)</f>
        <v>1</v>
      </c>
      <c r="CY95">
        <f t="shared" si="45"/>
        <v>121.39</v>
      </c>
      <c r="CZ95">
        <f t="shared" si="46"/>
        <v>155.63</v>
      </c>
      <c r="DA95">
        <f t="shared" si="47"/>
        <v>0.78</v>
      </c>
      <c r="DB95">
        <f t="shared" si="48"/>
        <v>155.63</v>
      </c>
      <c r="DC95">
        <f t="shared" si="49"/>
        <v>0</v>
      </c>
      <c r="DD95" t="s">
        <v>3</v>
      </c>
      <c r="DE95" t="s">
        <v>3</v>
      </c>
      <c r="DF95">
        <f>ROUND(ROUND(AE95*AI95,2)*CX95,2)</f>
        <v>121.39</v>
      </c>
      <c r="DG95">
        <f t="shared" si="30"/>
        <v>0</v>
      </c>
      <c r="DH95">
        <f t="shared" si="31"/>
        <v>0</v>
      </c>
      <c r="DI95">
        <f t="shared" si="32"/>
        <v>0</v>
      </c>
      <c r="DJ95">
        <f t="shared" si="50"/>
        <v>121.39</v>
      </c>
      <c r="DK95">
        <v>0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ROW(Source!A93)</f>
        <v>93</v>
      </c>
      <c r="B96">
        <v>80308166</v>
      </c>
      <c r="C96">
        <v>80308665</v>
      </c>
      <c r="D96">
        <v>72923820</v>
      </c>
      <c r="E96">
        <v>1</v>
      </c>
      <c r="F96">
        <v>1</v>
      </c>
      <c r="G96">
        <v>1</v>
      </c>
      <c r="H96">
        <v>3</v>
      </c>
      <c r="I96" t="s">
        <v>535</v>
      </c>
      <c r="J96" t="s">
        <v>536</v>
      </c>
      <c r="K96" t="s">
        <v>537</v>
      </c>
      <c r="L96">
        <v>1348</v>
      </c>
      <c r="N96">
        <v>1009</v>
      </c>
      <c r="O96" t="s">
        <v>35</v>
      </c>
      <c r="P96" t="s">
        <v>35</v>
      </c>
      <c r="Q96">
        <v>1000</v>
      </c>
      <c r="W96">
        <v>0</v>
      </c>
      <c r="X96">
        <v>713830522</v>
      </c>
      <c r="Y96">
        <f t="shared" si="44"/>
        <v>2.0200000000000001E-3</v>
      </c>
      <c r="AA96">
        <v>147652.14000000001</v>
      </c>
      <c r="AB96">
        <v>0</v>
      </c>
      <c r="AC96">
        <v>0</v>
      </c>
      <c r="AD96">
        <v>0</v>
      </c>
      <c r="AE96">
        <v>135460.68</v>
      </c>
      <c r="AF96">
        <v>0</v>
      </c>
      <c r="AG96">
        <v>0</v>
      </c>
      <c r="AH96">
        <v>0</v>
      </c>
      <c r="AI96">
        <v>1.0900000000000001</v>
      </c>
      <c r="AJ96">
        <v>1</v>
      </c>
      <c r="AK96">
        <v>1</v>
      </c>
      <c r="AL96">
        <v>1</v>
      </c>
      <c r="AM96">
        <v>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3</v>
      </c>
      <c r="AT96">
        <v>2.0200000000000001E-3</v>
      </c>
      <c r="AU96" t="s">
        <v>3</v>
      </c>
      <c r="AV96">
        <v>0</v>
      </c>
      <c r="AW96">
        <v>2</v>
      </c>
      <c r="AX96">
        <v>80308685</v>
      </c>
      <c r="AY96">
        <v>1</v>
      </c>
      <c r="AZ96">
        <v>0</v>
      </c>
      <c r="BA96">
        <v>92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273.63057359999999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1</v>
      </c>
      <c r="BQ96">
        <v>273.63057359999999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1</v>
      </c>
      <c r="CV96">
        <v>0</v>
      </c>
      <c r="CW96">
        <v>0</v>
      </c>
      <c r="CX96">
        <f>ROUND(Y96*Source!I93,7)</f>
        <v>2.0200000000000001E-3</v>
      </c>
      <c r="CY96">
        <f t="shared" si="45"/>
        <v>147652.14000000001</v>
      </c>
      <c r="CZ96">
        <f t="shared" si="46"/>
        <v>135460.68</v>
      </c>
      <c r="DA96">
        <f t="shared" si="47"/>
        <v>1.0900000000000001</v>
      </c>
      <c r="DB96">
        <f t="shared" si="48"/>
        <v>273.63</v>
      </c>
      <c r="DC96">
        <f t="shared" si="49"/>
        <v>0</v>
      </c>
      <c r="DD96" t="s">
        <v>3</v>
      </c>
      <c r="DE96" t="s">
        <v>3</v>
      </c>
      <c r="DF96">
        <f>ROUND(ROUND(AE96*AI96,2)*CX96,2)</f>
        <v>298.26</v>
      </c>
      <c r="DG96">
        <f t="shared" si="30"/>
        <v>0</v>
      </c>
      <c r="DH96">
        <f t="shared" si="31"/>
        <v>0</v>
      </c>
      <c r="DI96">
        <f t="shared" si="32"/>
        <v>0</v>
      </c>
      <c r="DJ96">
        <f t="shared" si="50"/>
        <v>298.26</v>
      </c>
      <c r="DK96">
        <v>0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ROW(Source!A93)</f>
        <v>93</v>
      </c>
      <c r="B97">
        <v>80308166</v>
      </c>
      <c r="C97">
        <v>80308665</v>
      </c>
      <c r="D97">
        <v>72945117</v>
      </c>
      <c r="E97">
        <v>1</v>
      </c>
      <c r="F97">
        <v>1</v>
      </c>
      <c r="G97">
        <v>1</v>
      </c>
      <c r="H97">
        <v>3</v>
      </c>
      <c r="I97" t="s">
        <v>541</v>
      </c>
      <c r="J97" t="s">
        <v>542</v>
      </c>
      <c r="K97" t="s">
        <v>543</v>
      </c>
      <c r="L97">
        <v>1371</v>
      </c>
      <c r="N97">
        <v>1013</v>
      </c>
      <c r="O97" t="s">
        <v>30</v>
      </c>
      <c r="P97" t="s">
        <v>30</v>
      </c>
      <c r="Q97">
        <v>1</v>
      </c>
      <c r="W97">
        <v>0</v>
      </c>
      <c r="X97">
        <v>-931439333</v>
      </c>
      <c r="Y97">
        <f t="shared" si="44"/>
        <v>1</v>
      </c>
      <c r="AA97">
        <v>7484.21</v>
      </c>
      <c r="AB97">
        <v>0</v>
      </c>
      <c r="AC97">
        <v>0</v>
      </c>
      <c r="AD97">
        <v>0</v>
      </c>
      <c r="AE97">
        <v>7484.21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3</v>
      </c>
      <c r="AT97">
        <v>1</v>
      </c>
      <c r="AU97" t="s">
        <v>3</v>
      </c>
      <c r="AV97">
        <v>0</v>
      </c>
      <c r="AW97">
        <v>1</v>
      </c>
      <c r="AX97">
        <v>-1</v>
      </c>
      <c r="AY97">
        <v>0</v>
      </c>
      <c r="AZ97">
        <v>0</v>
      </c>
      <c r="BA97" t="s">
        <v>3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7484.21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7484.21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1</v>
      </c>
      <c r="CV97">
        <v>0</v>
      </c>
      <c r="CW97">
        <v>0</v>
      </c>
      <c r="CX97">
        <f>ROUND(Y97*Source!I93,7)</f>
        <v>1</v>
      </c>
      <c r="CY97">
        <f t="shared" si="45"/>
        <v>7484.21</v>
      </c>
      <c r="CZ97">
        <f t="shared" si="46"/>
        <v>7484.21</v>
      </c>
      <c r="DA97">
        <f t="shared" si="47"/>
        <v>1</v>
      </c>
      <c r="DB97">
        <f t="shared" si="48"/>
        <v>7484.21</v>
      </c>
      <c r="DC97">
        <f t="shared" si="49"/>
        <v>0</v>
      </c>
      <c r="DD97" t="s">
        <v>3</v>
      </c>
      <c r="DE97" t="s">
        <v>3</v>
      </c>
      <c r="DF97">
        <f>ROUND(ROUND(AE97,2)*CX97,2)</f>
        <v>7484.21</v>
      </c>
      <c r="DG97">
        <f t="shared" ref="DG97:DG119" si="51">ROUND(ROUND(AF97,2)*CX97,2)</f>
        <v>0</v>
      </c>
      <c r="DH97">
        <f t="shared" si="31"/>
        <v>0</v>
      </c>
      <c r="DI97">
        <f t="shared" si="32"/>
        <v>0</v>
      </c>
      <c r="DJ97">
        <f t="shared" si="50"/>
        <v>7484.21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ROW(Source!A93)</f>
        <v>93</v>
      </c>
      <c r="B98">
        <v>80308166</v>
      </c>
      <c r="C98">
        <v>80308665</v>
      </c>
      <c r="D98">
        <v>77536583</v>
      </c>
      <c r="E98">
        <v>1</v>
      </c>
      <c r="F98">
        <v>1</v>
      </c>
      <c r="G98">
        <v>1</v>
      </c>
      <c r="H98">
        <v>3</v>
      </c>
      <c r="I98" t="s">
        <v>218</v>
      </c>
      <c r="J98" t="s">
        <v>220</v>
      </c>
      <c r="K98" t="s">
        <v>219</v>
      </c>
      <c r="L98">
        <v>1371</v>
      </c>
      <c r="N98">
        <v>1013</v>
      </c>
      <c r="O98" t="s">
        <v>30</v>
      </c>
      <c r="P98" t="s">
        <v>30</v>
      </c>
      <c r="Q98">
        <v>1</v>
      </c>
      <c r="W98">
        <v>0</v>
      </c>
      <c r="X98">
        <v>-1081132658</v>
      </c>
      <c r="Y98">
        <f t="shared" si="44"/>
        <v>4</v>
      </c>
      <c r="AA98">
        <v>905.25</v>
      </c>
      <c r="AB98">
        <v>0</v>
      </c>
      <c r="AC98">
        <v>0</v>
      </c>
      <c r="AD98">
        <v>0</v>
      </c>
      <c r="AE98">
        <v>815.54</v>
      </c>
      <c r="AF98">
        <v>0</v>
      </c>
      <c r="AG98">
        <v>0</v>
      </c>
      <c r="AH98">
        <v>0</v>
      </c>
      <c r="AI98">
        <v>1.1100000000000001</v>
      </c>
      <c r="AJ98">
        <v>1</v>
      </c>
      <c r="AK98">
        <v>1</v>
      </c>
      <c r="AL98">
        <v>1</v>
      </c>
      <c r="AM98">
        <v>2</v>
      </c>
      <c r="AN98">
        <v>0</v>
      </c>
      <c r="AO98">
        <v>0</v>
      </c>
      <c r="AP98">
        <v>1</v>
      </c>
      <c r="AQ98">
        <v>0</v>
      </c>
      <c r="AR98">
        <v>0</v>
      </c>
      <c r="AS98" t="s">
        <v>3</v>
      </c>
      <c r="AT98">
        <v>4</v>
      </c>
      <c r="AU98" t="s">
        <v>3</v>
      </c>
      <c r="AV98">
        <v>0</v>
      </c>
      <c r="AW98">
        <v>1</v>
      </c>
      <c r="AX98">
        <v>-1</v>
      </c>
      <c r="AY98">
        <v>0</v>
      </c>
      <c r="AZ98">
        <v>0</v>
      </c>
      <c r="BA98" t="s">
        <v>3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V98">
        <v>0</v>
      </c>
      <c r="CW98">
        <v>0</v>
      </c>
      <c r="CX98">
        <f>ROUND(Y98*Source!I93,7)</f>
        <v>4</v>
      </c>
      <c r="CY98">
        <f t="shared" si="45"/>
        <v>905.25</v>
      </c>
      <c r="CZ98">
        <f t="shared" si="46"/>
        <v>815.54</v>
      </c>
      <c r="DA98">
        <f t="shared" si="47"/>
        <v>1.1100000000000001</v>
      </c>
      <c r="DB98">
        <f t="shared" si="48"/>
        <v>3262.16</v>
      </c>
      <c r="DC98">
        <f t="shared" si="49"/>
        <v>0</v>
      </c>
      <c r="DD98" t="s">
        <v>3</v>
      </c>
      <c r="DE98" t="s">
        <v>3</v>
      </c>
      <c r="DF98">
        <f>ROUND(ROUND(AE98*AI98,2)*CX98,2)</f>
        <v>3621</v>
      </c>
      <c r="DG98">
        <f t="shared" si="51"/>
        <v>0</v>
      </c>
      <c r="DH98">
        <f t="shared" si="31"/>
        <v>0</v>
      </c>
      <c r="DI98">
        <f t="shared" si="32"/>
        <v>0</v>
      </c>
      <c r="DJ98">
        <f t="shared" si="50"/>
        <v>3621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ROW(Source!A95)</f>
        <v>95</v>
      </c>
      <c r="B99">
        <v>80308166</v>
      </c>
      <c r="C99">
        <v>80308689</v>
      </c>
      <c r="D99">
        <v>72850627</v>
      </c>
      <c r="E99">
        <v>114</v>
      </c>
      <c r="F99">
        <v>1</v>
      </c>
      <c r="G99">
        <v>1</v>
      </c>
      <c r="H99">
        <v>1</v>
      </c>
      <c r="I99" t="s">
        <v>464</v>
      </c>
      <c r="J99" t="s">
        <v>3</v>
      </c>
      <c r="K99" t="s">
        <v>465</v>
      </c>
      <c r="L99">
        <v>1191</v>
      </c>
      <c r="N99">
        <v>1013</v>
      </c>
      <c r="O99" t="s">
        <v>449</v>
      </c>
      <c r="P99" t="s">
        <v>449</v>
      </c>
      <c r="Q99">
        <v>1</v>
      </c>
      <c r="W99">
        <v>0</v>
      </c>
      <c r="X99">
        <v>-1833565283</v>
      </c>
      <c r="Y99">
        <f t="shared" si="44"/>
        <v>2.31</v>
      </c>
      <c r="AA99">
        <v>0</v>
      </c>
      <c r="AB99">
        <v>0</v>
      </c>
      <c r="AC99">
        <v>0</v>
      </c>
      <c r="AD99">
        <v>641.22</v>
      </c>
      <c r="AE99">
        <v>0</v>
      </c>
      <c r="AF99">
        <v>0</v>
      </c>
      <c r="AG99">
        <v>0</v>
      </c>
      <c r="AH99">
        <v>641.22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0</v>
      </c>
      <c r="AP99">
        <v>0</v>
      </c>
      <c r="AQ99">
        <v>1</v>
      </c>
      <c r="AR99">
        <v>0</v>
      </c>
      <c r="AS99" t="s">
        <v>3</v>
      </c>
      <c r="AT99">
        <v>2.31</v>
      </c>
      <c r="AU99" t="s">
        <v>3</v>
      </c>
      <c r="AV99">
        <v>1</v>
      </c>
      <c r="AW99">
        <v>2</v>
      </c>
      <c r="AX99">
        <v>80308691</v>
      </c>
      <c r="AY99">
        <v>1</v>
      </c>
      <c r="AZ99">
        <v>0</v>
      </c>
      <c r="BA99">
        <v>95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1481.2182</v>
      </c>
      <c r="BN99">
        <v>2.31</v>
      </c>
      <c r="BO99">
        <v>0</v>
      </c>
      <c r="BP99">
        <v>1</v>
      </c>
      <c r="BQ99">
        <v>0</v>
      </c>
      <c r="BR99">
        <v>0</v>
      </c>
      <c r="BS99">
        <v>0</v>
      </c>
      <c r="BT99">
        <v>1481.2182</v>
      </c>
      <c r="BU99">
        <v>2.31</v>
      </c>
      <c r="BV99">
        <v>0</v>
      </c>
      <c r="BW99">
        <v>1</v>
      </c>
      <c r="CU99">
        <f>ROUND(AT99*Source!I95*AH99*AL99,2)</f>
        <v>473.99</v>
      </c>
      <c r="CV99">
        <f>ROUND(Y99*Source!I95,7)</f>
        <v>0.73919999999999997</v>
      </c>
      <c r="CW99">
        <v>0</v>
      </c>
      <c r="CX99">
        <f>ROUND(Y99*Source!I95,7)</f>
        <v>0.73919999999999997</v>
      </c>
      <c r="CY99">
        <f>AD99</f>
        <v>641.22</v>
      </c>
      <c r="CZ99">
        <f>AH99</f>
        <v>641.22</v>
      </c>
      <c r="DA99">
        <f>AL99</f>
        <v>1</v>
      </c>
      <c r="DB99">
        <f t="shared" si="48"/>
        <v>1481.22</v>
      </c>
      <c r="DC99">
        <f t="shared" si="49"/>
        <v>0</v>
      </c>
      <c r="DD99" t="s">
        <v>3</v>
      </c>
      <c r="DE99" t="s">
        <v>3</v>
      </c>
      <c r="DF99">
        <f>ROUND(ROUND(AE99,2)*CX99,2)</f>
        <v>0</v>
      </c>
      <c r="DG99">
        <f t="shared" si="51"/>
        <v>0</v>
      </c>
      <c r="DH99">
        <f t="shared" si="31"/>
        <v>0</v>
      </c>
      <c r="DI99">
        <f t="shared" si="32"/>
        <v>473.99</v>
      </c>
      <c r="DJ99">
        <f>DI99</f>
        <v>473.99</v>
      </c>
      <c r="DK99">
        <v>1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ROW(Source!A96)</f>
        <v>96</v>
      </c>
      <c r="B100">
        <v>80308166</v>
      </c>
      <c r="C100">
        <v>80308692</v>
      </c>
      <c r="D100">
        <v>72850657</v>
      </c>
      <c r="E100">
        <v>114</v>
      </c>
      <c r="F100">
        <v>1</v>
      </c>
      <c r="G100">
        <v>1</v>
      </c>
      <c r="H100">
        <v>1</v>
      </c>
      <c r="I100" t="s">
        <v>525</v>
      </c>
      <c r="J100" t="s">
        <v>3</v>
      </c>
      <c r="K100" t="s">
        <v>526</v>
      </c>
      <c r="L100">
        <v>1191</v>
      </c>
      <c r="N100">
        <v>1013</v>
      </c>
      <c r="O100" t="s">
        <v>449</v>
      </c>
      <c r="P100" t="s">
        <v>449</v>
      </c>
      <c r="Q100">
        <v>1</v>
      </c>
      <c r="W100">
        <v>0</v>
      </c>
      <c r="X100">
        <v>1522950421</v>
      </c>
      <c r="Y100">
        <f>(AT100*ROUND(1.15,7))</f>
        <v>0.253</v>
      </c>
      <c r="AA100">
        <v>0</v>
      </c>
      <c r="AB100">
        <v>0</v>
      </c>
      <c r="AC100">
        <v>0</v>
      </c>
      <c r="AD100">
        <v>743.6</v>
      </c>
      <c r="AE100">
        <v>0</v>
      </c>
      <c r="AF100">
        <v>0</v>
      </c>
      <c r="AG100">
        <v>0</v>
      </c>
      <c r="AH100">
        <v>743.6</v>
      </c>
      <c r="AI100">
        <v>1</v>
      </c>
      <c r="AJ100">
        <v>1</v>
      </c>
      <c r="AK100">
        <v>1</v>
      </c>
      <c r="AL100">
        <v>1</v>
      </c>
      <c r="AM100">
        <v>-2</v>
      </c>
      <c r="AN100">
        <v>0</v>
      </c>
      <c r="AO100">
        <v>0</v>
      </c>
      <c r="AP100">
        <v>1</v>
      </c>
      <c r="AQ100">
        <v>1</v>
      </c>
      <c r="AR100">
        <v>0</v>
      </c>
      <c r="AS100" t="s">
        <v>3</v>
      </c>
      <c r="AT100">
        <v>0.22</v>
      </c>
      <c r="AU100" t="s">
        <v>49</v>
      </c>
      <c r="AV100">
        <v>1</v>
      </c>
      <c r="AW100">
        <v>2</v>
      </c>
      <c r="AX100">
        <v>80308698</v>
      </c>
      <c r="AY100">
        <v>1</v>
      </c>
      <c r="AZ100">
        <v>0</v>
      </c>
      <c r="BA100">
        <v>96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163.59200000000001</v>
      </c>
      <c r="BN100">
        <v>0.22</v>
      </c>
      <c r="BO100">
        <v>0</v>
      </c>
      <c r="BP100">
        <v>1</v>
      </c>
      <c r="BQ100">
        <v>0</v>
      </c>
      <c r="BR100">
        <v>0</v>
      </c>
      <c r="BS100">
        <v>0</v>
      </c>
      <c r="BT100">
        <v>188.13079999999999</v>
      </c>
      <c r="BU100">
        <v>0.253</v>
      </c>
      <c r="BV100">
        <v>0</v>
      </c>
      <c r="BW100">
        <v>1</v>
      </c>
      <c r="CU100">
        <f>ROUND(AT100*Source!I96*AH100*AL100,2)</f>
        <v>5234.9399999999996</v>
      </c>
      <c r="CV100">
        <f>ROUND(Y100*Source!I96,7)</f>
        <v>8.0960000000000001</v>
      </c>
      <c r="CW100">
        <v>0</v>
      </c>
      <c r="CX100">
        <f>ROUND(Y100*Source!I96,7)</f>
        <v>8.0960000000000001</v>
      </c>
      <c r="CY100">
        <f>AD100</f>
        <v>743.6</v>
      </c>
      <c r="CZ100">
        <f>AH100</f>
        <v>743.6</v>
      </c>
      <c r="DA100">
        <f>AL100</f>
        <v>1</v>
      </c>
      <c r="DB100">
        <f>ROUND((ROUND(AT100*CZ100,2)*ROUND(1.15,7)),6)</f>
        <v>188.1285</v>
      </c>
      <c r="DC100">
        <f>ROUND((ROUND(AT100*AG100,2)*ROUND(1.15,7)),6)</f>
        <v>0</v>
      </c>
      <c r="DD100" t="s">
        <v>3</v>
      </c>
      <c r="DE100" t="s">
        <v>3</v>
      </c>
      <c r="DF100">
        <f>ROUND(ROUND(AE100,2)*CX100,2)</f>
        <v>0</v>
      </c>
      <c r="DG100">
        <f t="shared" si="51"/>
        <v>0</v>
      </c>
      <c r="DH100">
        <f t="shared" si="31"/>
        <v>0</v>
      </c>
      <c r="DI100">
        <f t="shared" si="32"/>
        <v>6020.19</v>
      </c>
      <c r="DJ100">
        <f>DI100</f>
        <v>6020.19</v>
      </c>
      <c r="DK100">
        <v>1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ROW(Source!A96)</f>
        <v>96</v>
      </c>
      <c r="B101">
        <v>80308166</v>
      </c>
      <c r="C101">
        <v>80308692</v>
      </c>
      <c r="D101">
        <v>72922828</v>
      </c>
      <c r="E101">
        <v>1</v>
      </c>
      <c r="F101">
        <v>1</v>
      </c>
      <c r="G101">
        <v>1</v>
      </c>
      <c r="H101">
        <v>3</v>
      </c>
      <c r="I101" t="s">
        <v>508</v>
      </c>
      <c r="J101" t="s">
        <v>509</v>
      </c>
      <c r="K101" t="s">
        <v>510</v>
      </c>
      <c r="L101">
        <v>1346</v>
      </c>
      <c r="N101">
        <v>1009</v>
      </c>
      <c r="O101" t="s">
        <v>295</v>
      </c>
      <c r="P101" t="s">
        <v>295</v>
      </c>
      <c r="Q101">
        <v>1</v>
      </c>
      <c r="W101">
        <v>0</v>
      </c>
      <c r="X101">
        <v>147489920</v>
      </c>
      <c r="Y101">
        <f t="shared" ref="Y101:Y118" si="52">AT101</f>
        <v>0.01</v>
      </c>
      <c r="AA101">
        <v>170.77</v>
      </c>
      <c r="AB101">
        <v>0</v>
      </c>
      <c r="AC101">
        <v>0</v>
      </c>
      <c r="AD101">
        <v>0</v>
      </c>
      <c r="AE101">
        <v>128.4</v>
      </c>
      <c r="AF101">
        <v>0</v>
      </c>
      <c r="AG101">
        <v>0</v>
      </c>
      <c r="AH101">
        <v>0</v>
      </c>
      <c r="AI101">
        <v>1.33</v>
      </c>
      <c r="AJ101">
        <v>1</v>
      </c>
      <c r="AK101">
        <v>1</v>
      </c>
      <c r="AL101">
        <v>1</v>
      </c>
      <c r="AM101">
        <v>2</v>
      </c>
      <c r="AN101">
        <v>0</v>
      </c>
      <c r="AO101">
        <v>0</v>
      </c>
      <c r="AP101">
        <v>1</v>
      </c>
      <c r="AQ101">
        <v>1</v>
      </c>
      <c r="AR101">
        <v>0</v>
      </c>
      <c r="AS101" t="s">
        <v>3</v>
      </c>
      <c r="AT101">
        <v>0.01</v>
      </c>
      <c r="AU101" t="s">
        <v>3</v>
      </c>
      <c r="AV101">
        <v>0</v>
      </c>
      <c r="AW101">
        <v>2</v>
      </c>
      <c r="AX101">
        <v>80308699</v>
      </c>
      <c r="AY101">
        <v>1</v>
      </c>
      <c r="AZ101">
        <v>0</v>
      </c>
      <c r="BA101">
        <v>97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1.284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1</v>
      </c>
      <c r="BQ101">
        <v>1.284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</v>
      </c>
      <c r="CV101">
        <v>0</v>
      </c>
      <c r="CW101">
        <v>0</v>
      </c>
      <c r="CX101">
        <f>ROUND(Y101*Source!I96,7)</f>
        <v>0.32</v>
      </c>
      <c r="CY101">
        <f>AA101</f>
        <v>170.77</v>
      </c>
      <c r="CZ101">
        <f>AE101</f>
        <v>128.4</v>
      </c>
      <c r="DA101">
        <f>AI101</f>
        <v>1.33</v>
      </c>
      <c r="DB101">
        <f t="shared" ref="DB101:DB118" si="53">ROUND(ROUND(AT101*CZ101,2),6)</f>
        <v>1.28</v>
      </c>
      <c r="DC101">
        <f t="shared" ref="DC101:DC118" si="54">ROUND(ROUND(AT101*AG101,2),6)</f>
        <v>0</v>
      </c>
      <c r="DD101" t="s">
        <v>3</v>
      </c>
      <c r="DE101" t="s">
        <v>3</v>
      </c>
      <c r="DF101">
        <f>ROUND(ROUND(AE101*AI101,2)*CX101,2)</f>
        <v>54.65</v>
      </c>
      <c r="DG101">
        <f t="shared" si="51"/>
        <v>0</v>
      </c>
      <c r="DH101">
        <f t="shared" si="31"/>
        <v>0</v>
      </c>
      <c r="DI101">
        <f t="shared" si="32"/>
        <v>0</v>
      </c>
      <c r="DJ101">
        <f>DF101</f>
        <v>54.65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ROW(Source!A96)</f>
        <v>96</v>
      </c>
      <c r="B102">
        <v>80308166</v>
      </c>
      <c r="C102">
        <v>80308692</v>
      </c>
      <c r="D102">
        <v>72941506</v>
      </c>
      <c r="E102">
        <v>1</v>
      </c>
      <c r="F102">
        <v>1</v>
      </c>
      <c r="G102">
        <v>1</v>
      </c>
      <c r="H102">
        <v>3</v>
      </c>
      <c r="I102" t="s">
        <v>511</v>
      </c>
      <c r="J102" t="s">
        <v>512</v>
      </c>
      <c r="K102" t="s">
        <v>513</v>
      </c>
      <c r="L102">
        <v>1346</v>
      </c>
      <c r="N102">
        <v>1009</v>
      </c>
      <c r="O102" t="s">
        <v>295</v>
      </c>
      <c r="P102" t="s">
        <v>295</v>
      </c>
      <c r="Q102">
        <v>1</v>
      </c>
      <c r="W102">
        <v>0</v>
      </c>
      <c r="X102">
        <v>790403873</v>
      </c>
      <c r="Y102">
        <f t="shared" si="52"/>
        <v>0.02</v>
      </c>
      <c r="AA102">
        <v>111.83</v>
      </c>
      <c r="AB102">
        <v>0</v>
      </c>
      <c r="AC102">
        <v>0</v>
      </c>
      <c r="AD102">
        <v>0</v>
      </c>
      <c r="AE102">
        <v>79.88</v>
      </c>
      <c r="AF102">
        <v>0</v>
      </c>
      <c r="AG102">
        <v>0</v>
      </c>
      <c r="AH102">
        <v>0</v>
      </c>
      <c r="AI102">
        <v>1.4</v>
      </c>
      <c r="AJ102">
        <v>1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3</v>
      </c>
      <c r="AT102">
        <v>0.02</v>
      </c>
      <c r="AU102" t="s">
        <v>3</v>
      </c>
      <c r="AV102">
        <v>0</v>
      </c>
      <c r="AW102">
        <v>2</v>
      </c>
      <c r="AX102">
        <v>80308700</v>
      </c>
      <c r="AY102">
        <v>1</v>
      </c>
      <c r="AZ102">
        <v>0</v>
      </c>
      <c r="BA102">
        <v>98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1.5975999999999999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1.5975999999999999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1</v>
      </c>
      <c r="CV102">
        <v>0</v>
      </c>
      <c r="CW102">
        <v>0</v>
      </c>
      <c r="CX102">
        <f>ROUND(Y102*Source!I96,7)</f>
        <v>0.64</v>
      </c>
      <c r="CY102">
        <f>AA102</f>
        <v>111.83</v>
      </c>
      <c r="CZ102">
        <f>AE102</f>
        <v>79.88</v>
      </c>
      <c r="DA102">
        <f>AI102</f>
        <v>1.4</v>
      </c>
      <c r="DB102">
        <f t="shared" si="53"/>
        <v>1.6</v>
      </c>
      <c r="DC102">
        <f t="shared" si="54"/>
        <v>0</v>
      </c>
      <c r="DD102" t="s">
        <v>3</v>
      </c>
      <c r="DE102" t="s">
        <v>3</v>
      </c>
      <c r="DF102">
        <f>ROUND(ROUND(AE102*AI102,2)*CX102,2)</f>
        <v>71.569999999999993</v>
      </c>
      <c r="DG102">
        <f t="shared" si="51"/>
        <v>0</v>
      </c>
      <c r="DH102">
        <f t="shared" si="31"/>
        <v>0</v>
      </c>
      <c r="DI102">
        <f t="shared" si="32"/>
        <v>0</v>
      </c>
      <c r="DJ102">
        <f>DF102</f>
        <v>71.569999999999993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ROW(Source!A96)</f>
        <v>96</v>
      </c>
      <c r="B103">
        <v>80308166</v>
      </c>
      <c r="C103">
        <v>80308692</v>
      </c>
      <c r="D103">
        <v>72941800</v>
      </c>
      <c r="E103">
        <v>1</v>
      </c>
      <c r="F103">
        <v>1</v>
      </c>
      <c r="G103">
        <v>1</v>
      </c>
      <c r="H103">
        <v>3</v>
      </c>
      <c r="I103" t="s">
        <v>514</v>
      </c>
      <c r="J103" t="s">
        <v>515</v>
      </c>
      <c r="K103" t="s">
        <v>516</v>
      </c>
      <c r="L103">
        <v>1348</v>
      </c>
      <c r="N103">
        <v>1009</v>
      </c>
      <c r="O103" t="s">
        <v>35</v>
      </c>
      <c r="P103" t="s">
        <v>35</v>
      </c>
      <c r="Q103">
        <v>1000</v>
      </c>
      <c r="W103">
        <v>0</v>
      </c>
      <c r="X103">
        <v>-638797071</v>
      </c>
      <c r="Y103">
        <f t="shared" si="52"/>
        <v>1.0000000000000001E-5</v>
      </c>
      <c r="AA103">
        <v>72836.649999999994</v>
      </c>
      <c r="AB103">
        <v>0</v>
      </c>
      <c r="AC103">
        <v>0</v>
      </c>
      <c r="AD103">
        <v>0</v>
      </c>
      <c r="AE103">
        <v>60697.21</v>
      </c>
      <c r="AF103">
        <v>0</v>
      </c>
      <c r="AG103">
        <v>0</v>
      </c>
      <c r="AH103">
        <v>0</v>
      </c>
      <c r="AI103">
        <v>1.2</v>
      </c>
      <c r="AJ103">
        <v>1</v>
      </c>
      <c r="AK103">
        <v>1</v>
      </c>
      <c r="AL103">
        <v>1</v>
      </c>
      <c r="AM103">
        <v>2</v>
      </c>
      <c r="AN103">
        <v>0</v>
      </c>
      <c r="AO103">
        <v>0</v>
      </c>
      <c r="AP103">
        <v>1</v>
      </c>
      <c r="AQ103">
        <v>1</v>
      </c>
      <c r="AR103">
        <v>0</v>
      </c>
      <c r="AS103" t="s">
        <v>3</v>
      </c>
      <c r="AT103">
        <v>1.0000000000000001E-5</v>
      </c>
      <c r="AU103" t="s">
        <v>3</v>
      </c>
      <c r="AV103">
        <v>0</v>
      </c>
      <c r="AW103">
        <v>2</v>
      </c>
      <c r="AX103">
        <v>80308701</v>
      </c>
      <c r="AY103">
        <v>1</v>
      </c>
      <c r="AZ103">
        <v>0</v>
      </c>
      <c r="BA103">
        <v>99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0.60697210000000001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</v>
      </c>
      <c r="BQ103">
        <v>0.60697210000000001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1</v>
      </c>
      <c r="CV103">
        <v>0</v>
      </c>
      <c r="CW103">
        <v>0</v>
      </c>
      <c r="CX103">
        <f>ROUND(Y103*Source!I96,7)</f>
        <v>3.2000000000000003E-4</v>
      </c>
      <c r="CY103">
        <f>AA103</f>
        <v>72836.649999999994</v>
      </c>
      <c r="CZ103">
        <f>AE103</f>
        <v>60697.21</v>
      </c>
      <c r="DA103">
        <f>AI103</f>
        <v>1.2</v>
      </c>
      <c r="DB103">
        <f t="shared" si="53"/>
        <v>0.61</v>
      </c>
      <c r="DC103">
        <f t="shared" si="54"/>
        <v>0</v>
      </c>
      <c r="DD103" t="s">
        <v>3</v>
      </c>
      <c r="DE103" t="s">
        <v>3</v>
      </c>
      <c r="DF103">
        <f>ROUND(ROUND(AE103*AI103,2)*CX103,2)</f>
        <v>23.31</v>
      </c>
      <c r="DG103">
        <f t="shared" si="51"/>
        <v>0</v>
      </c>
      <c r="DH103">
        <f t="shared" si="31"/>
        <v>0</v>
      </c>
      <c r="DI103">
        <f t="shared" si="32"/>
        <v>0</v>
      </c>
      <c r="DJ103">
        <f>DF103</f>
        <v>23.31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ROW(Source!A96)</f>
        <v>96</v>
      </c>
      <c r="B104">
        <v>80308166</v>
      </c>
      <c r="C104">
        <v>80308692</v>
      </c>
      <c r="D104">
        <v>77545091</v>
      </c>
      <c r="E104">
        <v>1</v>
      </c>
      <c r="F104">
        <v>1</v>
      </c>
      <c r="G104">
        <v>1</v>
      </c>
      <c r="H104">
        <v>3</v>
      </c>
      <c r="I104" t="s">
        <v>182</v>
      </c>
      <c r="J104" t="s">
        <v>184</v>
      </c>
      <c r="K104" t="s">
        <v>183</v>
      </c>
      <c r="L104">
        <v>1371</v>
      </c>
      <c r="N104">
        <v>1013</v>
      </c>
      <c r="O104" t="s">
        <v>30</v>
      </c>
      <c r="P104" t="s">
        <v>30</v>
      </c>
      <c r="Q104">
        <v>1</v>
      </c>
      <c r="W104">
        <v>0</v>
      </c>
      <c r="X104">
        <v>304774065</v>
      </c>
      <c r="Y104">
        <f t="shared" si="52"/>
        <v>1</v>
      </c>
      <c r="AA104">
        <v>624.23</v>
      </c>
      <c r="AB104">
        <v>0</v>
      </c>
      <c r="AC104">
        <v>0</v>
      </c>
      <c r="AD104">
        <v>0</v>
      </c>
      <c r="AE104">
        <v>624.23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2</v>
      </c>
      <c r="AN104">
        <v>0</v>
      </c>
      <c r="AO104">
        <v>0</v>
      </c>
      <c r="AP104">
        <v>1</v>
      </c>
      <c r="AQ104">
        <v>0</v>
      </c>
      <c r="AR104">
        <v>0</v>
      </c>
      <c r="AS104" t="s">
        <v>3</v>
      </c>
      <c r="AT104">
        <v>1</v>
      </c>
      <c r="AU104" t="s">
        <v>3</v>
      </c>
      <c r="AV104">
        <v>0</v>
      </c>
      <c r="AW104">
        <v>1</v>
      </c>
      <c r="AX104">
        <v>-1</v>
      </c>
      <c r="AY104">
        <v>0</v>
      </c>
      <c r="AZ104">
        <v>0</v>
      </c>
      <c r="BA104" t="s">
        <v>3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V104">
        <v>0</v>
      </c>
      <c r="CW104">
        <v>0</v>
      </c>
      <c r="CX104">
        <f>ROUND(Y104*Source!I96,7)</f>
        <v>32</v>
      </c>
      <c r="CY104">
        <f>AA104</f>
        <v>624.23</v>
      </c>
      <c r="CZ104">
        <f>AE104</f>
        <v>624.23</v>
      </c>
      <c r="DA104">
        <f>AI104</f>
        <v>1</v>
      </c>
      <c r="DB104">
        <f t="shared" si="53"/>
        <v>624.23</v>
      </c>
      <c r="DC104">
        <f t="shared" si="54"/>
        <v>0</v>
      </c>
      <c r="DD104" t="s">
        <v>3</v>
      </c>
      <c r="DE104" t="s">
        <v>3</v>
      </c>
      <c r="DF104">
        <f>ROUND(ROUND(AE104,2)*CX104,2)</f>
        <v>19975.36</v>
      </c>
      <c r="DG104">
        <f t="shared" si="51"/>
        <v>0</v>
      </c>
      <c r="DH104">
        <f t="shared" si="31"/>
        <v>0</v>
      </c>
      <c r="DI104">
        <f t="shared" si="32"/>
        <v>0</v>
      </c>
      <c r="DJ104">
        <f>DF104</f>
        <v>19975.36</v>
      </c>
      <c r="DK104">
        <v>0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ROW(Source!A98)</f>
        <v>98</v>
      </c>
      <c r="B105">
        <v>80308166</v>
      </c>
      <c r="C105">
        <v>80308703</v>
      </c>
      <c r="D105">
        <v>72850637</v>
      </c>
      <c r="E105">
        <v>114</v>
      </c>
      <c r="F105">
        <v>1</v>
      </c>
      <c r="G105">
        <v>1</v>
      </c>
      <c r="H105">
        <v>1</v>
      </c>
      <c r="I105" t="s">
        <v>447</v>
      </c>
      <c r="J105" t="s">
        <v>3</v>
      </c>
      <c r="K105" t="s">
        <v>448</v>
      </c>
      <c r="L105">
        <v>1191</v>
      </c>
      <c r="N105">
        <v>1013</v>
      </c>
      <c r="O105" t="s">
        <v>449</v>
      </c>
      <c r="P105" t="s">
        <v>449</v>
      </c>
      <c r="Q105">
        <v>1</v>
      </c>
      <c r="W105">
        <v>0</v>
      </c>
      <c r="X105">
        <v>-715079457</v>
      </c>
      <c r="Y105">
        <f t="shared" si="52"/>
        <v>133</v>
      </c>
      <c r="AA105">
        <v>0</v>
      </c>
      <c r="AB105">
        <v>0</v>
      </c>
      <c r="AC105">
        <v>0</v>
      </c>
      <c r="AD105">
        <v>681.63</v>
      </c>
      <c r="AE105">
        <v>0</v>
      </c>
      <c r="AF105">
        <v>0</v>
      </c>
      <c r="AG105">
        <v>0</v>
      </c>
      <c r="AH105">
        <v>681.63</v>
      </c>
      <c r="AI105">
        <v>1</v>
      </c>
      <c r="AJ105">
        <v>1</v>
      </c>
      <c r="AK105">
        <v>1</v>
      </c>
      <c r="AL105">
        <v>1</v>
      </c>
      <c r="AM105">
        <v>-2</v>
      </c>
      <c r="AN105">
        <v>0</v>
      </c>
      <c r="AO105">
        <v>0</v>
      </c>
      <c r="AP105">
        <v>0</v>
      </c>
      <c r="AQ105">
        <v>1</v>
      </c>
      <c r="AR105">
        <v>0</v>
      </c>
      <c r="AS105" t="s">
        <v>3</v>
      </c>
      <c r="AT105">
        <v>133</v>
      </c>
      <c r="AU105" t="s">
        <v>3</v>
      </c>
      <c r="AV105">
        <v>1</v>
      </c>
      <c r="AW105">
        <v>2</v>
      </c>
      <c r="AX105">
        <v>80308712</v>
      </c>
      <c r="AY105">
        <v>1</v>
      </c>
      <c r="AZ105">
        <v>0</v>
      </c>
      <c r="BA105">
        <v>100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90656.79</v>
      </c>
      <c r="BN105">
        <v>133</v>
      </c>
      <c r="BO105">
        <v>0</v>
      </c>
      <c r="BP105">
        <v>1</v>
      </c>
      <c r="BQ105">
        <v>0</v>
      </c>
      <c r="BR105">
        <v>0</v>
      </c>
      <c r="BS105">
        <v>0</v>
      </c>
      <c r="BT105">
        <v>90656.79</v>
      </c>
      <c r="BU105">
        <v>133</v>
      </c>
      <c r="BV105">
        <v>0</v>
      </c>
      <c r="BW105">
        <v>1</v>
      </c>
      <c r="CU105">
        <f>ROUND(AT105*Source!I98*AH105*AL105,2)</f>
        <v>2719.7</v>
      </c>
      <c r="CV105">
        <f>ROUND(Y105*Source!I98,7)</f>
        <v>3.99</v>
      </c>
      <c r="CW105">
        <v>0</v>
      </c>
      <c r="CX105">
        <f>ROUND(Y105*Source!I98,7)</f>
        <v>3.99</v>
      </c>
      <c r="CY105">
        <f>AD105</f>
        <v>681.63</v>
      </c>
      <c r="CZ105">
        <f>AH105</f>
        <v>681.63</v>
      </c>
      <c r="DA105">
        <f>AL105</f>
        <v>1</v>
      </c>
      <c r="DB105">
        <f t="shared" si="53"/>
        <v>90656.79</v>
      </c>
      <c r="DC105">
        <f t="shared" si="54"/>
        <v>0</v>
      </c>
      <c r="DD105" t="s">
        <v>3</v>
      </c>
      <c r="DE105" t="s">
        <v>3</v>
      </c>
      <c r="DF105">
        <f>ROUND(ROUND(AE105,2)*CX105,2)</f>
        <v>0</v>
      </c>
      <c r="DG105">
        <f t="shared" si="51"/>
        <v>0</v>
      </c>
      <c r="DH105">
        <f t="shared" si="31"/>
        <v>0</v>
      </c>
      <c r="DI105">
        <f t="shared" si="32"/>
        <v>2719.7</v>
      </c>
      <c r="DJ105">
        <f>DI105</f>
        <v>2719.7</v>
      </c>
      <c r="DK105">
        <v>1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ROW(Source!A98)</f>
        <v>98</v>
      </c>
      <c r="B106">
        <v>80308166</v>
      </c>
      <c r="C106">
        <v>80308703</v>
      </c>
      <c r="D106">
        <v>72850822</v>
      </c>
      <c r="E106">
        <v>114</v>
      </c>
      <c r="F106">
        <v>1</v>
      </c>
      <c r="G106">
        <v>1</v>
      </c>
      <c r="H106">
        <v>1</v>
      </c>
      <c r="I106" t="s">
        <v>450</v>
      </c>
      <c r="J106" t="s">
        <v>3</v>
      </c>
      <c r="K106" t="s">
        <v>451</v>
      </c>
      <c r="L106">
        <v>1191</v>
      </c>
      <c r="N106">
        <v>1013</v>
      </c>
      <c r="O106" t="s">
        <v>449</v>
      </c>
      <c r="P106" t="s">
        <v>449</v>
      </c>
      <c r="Q106">
        <v>1</v>
      </c>
      <c r="W106">
        <v>0</v>
      </c>
      <c r="X106">
        <v>-1417349443</v>
      </c>
      <c r="Y106">
        <f t="shared" si="52"/>
        <v>0.26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-2</v>
      </c>
      <c r="AN106">
        <v>0</v>
      </c>
      <c r="AO106">
        <v>0</v>
      </c>
      <c r="AP106">
        <v>0</v>
      </c>
      <c r="AQ106">
        <v>1</v>
      </c>
      <c r="AR106">
        <v>0</v>
      </c>
      <c r="AS106" t="s">
        <v>3</v>
      </c>
      <c r="AT106">
        <v>0.26</v>
      </c>
      <c r="AU106" t="s">
        <v>3</v>
      </c>
      <c r="AV106">
        <v>2</v>
      </c>
      <c r="AW106">
        <v>2</v>
      </c>
      <c r="AX106">
        <v>80308713</v>
      </c>
      <c r="AY106">
        <v>1</v>
      </c>
      <c r="AZ106">
        <v>0</v>
      </c>
      <c r="BA106">
        <v>101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V106">
        <v>0</v>
      </c>
      <c r="CW106">
        <v>0</v>
      </c>
      <c r="CX106">
        <f>ROUND(Y106*Source!I98,7)</f>
        <v>7.7999999999999996E-3</v>
      </c>
      <c r="CY106">
        <f>AD106</f>
        <v>0</v>
      </c>
      <c r="CZ106">
        <f>AH106</f>
        <v>0</v>
      </c>
      <c r="DA106">
        <f>AL106</f>
        <v>1</v>
      </c>
      <c r="DB106">
        <f t="shared" si="53"/>
        <v>0</v>
      </c>
      <c r="DC106">
        <f t="shared" si="54"/>
        <v>0</v>
      </c>
      <c r="DD106" t="s">
        <v>3</v>
      </c>
      <c r="DE106" t="s">
        <v>3</v>
      </c>
      <c r="DF106">
        <f>ROUND(ROUND(AE106,2)*CX106,2)</f>
        <v>0</v>
      </c>
      <c r="DG106">
        <f t="shared" si="51"/>
        <v>0</v>
      </c>
      <c r="DH106">
        <f t="shared" si="31"/>
        <v>0</v>
      </c>
      <c r="DI106">
        <f t="shared" si="32"/>
        <v>0</v>
      </c>
      <c r="DJ106">
        <f>DI106</f>
        <v>0</v>
      </c>
      <c r="DK106">
        <v>0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ROW(Source!A98)</f>
        <v>98</v>
      </c>
      <c r="B107">
        <v>80308166</v>
      </c>
      <c r="C107">
        <v>80308703</v>
      </c>
      <c r="D107">
        <v>72976159</v>
      </c>
      <c r="E107">
        <v>1</v>
      </c>
      <c r="F107">
        <v>1</v>
      </c>
      <c r="G107">
        <v>1</v>
      </c>
      <c r="H107">
        <v>2</v>
      </c>
      <c r="I107" t="s">
        <v>452</v>
      </c>
      <c r="J107" t="s">
        <v>453</v>
      </c>
      <c r="K107" t="s">
        <v>454</v>
      </c>
      <c r="L107">
        <v>1368</v>
      </c>
      <c r="N107">
        <v>1011</v>
      </c>
      <c r="O107" t="s">
        <v>455</v>
      </c>
      <c r="P107" t="s">
        <v>455</v>
      </c>
      <c r="Q107">
        <v>1</v>
      </c>
      <c r="W107">
        <v>0</v>
      </c>
      <c r="X107">
        <v>-1152394969</v>
      </c>
      <c r="Y107">
        <f t="shared" si="52"/>
        <v>0.26</v>
      </c>
      <c r="AA107">
        <v>0</v>
      </c>
      <c r="AB107">
        <v>643.29</v>
      </c>
      <c r="AC107">
        <v>722.05</v>
      </c>
      <c r="AD107">
        <v>0</v>
      </c>
      <c r="AE107">
        <v>0</v>
      </c>
      <c r="AF107">
        <v>643.29</v>
      </c>
      <c r="AG107">
        <v>722.05</v>
      </c>
      <c r="AH107">
        <v>0</v>
      </c>
      <c r="AI107">
        <v>1</v>
      </c>
      <c r="AJ107">
        <v>1</v>
      </c>
      <c r="AK107">
        <v>1</v>
      </c>
      <c r="AL107">
        <v>1</v>
      </c>
      <c r="AM107">
        <v>-2</v>
      </c>
      <c r="AN107">
        <v>0</v>
      </c>
      <c r="AO107">
        <v>0</v>
      </c>
      <c r="AP107">
        <v>0</v>
      </c>
      <c r="AQ107">
        <v>1</v>
      </c>
      <c r="AR107">
        <v>0</v>
      </c>
      <c r="AS107" t="s">
        <v>3</v>
      </c>
      <c r="AT107">
        <v>0.26</v>
      </c>
      <c r="AU107" t="s">
        <v>3</v>
      </c>
      <c r="AV107">
        <v>1</v>
      </c>
      <c r="AW107">
        <v>2</v>
      </c>
      <c r="AX107">
        <v>80308714</v>
      </c>
      <c r="AY107">
        <v>1</v>
      </c>
      <c r="AZ107">
        <v>0</v>
      </c>
      <c r="BA107">
        <v>102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167.25540000000001</v>
      </c>
      <c r="BL107">
        <v>187.733</v>
      </c>
      <c r="BM107">
        <v>0</v>
      </c>
      <c r="BN107">
        <v>0</v>
      </c>
      <c r="BO107">
        <v>0.26</v>
      </c>
      <c r="BP107">
        <v>1</v>
      </c>
      <c r="BQ107">
        <v>0</v>
      </c>
      <c r="BR107">
        <v>167.25540000000001</v>
      </c>
      <c r="BS107">
        <v>187.733</v>
      </c>
      <c r="BT107">
        <v>0</v>
      </c>
      <c r="BU107">
        <v>0</v>
      </c>
      <c r="BV107">
        <v>0.26</v>
      </c>
      <c r="BW107">
        <v>1</v>
      </c>
      <c r="CV107">
        <v>0</v>
      </c>
      <c r="CW107">
        <f>ROUND(Y107*Source!I98*DO107,7)</f>
        <v>7.7999999999999996E-3</v>
      </c>
      <c r="CX107">
        <f>ROUND(Y107*Source!I98,7)</f>
        <v>7.7999999999999996E-3</v>
      </c>
      <c r="CY107">
        <f>AB107</f>
        <v>643.29</v>
      </c>
      <c r="CZ107">
        <f>AF107</f>
        <v>643.29</v>
      </c>
      <c r="DA107">
        <f>AJ107</f>
        <v>1</v>
      </c>
      <c r="DB107">
        <f t="shared" si="53"/>
        <v>167.26</v>
      </c>
      <c r="DC107">
        <f t="shared" si="54"/>
        <v>187.73</v>
      </c>
      <c r="DD107" t="s">
        <v>3</v>
      </c>
      <c r="DE107" t="s">
        <v>3</v>
      </c>
      <c r="DF107">
        <f>ROUND(ROUND(AE107,2)*CX107,2)</f>
        <v>0</v>
      </c>
      <c r="DG107">
        <f t="shared" si="51"/>
        <v>5.0199999999999996</v>
      </c>
      <c r="DH107">
        <f t="shared" si="31"/>
        <v>5.63</v>
      </c>
      <c r="DI107">
        <f t="shared" si="32"/>
        <v>0</v>
      </c>
      <c r="DJ107">
        <f>DG107+DH107</f>
        <v>10.649999999999999</v>
      </c>
      <c r="DK107">
        <v>1</v>
      </c>
      <c r="DL107" t="s">
        <v>456</v>
      </c>
      <c r="DM107">
        <v>4</v>
      </c>
      <c r="DN107" t="s">
        <v>449</v>
      </c>
      <c r="DO107">
        <v>1</v>
      </c>
    </row>
    <row r="108" spans="1:119" x14ac:dyDescent="0.2">
      <c r="A108">
        <f>ROW(Source!A98)</f>
        <v>98</v>
      </c>
      <c r="B108">
        <v>80308166</v>
      </c>
      <c r="C108">
        <v>80308703</v>
      </c>
      <c r="D108">
        <v>72922828</v>
      </c>
      <c r="E108">
        <v>1</v>
      </c>
      <c r="F108">
        <v>1</v>
      </c>
      <c r="G108">
        <v>1</v>
      </c>
      <c r="H108">
        <v>3</v>
      </c>
      <c r="I108" t="s">
        <v>508</v>
      </c>
      <c r="J108" t="s">
        <v>509</v>
      </c>
      <c r="K108" t="s">
        <v>510</v>
      </c>
      <c r="L108">
        <v>1346</v>
      </c>
      <c r="N108">
        <v>1009</v>
      </c>
      <c r="O108" t="s">
        <v>295</v>
      </c>
      <c r="P108" t="s">
        <v>295</v>
      </c>
      <c r="Q108">
        <v>1</v>
      </c>
      <c r="W108">
        <v>0</v>
      </c>
      <c r="X108">
        <v>147489920</v>
      </c>
      <c r="Y108">
        <f t="shared" si="52"/>
        <v>1.84</v>
      </c>
      <c r="AA108">
        <v>170.77</v>
      </c>
      <c r="AB108">
        <v>0</v>
      </c>
      <c r="AC108">
        <v>0</v>
      </c>
      <c r="AD108">
        <v>0</v>
      </c>
      <c r="AE108">
        <v>128.4</v>
      </c>
      <c r="AF108">
        <v>0</v>
      </c>
      <c r="AG108">
        <v>0</v>
      </c>
      <c r="AH108">
        <v>0</v>
      </c>
      <c r="AI108">
        <v>1.33</v>
      </c>
      <c r="AJ108">
        <v>1</v>
      </c>
      <c r="AK108">
        <v>1</v>
      </c>
      <c r="AL108">
        <v>1</v>
      </c>
      <c r="AM108">
        <v>2</v>
      </c>
      <c r="AN108">
        <v>0</v>
      </c>
      <c r="AO108">
        <v>0</v>
      </c>
      <c r="AP108">
        <v>0</v>
      </c>
      <c r="AQ108">
        <v>1</v>
      </c>
      <c r="AR108">
        <v>0</v>
      </c>
      <c r="AS108" t="s">
        <v>3</v>
      </c>
      <c r="AT108">
        <v>1.84</v>
      </c>
      <c r="AU108" t="s">
        <v>3</v>
      </c>
      <c r="AV108">
        <v>0</v>
      </c>
      <c r="AW108">
        <v>2</v>
      </c>
      <c r="AX108">
        <v>80308715</v>
      </c>
      <c r="AY108">
        <v>1</v>
      </c>
      <c r="AZ108">
        <v>0</v>
      </c>
      <c r="BA108">
        <v>103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236.25600000000003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1</v>
      </c>
      <c r="BQ108">
        <v>236.25600000000003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1</v>
      </c>
      <c r="CV108">
        <v>0</v>
      </c>
      <c r="CW108">
        <v>0</v>
      </c>
      <c r="CX108">
        <f>ROUND(Y108*Source!I98,7)</f>
        <v>5.5199999999999999E-2</v>
      </c>
      <c r="CY108">
        <f>AA108</f>
        <v>170.77</v>
      </c>
      <c r="CZ108">
        <f>AE108</f>
        <v>128.4</v>
      </c>
      <c r="DA108">
        <f>AI108</f>
        <v>1.33</v>
      </c>
      <c r="DB108">
        <f t="shared" si="53"/>
        <v>236.26</v>
      </c>
      <c r="DC108">
        <f t="shared" si="54"/>
        <v>0</v>
      </c>
      <c r="DD108" t="s">
        <v>3</v>
      </c>
      <c r="DE108" t="s">
        <v>3</v>
      </c>
      <c r="DF108">
        <f>ROUND(ROUND(AE108*AI108,2)*CX108,2)</f>
        <v>9.43</v>
      </c>
      <c r="DG108">
        <f t="shared" si="51"/>
        <v>0</v>
      </c>
      <c r="DH108">
        <f t="shared" si="31"/>
        <v>0</v>
      </c>
      <c r="DI108">
        <f t="shared" si="32"/>
        <v>0</v>
      </c>
      <c r="DJ108">
        <f>DF108</f>
        <v>9.43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ROW(Source!A98)</f>
        <v>98</v>
      </c>
      <c r="B109">
        <v>80308166</v>
      </c>
      <c r="C109">
        <v>80308703</v>
      </c>
      <c r="D109">
        <v>72941506</v>
      </c>
      <c r="E109">
        <v>1</v>
      </c>
      <c r="F109">
        <v>1</v>
      </c>
      <c r="G109">
        <v>1</v>
      </c>
      <c r="H109">
        <v>3</v>
      </c>
      <c r="I109" t="s">
        <v>511</v>
      </c>
      <c r="J109" t="s">
        <v>512</v>
      </c>
      <c r="K109" t="s">
        <v>513</v>
      </c>
      <c r="L109">
        <v>1346</v>
      </c>
      <c r="N109">
        <v>1009</v>
      </c>
      <c r="O109" t="s">
        <v>295</v>
      </c>
      <c r="P109" t="s">
        <v>295</v>
      </c>
      <c r="Q109">
        <v>1</v>
      </c>
      <c r="W109">
        <v>0</v>
      </c>
      <c r="X109">
        <v>790403873</v>
      </c>
      <c r="Y109">
        <f t="shared" si="52"/>
        <v>3.7</v>
      </c>
      <c r="AA109">
        <v>111.83</v>
      </c>
      <c r="AB109">
        <v>0</v>
      </c>
      <c r="AC109">
        <v>0</v>
      </c>
      <c r="AD109">
        <v>0</v>
      </c>
      <c r="AE109">
        <v>79.88</v>
      </c>
      <c r="AF109">
        <v>0</v>
      </c>
      <c r="AG109">
        <v>0</v>
      </c>
      <c r="AH109">
        <v>0</v>
      </c>
      <c r="AI109">
        <v>1.4</v>
      </c>
      <c r="AJ109">
        <v>1</v>
      </c>
      <c r="AK109">
        <v>1</v>
      </c>
      <c r="AL109">
        <v>1</v>
      </c>
      <c r="AM109">
        <v>2</v>
      </c>
      <c r="AN109">
        <v>0</v>
      </c>
      <c r="AO109">
        <v>0</v>
      </c>
      <c r="AP109">
        <v>0</v>
      </c>
      <c r="AQ109">
        <v>1</v>
      </c>
      <c r="AR109">
        <v>0</v>
      </c>
      <c r="AS109" t="s">
        <v>3</v>
      </c>
      <c r="AT109">
        <v>3.7</v>
      </c>
      <c r="AU109" t="s">
        <v>3</v>
      </c>
      <c r="AV109">
        <v>0</v>
      </c>
      <c r="AW109">
        <v>2</v>
      </c>
      <c r="AX109">
        <v>80308716</v>
      </c>
      <c r="AY109">
        <v>1</v>
      </c>
      <c r="AZ109">
        <v>0</v>
      </c>
      <c r="BA109">
        <v>104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295.55599999999998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295.55599999999998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1</v>
      </c>
      <c r="CV109">
        <v>0</v>
      </c>
      <c r="CW109">
        <v>0</v>
      </c>
      <c r="CX109">
        <f>ROUND(Y109*Source!I98,7)</f>
        <v>0.111</v>
      </c>
      <c r="CY109">
        <f>AA109</f>
        <v>111.83</v>
      </c>
      <c r="CZ109">
        <f>AE109</f>
        <v>79.88</v>
      </c>
      <c r="DA109">
        <f>AI109</f>
        <v>1.4</v>
      </c>
      <c r="DB109">
        <f t="shared" si="53"/>
        <v>295.56</v>
      </c>
      <c r="DC109">
        <f t="shared" si="54"/>
        <v>0</v>
      </c>
      <c r="DD109" t="s">
        <v>3</v>
      </c>
      <c r="DE109" t="s">
        <v>3</v>
      </c>
      <c r="DF109">
        <f>ROUND(ROUND(AE109*AI109,2)*CX109,2)</f>
        <v>12.41</v>
      </c>
      <c r="DG109">
        <f t="shared" si="51"/>
        <v>0</v>
      </c>
      <c r="DH109">
        <f t="shared" si="31"/>
        <v>0</v>
      </c>
      <c r="DI109">
        <f t="shared" si="32"/>
        <v>0</v>
      </c>
      <c r="DJ109">
        <f>DF109</f>
        <v>12.41</v>
      </c>
      <c r="DK109">
        <v>0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ROW(Source!A98)</f>
        <v>98</v>
      </c>
      <c r="B110">
        <v>80308166</v>
      </c>
      <c r="C110">
        <v>80308703</v>
      </c>
      <c r="D110">
        <v>72941800</v>
      </c>
      <c r="E110">
        <v>1</v>
      </c>
      <c r="F110">
        <v>1</v>
      </c>
      <c r="G110">
        <v>1</v>
      </c>
      <c r="H110">
        <v>3</v>
      </c>
      <c r="I110" t="s">
        <v>514</v>
      </c>
      <c r="J110" t="s">
        <v>515</v>
      </c>
      <c r="K110" t="s">
        <v>516</v>
      </c>
      <c r="L110">
        <v>1348</v>
      </c>
      <c r="N110">
        <v>1009</v>
      </c>
      <c r="O110" t="s">
        <v>35</v>
      </c>
      <c r="P110" t="s">
        <v>35</v>
      </c>
      <c r="Q110">
        <v>1000</v>
      </c>
      <c r="W110">
        <v>0</v>
      </c>
      <c r="X110">
        <v>-638797071</v>
      </c>
      <c r="Y110">
        <f t="shared" si="52"/>
        <v>1.8E-3</v>
      </c>
      <c r="AA110">
        <v>72836.649999999994</v>
      </c>
      <c r="AB110">
        <v>0</v>
      </c>
      <c r="AC110">
        <v>0</v>
      </c>
      <c r="AD110">
        <v>0</v>
      </c>
      <c r="AE110">
        <v>60697.21</v>
      </c>
      <c r="AF110">
        <v>0</v>
      </c>
      <c r="AG110">
        <v>0</v>
      </c>
      <c r="AH110">
        <v>0</v>
      </c>
      <c r="AI110">
        <v>1.2</v>
      </c>
      <c r="AJ110">
        <v>1</v>
      </c>
      <c r="AK110">
        <v>1</v>
      </c>
      <c r="AL110">
        <v>1</v>
      </c>
      <c r="AM110">
        <v>2</v>
      </c>
      <c r="AN110">
        <v>0</v>
      </c>
      <c r="AO110">
        <v>0</v>
      </c>
      <c r="AP110">
        <v>0</v>
      </c>
      <c r="AQ110">
        <v>1</v>
      </c>
      <c r="AR110">
        <v>0</v>
      </c>
      <c r="AS110" t="s">
        <v>3</v>
      </c>
      <c r="AT110">
        <v>1.8E-3</v>
      </c>
      <c r="AU110" t="s">
        <v>3</v>
      </c>
      <c r="AV110">
        <v>0</v>
      </c>
      <c r="AW110">
        <v>2</v>
      </c>
      <c r="AX110">
        <v>80308717</v>
      </c>
      <c r="AY110">
        <v>1</v>
      </c>
      <c r="AZ110">
        <v>0</v>
      </c>
      <c r="BA110">
        <v>105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109.25497799999999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1</v>
      </c>
      <c r="BQ110">
        <v>109.25497799999999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1</v>
      </c>
      <c r="CV110">
        <v>0</v>
      </c>
      <c r="CW110">
        <v>0</v>
      </c>
      <c r="CX110">
        <f>ROUND(Y110*Source!I98,7)</f>
        <v>5.3999999999999998E-5</v>
      </c>
      <c r="CY110">
        <f>AA110</f>
        <v>72836.649999999994</v>
      </c>
      <c r="CZ110">
        <f>AE110</f>
        <v>60697.21</v>
      </c>
      <c r="DA110">
        <f>AI110</f>
        <v>1.2</v>
      </c>
      <c r="DB110">
        <f t="shared" si="53"/>
        <v>109.25</v>
      </c>
      <c r="DC110">
        <f t="shared" si="54"/>
        <v>0</v>
      </c>
      <c r="DD110" t="s">
        <v>3</v>
      </c>
      <c r="DE110" t="s">
        <v>3</v>
      </c>
      <c r="DF110">
        <f>ROUND(ROUND(AE110*AI110,2)*CX110,2)</f>
        <v>3.93</v>
      </c>
      <c r="DG110">
        <f t="shared" si="51"/>
        <v>0</v>
      </c>
      <c r="DH110">
        <f t="shared" si="31"/>
        <v>0</v>
      </c>
      <c r="DI110">
        <f t="shared" si="32"/>
        <v>0</v>
      </c>
      <c r="DJ110">
        <f>DF110</f>
        <v>3.93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ROW(Source!A98)</f>
        <v>98</v>
      </c>
      <c r="B111">
        <v>80308166</v>
      </c>
      <c r="C111">
        <v>80308703</v>
      </c>
      <c r="D111">
        <v>77518714</v>
      </c>
      <c r="E111">
        <v>1</v>
      </c>
      <c r="F111">
        <v>1</v>
      </c>
      <c r="G111">
        <v>1</v>
      </c>
      <c r="H111">
        <v>3</v>
      </c>
      <c r="I111" t="s">
        <v>229</v>
      </c>
      <c r="J111" t="s">
        <v>231</v>
      </c>
      <c r="K111" t="s">
        <v>230</v>
      </c>
      <c r="L111">
        <v>1371</v>
      </c>
      <c r="N111">
        <v>1013</v>
      </c>
      <c r="O111" t="s">
        <v>30</v>
      </c>
      <c r="P111" t="s">
        <v>30</v>
      </c>
      <c r="Q111">
        <v>1</v>
      </c>
      <c r="W111">
        <v>0</v>
      </c>
      <c r="X111">
        <v>705221990</v>
      </c>
      <c r="Y111">
        <f t="shared" si="52"/>
        <v>100</v>
      </c>
      <c r="AA111">
        <v>1441.84</v>
      </c>
      <c r="AB111">
        <v>0</v>
      </c>
      <c r="AC111">
        <v>0</v>
      </c>
      <c r="AD111">
        <v>0</v>
      </c>
      <c r="AE111">
        <v>1360.23</v>
      </c>
      <c r="AF111">
        <v>0</v>
      </c>
      <c r="AG111">
        <v>0</v>
      </c>
      <c r="AH111">
        <v>0</v>
      </c>
      <c r="AI111">
        <v>1.06</v>
      </c>
      <c r="AJ111">
        <v>1</v>
      </c>
      <c r="AK111">
        <v>1</v>
      </c>
      <c r="AL111">
        <v>1</v>
      </c>
      <c r="AM111">
        <v>2</v>
      </c>
      <c r="AN111">
        <v>0</v>
      </c>
      <c r="AO111">
        <v>0</v>
      </c>
      <c r="AP111">
        <v>1</v>
      </c>
      <c r="AQ111">
        <v>0</v>
      </c>
      <c r="AR111">
        <v>0</v>
      </c>
      <c r="AS111" t="s">
        <v>3</v>
      </c>
      <c r="AT111">
        <v>100</v>
      </c>
      <c r="AU111" t="s">
        <v>3</v>
      </c>
      <c r="AV111">
        <v>0</v>
      </c>
      <c r="AW111">
        <v>1</v>
      </c>
      <c r="AX111">
        <v>-1</v>
      </c>
      <c r="AY111">
        <v>0</v>
      </c>
      <c r="AZ111">
        <v>0</v>
      </c>
      <c r="BA111" t="s">
        <v>3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V111">
        <v>0</v>
      </c>
      <c r="CW111">
        <v>0</v>
      </c>
      <c r="CX111">
        <f>ROUND(Y111*Source!I98,7)</f>
        <v>3</v>
      </c>
      <c r="CY111">
        <f>AA111</f>
        <v>1441.84</v>
      </c>
      <c r="CZ111">
        <f>AE111</f>
        <v>1360.23</v>
      </c>
      <c r="DA111">
        <f>AI111</f>
        <v>1.06</v>
      </c>
      <c r="DB111">
        <f t="shared" si="53"/>
        <v>136023</v>
      </c>
      <c r="DC111">
        <f t="shared" si="54"/>
        <v>0</v>
      </c>
      <c r="DD111" t="s">
        <v>3</v>
      </c>
      <c r="DE111" t="s">
        <v>3</v>
      </c>
      <c r="DF111">
        <f>ROUND(ROUND(AE111*AI111,2)*CX111,2)</f>
        <v>4325.5200000000004</v>
      </c>
      <c r="DG111">
        <f t="shared" si="51"/>
        <v>0</v>
      </c>
      <c r="DH111">
        <f t="shared" si="31"/>
        <v>0</v>
      </c>
      <c r="DI111">
        <f t="shared" si="32"/>
        <v>0</v>
      </c>
      <c r="DJ111">
        <f>DF111</f>
        <v>4325.5200000000004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ROW(Source!A98)</f>
        <v>98</v>
      </c>
      <c r="B112">
        <v>80308166</v>
      </c>
      <c r="C112">
        <v>80308703</v>
      </c>
      <c r="D112">
        <v>72856517</v>
      </c>
      <c r="E112">
        <v>114</v>
      </c>
      <c r="F112">
        <v>1</v>
      </c>
      <c r="G112">
        <v>1</v>
      </c>
      <c r="H112">
        <v>3</v>
      </c>
      <c r="I112" t="s">
        <v>33</v>
      </c>
      <c r="J112" t="s">
        <v>3</v>
      </c>
      <c r="K112" t="s">
        <v>34</v>
      </c>
      <c r="L112">
        <v>1348</v>
      </c>
      <c r="N112">
        <v>1009</v>
      </c>
      <c r="O112" t="s">
        <v>35</v>
      </c>
      <c r="P112" t="s">
        <v>35</v>
      </c>
      <c r="Q112">
        <v>1000</v>
      </c>
      <c r="W112">
        <v>0</v>
      </c>
      <c r="X112">
        <v>-1296435862</v>
      </c>
      <c r="Y112">
        <f t="shared" si="52"/>
        <v>0.24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M112">
        <v>-2</v>
      </c>
      <c r="AN112">
        <v>0</v>
      </c>
      <c r="AO112">
        <v>0</v>
      </c>
      <c r="AP112">
        <v>0</v>
      </c>
      <c r="AQ112">
        <v>0</v>
      </c>
      <c r="AR112">
        <v>0</v>
      </c>
      <c r="AS112" t="s">
        <v>3</v>
      </c>
      <c r="AT112">
        <v>0.24</v>
      </c>
      <c r="AU112" t="s">
        <v>3</v>
      </c>
      <c r="AV112">
        <v>0</v>
      </c>
      <c r="AW112">
        <v>2</v>
      </c>
      <c r="AX112">
        <v>80308719</v>
      </c>
      <c r="AY112">
        <v>1</v>
      </c>
      <c r="AZ112">
        <v>0</v>
      </c>
      <c r="BA112">
        <v>107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V112">
        <v>0</v>
      </c>
      <c r="CW112">
        <v>0</v>
      </c>
      <c r="CX112">
        <f>ROUND(Y112*Source!I98,7)</f>
        <v>7.1999999999999998E-3</v>
      </c>
      <c r="CY112">
        <f>AA112</f>
        <v>0</v>
      </c>
      <c r="CZ112">
        <f>AE112</f>
        <v>0</v>
      </c>
      <c r="DA112">
        <f>AI112</f>
        <v>1</v>
      </c>
      <c r="DB112">
        <f t="shared" si="53"/>
        <v>0</v>
      </c>
      <c r="DC112">
        <f t="shared" si="54"/>
        <v>0</v>
      </c>
      <c r="DD112" t="s">
        <v>3</v>
      </c>
      <c r="DE112" t="s">
        <v>3</v>
      </c>
      <c r="DF112">
        <f>ROUND(ROUND(AE112,2)*CX112,2)</f>
        <v>0</v>
      </c>
      <c r="DG112">
        <f t="shared" si="51"/>
        <v>0</v>
      </c>
      <c r="DH112">
        <f t="shared" si="31"/>
        <v>0</v>
      </c>
      <c r="DI112">
        <f t="shared" si="32"/>
        <v>0</v>
      </c>
      <c r="DJ112">
        <f>DF112</f>
        <v>0</v>
      </c>
      <c r="DK112">
        <v>0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ROW(Source!A136)</f>
        <v>136</v>
      </c>
      <c r="B113">
        <v>80308166</v>
      </c>
      <c r="C113">
        <v>80308722</v>
      </c>
      <c r="D113">
        <v>72850629</v>
      </c>
      <c r="E113">
        <v>114</v>
      </c>
      <c r="F113">
        <v>1</v>
      </c>
      <c r="G113">
        <v>1</v>
      </c>
      <c r="H113">
        <v>1</v>
      </c>
      <c r="I113" t="s">
        <v>517</v>
      </c>
      <c r="J113" t="s">
        <v>3</v>
      </c>
      <c r="K113" t="s">
        <v>518</v>
      </c>
      <c r="L113">
        <v>1191</v>
      </c>
      <c r="N113">
        <v>1013</v>
      </c>
      <c r="O113" t="s">
        <v>449</v>
      </c>
      <c r="P113" t="s">
        <v>449</v>
      </c>
      <c r="Q113">
        <v>1</v>
      </c>
      <c r="W113">
        <v>0</v>
      </c>
      <c r="X113">
        <v>1426738182</v>
      </c>
      <c r="Y113">
        <f t="shared" si="52"/>
        <v>302.39999999999998</v>
      </c>
      <c r="AA113">
        <v>0</v>
      </c>
      <c r="AB113">
        <v>0</v>
      </c>
      <c r="AC113">
        <v>0</v>
      </c>
      <c r="AD113">
        <v>649.29999999999995</v>
      </c>
      <c r="AE113">
        <v>0</v>
      </c>
      <c r="AF113">
        <v>0</v>
      </c>
      <c r="AG113">
        <v>0</v>
      </c>
      <c r="AH113">
        <v>649.29999999999995</v>
      </c>
      <c r="AI113">
        <v>1</v>
      </c>
      <c r="AJ113">
        <v>1</v>
      </c>
      <c r="AK113">
        <v>1</v>
      </c>
      <c r="AL113">
        <v>1</v>
      </c>
      <c r="AM113">
        <v>-2</v>
      </c>
      <c r="AN113">
        <v>0</v>
      </c>
      <c r="AO113">
        <v>0</v>
      </c>
      <c r="AP113">
        <v>0</v>
      </c>
      <c r="AQ113">
        <v>1</v>
      </c>
      <c r="AR113">
        <v>0</v>
      </c>
      <c r="AS113" t="s">
        <v>3</v>
      </c>
      <c r="AT113">
        <v>302.39999999999998</v>
      </c>
      <c r="AU113" t="s">
        <v>3</v>
      </c>
      <c r="AV113">
        <v>1</v>
      </c>
      <c r="AW113">
        <v>2</v>
      </c>
      <c r="AX113">
        <v>80308729</v>
      </c>
      <c r="AY113">
        <v>1</v>
      </c>
      <c r="AZ113">
        <v>0</v>
      </c>
      <c r="BA113">
        <v>108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196348.31999999998</v>
      </c>
      <c r="BN113">
        <v>302.39999999999998</v>
      </c>
      <c r="BO113">
        <v>0</v>
      </c>
      <c r="BP113">
        <v>1</v>
      </c>
      <c r="BQ113">
        <v>0</v>
      </c>
      <c r="BR113">
        <v>0</v>
      </c>
      <c r="BS113">
        <v>0</v>
      </c>
      <c r="BT113">
        <v>196348.31999999998</v>
      </c>
      <c r="BU113">
        <v>302.39999999999998</v>
      </c>
      <c r="BV113">
        <v>0</v>
      </c>
      <c r="BW113">
        <v>1</v>
      </c>
      <c r="CU113">
        <f>ROUND(AT113*Source!I136*AH113*AL113,2)</f>
        <v>11780.9</v>
      </c>
      <c r="CV113">
        <f>ROUND(Y113*Source!I136,7)</f>
        <v>18.143999999999998</v>
      </c>
      <c r="CW113">
        <v>0</v>
      </c>
      <c r="CX113">
        <f>ROUND(Y113*Source!I136,7)</f>
        <v>18.143999999999998</v>
      </c>
      <c r="CY113">
        <f>AD113</f>
        <v>649.29999999999995</v>
      </c>
      <c r="CZ113">
        <f>AH113</f>
        <v>649.29999999999995</v>
      </c>
      <c r="DA113">
        <f>AL113</f>
        <v>1</v>
      </c>
      <c r="DB113">
        <f t="shared" si="53"/>
        <v>196348.32</v>
      </c>
      <c r="DC113">
        <f t="shared" si="54"/>
        <v>0</v>
      </c>
      <c r="DD113" t="s">
        <v>3</v>
      </c>
      <c r="DE113" t="s">
        <v>3</v>
      </c>
      <c r="DF113">
        <f>ROUND(ROUND(AE113,2)*CX113,2)</f>
        <v>0</v>
      </c>
      <c r="DG113">
        <f t="shared" si="51"/>
        <v>0</v>
      </c>
      <c r="DH113">
        <f t="shared" si="31"/>
        <v>0</v>
      </c>
      <c r="DI113">
        <f t="shared" si="32"/>
        <v>11780.9</v>
      </c>
      <c r="DJ113">
        <f>DI113</f>
        <v>11780.9</v>
      </c>
      <c r="DK113">
        <v>1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ROW(Source!A136)</f>
        <v>136</v>
      </c>
      <c r="B114">
        <v>80308166</v>
      </c>
      <c r="C114">
        <v>80308722</v>
      </c>
      <c r="D114">
        <v>72850822</v>
      </c>
      <c r="E114">
        <v>114</v>
      </c>
      <c r="F114">
        <v>1</v>
      </c>
      <c r="G114">
        <v>1</v>
      </c>
      <c r="H114">
        <v>1</v>
      </c>
      <c r="I114" t="s">
        <v>450</v>
      </c>
      <c r="J114" t="s">
        <v>3</v>
      </c>
      <c r="K114" t="s">
        <v>451</v>
      </c>
      <c r="L114">
        <v>1191</v>
      </c>
      <c r="N114">
        <v>1013</v>
      </c>
      <c r="O114" t="s">
        <v>449</v>
      </c>
      <c r="P114" t="s">
        <v>449</v>
      </c>
      <c r="Q114">
        <v>1</v>
      </c>
      <c r="W114">
        <v>0</v>
      </c>
      <c r="X114">
        <v>-1417349443</v>
      </c>
      <c r="Y114">
        <f t="shared" si="52"/>
        <v>0.01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1</v>
      </c>
      <c r="AL114">
        <v>1</v>
      </c>
      <c r="AM114">
        <v>-2</v>
      </c>
      <c r="AN114">
        <v>0</v>
      </c>
      <c r="AO114">
        <v>0</v>
      </c>
      <c r="AP114">
        <v>0</v>
      </c>
      <c r="AQ114">
        <v>1</v>
      </c>
      <c r="AR114">
        <v>0</v>
      </c>
      <c r="AS114" t="s">
        <v>3</v>
      </c>
      <c r="AT114">
        <v>0.01</v>
      </c>
      <c r="AU114" t="s">
        <v>3</v>
      </c>
      <c r="AV114">
        <v>2</v>
      </c>
      <c r="AW114">
        <v>2</v>
      </c>
      <c r="AX114">
        <v>80308730</v>
      </c>
      <c r="AY114">
        <v>1</v>
      </c>
      <c r="AZ114">
        <v>0</v>
      </c>
      <c r="BA114">
        <v>109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V114">
        <v>0</v>
      </c>
      <c r="CW114">
        <v>0</v>
      </c>
      <c r="CX114">
        <f>ROUND(Y114*Source!I136,7)</f>
        <v>5.9999999999999995E-4</v>
      </c>
      <c r="CY114">
        <f>AD114</f>
        <v>0</v>
      </c>
      <c r="CZ114">
        <f>AH114</f>
        <v>0</v>
      </c>
      <c r="DA114">
        <f>AL114</f>
        <v>1</v>
      </c>
      <c r="DB114">
        <f t="shared" si="53"/>
        <v>0</v>
      </c>
      <c r="DC114">
        <f t="shared" si="54"/>
        <v>0</v>
      </c>
      <c r="DD114" t="s">
        <v>3</v>
      </c>
      <c r="DE114" t="s">
        <v>3</v>
      </c>
      <c r="DF114">
        <f>ROUND(ROUND(AE114,2)*CX114,2)</f>
        <v>0</v>
      </c>
      <c r="DG114">
        <f t="shared" si="51"/>
        <v>0</v>
      </c>
      <c r="DH114">
        <f t="shared" si="31"/>
        <v>0</v>
      </c>
      <c r="DI114">
        <f t="shared" si="32"/>
        <v>0</v>
      </c>
      <c r="DJ114">
        <f>DI114</f>
        <v>0</v>
      </c>
      <c r="DK114">
        <v>0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ROW(Source!A136)</f>
        <v>136</v>
      </c>
      <c r="B115">
        <v>80308166</v>
      </c>
      <c r="C115">
        <v>80308722</v>
      </c>
      <c r="D115">
        <v>72976159</v>
      </c>
      <c r="E115">
        <v>1</v>
      </c>
      <c r="F115">
        <v>1</v>
      </c>
      <c r="G115">
        <v>1</v>
      </c>
      <c r="H115">
        <v>2</v>
      </c>
      <c r="I115" t="s">
        <v>452</v>
      </c>
      <c r="J115" t="s">
        <v>453</v>
      </c>
      <c r="K115" t="s">
        <v>454</v>
      </c>
      <c r="L115">
        <v>1368</v>
      </c>
      <c r="N115">
        <v>1011</v>
      </c>
      <c r="O115" t="s">
        <v>455</v>
      </c>
      <c r="P115" t="s">
        <v>455</v>
      </c>
      <c r="Q115">
        <v>1</v>
      </c>
      <c r="W115">
        <v>0</v>
      </c>
      <c r="X115">
        <v>-1152394969</v>
      </c>
      <c r="Y115">
        <f t="shared" si="52"/>
        <v>0.01</v>
      </c>
      <c r="AA115">
        <v>0</v>
      </c>
      <c r="AB115">
        <v>643.29</v>
      </c>
      <c r="AC115">
        <v>722.05</v>
      </c>
      <c r="AD115">
        <v>0</v>
      </c>
      <c r="AE115">
        <v>0</v>
      </c>
      <c r="AF115">
        <v>643.29</v>
      </c>
      <c r="AG115">
        <v>722.05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-2</v>
      </c>
      <c r="AN115">
        <v>0</v>
      </c>
      <c r="AO115">
        <v>0</v>
      </c>
      <c r="AP115">
        <v>0</v>
      </c>
      <c r="AQ115">
        <v>1</v>
      </c>
      <c r="AR115">
        <v>0</v>
      </c>
      <c r="AS115" t="s">
        <v>3</v>
      </c>
      <c r="AT115">
        <v>0.01</v>
      </c>
      <c r="AU115" t="s">
        <v>3</v>
      </c>
      <c r="AV115">
        <v>1</v>
      </c>
      <c r="AW115">
        <v>2</v>
      </c>
      <c r="AX115">
        <v>80308731</v>
      </c>
      <c r="AY115">
        <v>1</v>
      </c>
      <c r="AZ115">
        <v>0</v>
      </c>
      <c r="BA115">
        <v>110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6.4329000000000001</v>
      </c>
      <c r="BL115">
        <v>7.2204999999999995</v>
      </c>
      <c r="BM115">
        <v>0</v>
      </c>
      <c r="BN115">
        <v>0</v>
      </c>
      <c r="BO115">
        <v>0.01</v>
      </c>
      <c r="BP115">
        <v>1</v>
      </c>
      <c r="BQ115">
        <v>0</v>
      </c>
      <c r="BR115">
        <v>6.4329000000000001</v>
      </c>
      <c r="BS115">
        <v>7.2204999999999995</v>
      </c>
      <c r="BT115">
        <v>0</v>
      </c>
      <c r="BU115">
        <v>0</v>
      </c>
      <c r="BV115">
        <v>0.01</v>
      </c>
      <c r="BW115">
        <v>1</v>
      </c>
      <c r="CV115">
        <v>0</v>
      </c>
      <c r="CW115">
        <f>ROUND(Y115*Source!I136*DO115,7)</f>
        <v>5.9999999999999995E-4</v>
      </c>
      <c r="CX115">
        <f>ROUND(Y115*Source!I136,7)</f>
        <v>5.9999999999999995E-4</v>
      </c>
      <c r="CY115">
        <f>AB115</f>
        <v>643.29</v>
      </c>
      <c r="CZ115">
        <f>AF115</f>
        <v>643.29</v>
      </c>
      <c r="DA115">
        <f>AJ115</f>
        <v>1</v>
      </c>
      <c r="DB115">
        <f t="shared" si="53"/>
        <v>6.43</v>
      </c>
      <c r="DC115">
        <f t="shared" si="54"/>
        <v>7.22</v>
      </c>
      <c r="DD115" t="s">
        <v>3</v>
      </c>
      <c r="DE115" t="s">
        <v>3</v>
      </c>
      <c r="DF115">
        <f>ROUND(ROUND(AE115,2)*CX115,2)</f>
        <v>0</v>
      </c>
      <c r="DG115">
        <f t="shared" si="51"/>
        <v>0.39</v>
      </c>
      <c r="DH115">
        <f t="shared" si="31"/>
        <v>0.43</v>
      </c>
      <c r="DI115">
        <f t="shared" si="32"/>
        <v>0</v>
      </c>
      <c r="DJ115">
        <f>DG115+DH115</f>
        <v>0.82000000000000006</v>
      </c>
      <c r="DK115">
        <v>1</v>
      </c>
      <c r="DL115" t="s">
        <v>456</v>
      </c>
      <c r="DM115">
        <v>4</v>
      </c>
      <c r="DN115" t="s">
        <v>449</v>
      </c>
      <c r="DO115">
        <v>1</v>
      </c>
    </row>
    <row r="116" spans="1:119" x14ac:dyDescent="0.2">
      <c r="A116">
        <f>ROW(Source!A136)</f>
        <v>136</v>
      </c>
      <c r="B116">
        <v>80308166</v>
      </c>
      <c r="C116">
        <v>80308722</v>
      </c>
      <c r="D116">
        <v>72920053</v>
      </c>
      <c r="E116">
        <v>1</v>
      </c>
      <c r="F116">
        <v>1</v>
      </c>
      <c r="G116">
        <v>1</v>
      </c>
      <c r="H116">
        <v>3</v>
      </c>
      <c r="I116" t="s">
        <v>544</v>
      </c>
      <c r="J116" t="s">
        <v>545</v>
      </c>
      <c r="K116" t="s">
        <v>546</v>
      </c>
      <c r="L116">
        <v>1346</v>
      </c>
      <c r="N116">
        <v>1009</v>
      </c>
      <c r="O116" t="s">
        <v>295</v>
      </c>
      <c r="P116" t="s">
        <v>295</v>
      </c>
      <c r="Q116">
        <v>1</v>
      </c>
      <c r="W116">
        <v>0</v>
      </c>
      <c r="X116">
        <v>-1854141120</v>
      </c>
      <c r="Y116">
        <f t="shared" si="52"/>
        <v>25.2</v>
      </c>
      <c r="AA116">
        <v>162.36000000000001</v>
      </c>
      <c r="AB116">
        <v>0</v>
      </c>
      <c r="AC116">
        <v>0</v>
      </c>
      <c r="AD116">
        <v>0</v>
      </c>
      <c r="AE116">
        <v>137.59</v>
      </c>
      <c r="AF116">
        <v>0</v>
      </c>
      <c r="AG116">
        <v>0</v>
      </c>
      <c r="AH116">
        <v>0</v>
      </c>
      <c r="AI116">
        <v>1.18</v>
      </c>
      <c r="AJ116">
        <v>1</v>
      </c>
      <c r="AK116">
        <v>1</v>
      </c>
      <c r="AL116">
        <v>1</v>
      </c>
      <c r="AM116">
        <v>2</v>
      </c>
      <c r="AN116">
        <v>0</v>
      </c>
      <c r="AO116">
        <v>0</v>
      </c>
      <c r="AP116">
        <v>0</v>
      </c>
      <c r="AQ116">
        <v>1</v>
      </c>
      <c r="AR116">
        <v>0</v>
      </c>
      <c r="AS116" t="s">
        <v>3</v>
      </c>
      <c r="AT116">
        <v>25.2</v>
      </c>
      <c r="AU116" t="s">
        <v>3</v>
      </c>
      <c r="AV116">
        <v>0</v>
      </c>
      <c r="AW116">
        <v>2</v>
      </c>
      <c r="AX116">
        <v>80308732</v>
      </c>
      <c r="AY116">
        <v>1</v>
      </c>
      <c r="AZ116">
        <v>0</v>
      </c>
      <c r="BA116">
        <v>111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3467.268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3467.268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1</v>
      </c>
      <c r="CV116">
        <v>0</v>
      </c>
      <c r="CW116">
        <v>0</v>
      </c>
      <c r="CX116">
        <f>ROUND(Y116*Source!I136,7)</f>
        <v>1.512</v>
      </c>
      <c r="CY116">
        <f>AA116</f>
        <v>162.36000000000001</v>
      </c>
      <c r="CZ116">
        <f>AE116</f>
        <v>137.59</v>
      </c>
      <c r="DA116">
        <f>AI116</f>
        <v>1.18</v>
      </c>
      <c r="DB116">
        <f t="shared" si="53"/>
        <v>3467.27</v>
      </c>
      <c r="DC116">
        <f t="shared" si="54"/>
        <v>0</v>
      </c>
      <c r="DD116" t="s">
        <v>3</v>
      </c>
      <c r="DE116" t="s">
        <v>3</v>
      </c>
      <c r="DF116">
        <f>ROUND(ROUND(AE116*AI116,2)*CX116,2)</f>
        <v>245.49</v>
      </c>
      <c r="DG116">
        <f t="shared" si="51"/>
        <v>0</v>
      </c>
      <c r="DH116">
        <f t="shared" si="31"/>
        <v>0</v>
      </c>
      <c r="DI116">
        <f t="shared" si="32"/>
        <v>0</v>
      </c>
      <c r="DJ116">
        <f>DF116</f>
        <v>245.49</v>
      </c>
      <c r="DK116">
        <v>0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ROW(Source!A136)</f>
        <v>136</v>
      </c>
      <c r="B117">
        <v>80308166</v>
      </c>
      <c r="C117">
        <v>80308722</v>
      </c>
      <c r="D117">
        <v>72920187</v>
      </c>
      <c r="E117">
        <v>1</v>
      </c>
      <c r="F117">
        <v>1</v>
      </c>
      <c r="G117">
        <v>1</v>
      </c>
      <c r="H117">
        <v>3</v>
      </c>
      <c r="I117" t="s">
        <v>547</v>
      </c>
      <c r="J117" t="s">
        <v>548</v>
      </c>
      <c r="K117" t="s">
        <v>549</v>
      </c>
      <c r="L117">
        <v>1346</v>
      </c>
      <c r="N117">
        <v>1009</v>
      </c>
      <c r="O117" t="s">
        <v>295</v>
      </c>
      <c r="P117" t="s">
        <v>295</v>
      </c>
      <c r="Q117">
        <v>1</v>
      </c>
      <c r="W117">
        <v>0</v>
      </c>
      <c r="X117">
        <v>-479354107</v>
      </c>
      <c r="Y117">
        <f t="shared" si="52"/>
        <v>7.8</v>
      </c>
      <c r="AA117">
        <v>93.65</v>
      </c>
      <c r="AB117">
        <v>0</v>
      </c>
      <c r="AC117">
        <v>0</v>
      </c>
      <c r="AD117">
        <v>0</v>
      </c>
      <c r="AE117">
        <v>58.53</v>
      </c>
      <c r="AF117">
        <v>0</v>
      </c>
      <c r="AG117">
        <v>0</v>
      </c>
      <c r="AH117">
        <v>0</v>
      </c>
      <c r="AI117">
        <v>1.6</v>
      </c>
      <c r="AJ117">
        <v>1</v>
      </c>
      <c r="AK117">
        <v>1</v>
      </c>
      <c r="AL117">
        <v>1</v>
      </c>
      <c r="AM117">
        <v>2</v>
      </c>
      <c r="AN117">
        <v>0</v>
      </c>
      <c r="AO117">
        <v>0</v>
      </c>
      <c r="AP117">
        <v>0</v>
      </c>
      <c r="AQ117">
        <v>1</v>
      </c>
      <c r="AR117">
        <v>0</v>
      </c>
      <c r="AS117" t="s">
        <v>3</v>
      </c>
      <c r="AT117">
        <v>7.8</v>
      </c>
      <c r="AU117" t="s">
        <v>3</v>
      </c>
      <c r="AV117">
        <v>0</v>
      </c>
      <c r="AW117">
        <v>2</v>
      </c>
      <c r="AX117">
        <v>80308733</v>
      </c>
      <c r="AY117">
        <v>1</v>
      </c>
      <c r="AZ117">
        <v>0</v>
      </c>
      <c r="BA117">
        <v>112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456.53399999999999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</v>
      </c>
      <c r="BQ117">
        <v>456.53399999999999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1</v>
      </c>
      <c r="CV117">
        <v>0</v>
      </c>
      <c r="CW117">
        <v>0</v>
      </c>
      <c r="CX117">
        <f>ROUND(Y117*Source!I136,7)</f>
        <v>0.46800000000000003</v>
      </c>
      <c r="CY117">
        <f>AA117</f>
        <v>93.65</v>
      </c>
      <c r="CZ117">
        <f>AE117</f>
        <v>58.53</v>
      </c>
      <c r="DA117">
        <f>AI117</f>
        <v>1.6</v>
      </c>
      <c r="DB117">
        <f t="shared" si="53"/>
        <v>456.53</v>
      </c>
      <c r="DC117">
        <f t="shared" si="54"/>
        <v>0</v>
      </c>
      <c r="DD117" t="s">
        <v>3</v>
      </c>
      <c r="DE117" t="s">
        <v>3</v>
      </c>
      <c r="DF117">
        <f>ROUND(ROUND(AE117*AI117,2)*CX117,2)</f>
        <v>43.83</v>
      </c>
      <c r="DG117">
        <f t="shared" si="51"/>
        <v>0</v>
      </c>
      <c r="DH117">
        <f t="shared" si="31"/>
        <v>0</v>
      </c>
      <c r="DI117">
        <f t="shared" si="32"/>
        <v>0</v>
      </c>
      <c r="DJ117">
        <f>DF117</f>
        <v>43.83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ROW(Source!A136)</f>
        <v>136</v>
      </c>
      <c r="B118">
        <v>80308166</v>
      </c>
      <c r="C118">
        <v>80308722</v>
      </c>
      <c r="D118">
        <v>72922646</v>
      </c>
      <c r="E118">
        <v>1</v>
      </c>
      <c r="F118">
        <v>1</v>
      </c>
      <c r="G118">
        <v>1</v>
      </c>
      <c r="H118">
        <v>3</v>
      </c>
      <c r="I118" t="s">
        <v>550</v>
      </c>
      <c r="J118" t="s">
        <v>551</v>
      </c>
      <c r="K118" t="s">
        <v>552</v>
      </c>
      <c r="L118">
        <v>1346</v>
      </c>
      <c r="N118">
        <v>1009</v>
      </c>
      <c r="O118" t="s">
        <v>295</v>
      </c>
      <c r="P118" t="s">
        <v>295</v>
      </c>
      <c r="Q118">
        <v>1</v>
      </c>
      <c r="W118">
        <v>0</v>
      </c>
      <c r="X118">
        <v>1903777236</v>
      </c>
      <c r="Y118">
        <f t="shared" si="52"/>
        <v>3.5</v>
      </c>
      <c r="AA118">
        <v>267.48</v>
      </c>
      <c r="AB118">
        <v>0</v>
      </c>
      <c r="AC118">
        <v>0</v>
      </c>
      <c r="AD118">
        <v>0</v>
      </c>
      <c r="AE118">
        <v>303.95</v>
      </c>
      <c r="AF118">
        <v>0</v>
      </c>
      <c r="AG118">
        <v>0</v>
      </c>
      <c r="AH118">
        <v>0</v>
      </c>
      <c r="AI118">
        <v>0.88</v>
      </c>
      <c r="AJ118">
        <v>1</v>
      </c>
      <c r="AK118">
        <v>1</v>
      </c>
      <c r="AL118">
        <v>1</v>
      </c>
      <c r="AM118">
        <v>2</v>
      </c>
      <c r="AN118">
        <v>0</v>
      </c>
      <c r="AO118">
        <v>0</v>
      </c>
      <c r="AP118">
        <v>0</v>
      </c>
      <c r="AQ118">
        <v>1</v>
      </c>
      <c r="AR118">
        <v>0</v>
      </c>
      <c r="AS118" t="s">
        <v>3</v>
      </c>
      <c r="AT118">
        <v>3.5</v>
      </c>
      <c r="AU118" t="s">
        <v>3</v>
      </c>
      <c r="AV118">
        <v>0</v>
      </c>
      <c r="AW118">
        <v>2</v>
      </c>
      <c r="AX118">
        <v>80308734</v>
      </c>
      <c r="AY118">
        <v>1</v>
      </c>
      <c r="AZ118">
        <v>0</v>
      </c>
      <c r="BA118">
        <v>113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1063.825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1</v>
      </c>
      <c r="BQ118">
        <v>1063.825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1</v>
      </c>
      <c r="CV118">
        <v>0</v>
      </c>
      <c r="CW118">
        <v>0</v>
      </c>
      <c r="CX118">
        <f>ROUND(Y118*Source!I136,7)</f>
        <v>0.21</v>
      </c>
      <c r="CY118">
        <f>AA118</f>
        <v>267.48</v>
      </c>
      <c r="CZ118">
        <f>AE118</f>
        <v>303.95</v>
      </c>
      <c r="DA118">
        <f>AI118</f>
        <v>0.88</v>
      </c>
      <c r="DB118">
        <f t="shared" si="53"/>
        <v>1063.83</v>
      </c>
      <c r="DC118">
        <f t="shared" si="54"/>
        <v>0</v>
      </c>
      <c r="DD118" t="s">
        <v>3</v>
      </c>
      <c r="DE118" t="s">
        <v>3</v>
      </c>
      <c r="DF118">
        <f>ROUND(ROUND(AE118*AI118,2)*CX118,2)</f>
        <v>56.17</v>
      </c>
      <c r="DG118">
        <f t="shared" si="51"/>
        <v>0</v>
      </c>
      <c r="DH118">
        <f t="shared" si="31"/>
        <v>0</v>
      </c>
      <c r="DI118">
        <f t="shared" si="32"/>
        <v>0</v>
      </c>
      <c r="DJ118">
        <f>DF118</f>
        <v>56.17</v>
      </c>
      <c r="DK118">
        <v>0</v>
      </c>
      <c r="DL118" t="s">
        <v>3</v>
      </c>
      <c r="DM118">
        <v>0</v>
      </c>
      <c r="DN118" t="s">
        <v>3</v>
      </c>
      <c r="DO118">
        <v>0</v>
      </c>
    </row>
    <row r="119" spans="1:119" x14ac:dyDescent="0.2">
      <c r="A119">
        <f>ROW(Source!A137)</f>
        <v>137</v>
      </c>
      <c r="B119">
        <v>80308166</v>
      </c>
      <c r="C119">
        <v>80308735</v>
      </c>
      <c r="D119">
        <v>72850702</v>
      </c>
      <c r="E119">
        <v>114</v>
      </c>
      <c r="F119">
        <v>1</v>
      </c>
      <c r="G119">
        <v>1</v>
      </c>
      <c r="H119">
        <v>1</v>
      </c>
      <c r="I119" t="s">
        <v>500</v>
      </c>
      <c r="J119" t="s">
        <v>3</v>
      </c>
      <c r="K119" t="s">
        <v>501</v>
      </c>
      <c r="L119">
        <v>1191</v>
      </c>
      <c r="N119">
        <v>1013</v>
      </c>
      <c r="O119" t="s">
        <v>449</v>
      </c>
      <c r="P119" t="s">
        <v>449</v>
      </c>
      <c r="Q119">
        <v>1</v>
      </c>
      <c r="W119">
        <v>0</v>
      </c>
      <c r="X119">
        <v>1009256741</v>
      </c>
      <c r="Y119">
        <f>(AT119*ROUND(1.15,7))</f>
        <v>5.761499999999999</v>
      </c>
      <c r="AA119">
        <v>0</v>
      </c>
      <c r="AB119">
        <v>0</v>
      </c>
      <c r="AC119">
        <v>0</v>
      </c>
      <c r="AD119">
        <v>871.84</v>
      </c>
      <c r="AE119">
        <v>0</v>
      </c>
      <c r="AF119">
        <v>0</v>
      </c>
      <c r="AG119">
        <v>0</v>
      </c>
      <c r="AH119">
        <v>871.84</v>
      </c>
      <c r="AI119">
        <v>1</v>
      </c>
      <c r="AJ119">
        <v>1</v>
      </c>
      <c r="AK119">
        <v>1</v>
      </c>
      <c r="AL119">
        <v>1</v>
      </c>
      <c r="AM119">
        <v>-2</v>
      </c>
      <c r="AN119">
        <v>0</v>
      </c>
      <c r="AO119">
        <v>0</v>
      </c>
      <c r="AP119">
        <v>1</v>
      </c>
      <c r="AQ119">
        <v>1</v>
      </c>
      <c r="AR119">
        <v>0</v>
      </c>
      <c r="AS119" t="s">
        <v>3</v>
      </c>
      <c r="AT119">
        <v>5.01</v>
      </c>
      <c r="AU119" t="s">
        <v>49</v>
      </c>
      <c r="AV119">
        <v>1</v>
      </c>
      <c r="AW119">
        <v>2</v>
      </c>
      <c r="AX119">
        <v>80308742</v>
      </c>
      <c r="AY119">
        <v>1</v>
      </c>
      <c r="AZ119">
        <v>0</v>
      </c>
      <c r="BA119">
        <v>114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4367.9183999999996</v>
      </c>
      <c r="BN119">
        <v>5.01</v>
      </c>
      <c r="BO119">
        <v>0</v>
      </c>
      <c r="BP119">
        <v>1</v>
      </c>
      <c r="BQ119">
        <v>0</v>
      </c>
      <c r="BR119">
        <v>0</v>
      </c>
      <c r="BS119">
        <v>0</v>
      </c>
      <c r="BT119">
        <v>5023.1061599999994</v>
      </c>
      <c r="BU119">
        <v>5.761499999999999</v>
      </c>
      <c r="BV119">
        <v>0</v>
      </c>
      <c r="BW119">
        <v>1</v>
      </c>
      <c r="CU119">
        <f>ROUND(AT119*Source!I137*AH119*AL119,2)</f>
        <v>1310.3800000000001</v>
      </c>
      <c r="CV119">
        <f>ROUND(Y119*Source!I137,7)</f>
        <v>1.72845</v>
      </c>
      <c r="CW119">
        <v>0</v>
      </c>
      <c r="CX119">
        <f>ROUND(Y119*Source!I137,7)</f>
        <v>1.72845</v>
      </c>
      <c r="CY119">
        <f>AD119</f>
        <v>871.84</v>
      </c>
      <c r="CZ119">
        <f>AH119</f>
        <v>871.84</v>
      </c>
      <c r="DA119">
        <f>AL119</f>
        <v>1</v>
      </c>
      <c r="DB119">
        <f>ROUND((ROUND(AT119*CZ119,2)*ROUND(1.15,7)),6)</f>
        <v>5023.1080000000002</v>
      </c>
      <c r="DC119">
        <f>ROUND((ROUND(AT119*AG119,2)*ROUND(1.15,7)),6)</f>
        <v>0</v>
      </c>
      <c r="DD119" t="s">
        <v>3</v>
      </c>
      <c r="DE119" t="s">
        <v>3</v>
      </c>
      <c r="DF119">
        <f>ROUND(ROUND(AE119,2)*CX119,2)</f>
        <v>0</v>
      </c>
      <c r="DG119">
        <f t="shared" si="51"/>
        <v>0</v>
      </c>
      <c r="DH119">
        <f t="shared" si="31"/>
        <v>0</v>
      </c>
      <c r="DI119">
        <f t="shared" si="32"/>
        <v>1506.93</v>
      </c>
      <c r="DJ119">
        <f>DI119</f>
        <v>1506.93</v>
      </c>
      <c r="DK119">
        <v>1</v>
      </c>
      <c r="DL119" t="s">
        <v>3</v>
      </c>
      <c r="DM119">
        <v>0</v>
      </c>
      <c r="DN119" t="s">
        <v>3</v>
      </c>
      <c r="DO119">
        <v>0</v>
      </c>
    </row>
    <row r="120" spans="1:119" x14ac:dyDescent="0.2">
      <c r="A120">
        <f>ROW(Source!A137)</f>
        <v>137</v>
      </c>
      <c r="B120">
        <v>80308166</v>
      </c>
      <c r="C120">
        <v>80308735</v>
      </c>
      <c r="D120">
        <v>72975933</v>
      </c>
      <c r="E120">
        <v>1</v>
      </c>
      <c r="F120">
        <v>1</v>
      </c>
      <c r="G120">
        <v>1</v>
      </c>
      <c r="H120">
        <v>2</v>
      </c>
      <c r="I120" t="s">
        <v>502</v>
      </c>
      <c r="J120" t="s">
        <v>503</v>
      </c>
      <c r="K120" t="s">
        <v>504</v>
      </c>
      <c r="L120">
        <v>1368</v>
      </c>
      <c r="N120">
        <v>1011</v>
      </c>
      <c r="O120" t="s">
        <v>455</v>
      </c>
      <c r="P120" t="s">
        <v>455</v>
      </c>
      <c r="Q120">
        <v>1</v>
      </c>
      <c r="W120">
        <v>0</v>
      </c>
      <c r="X120">
        <v>1340220784</v>
      </c>
      <c r="Y120">
        <f>(AT120*ROUND(1.25,7))</f>
        <v>1.875</v>
      </c>
      <c r="AA120">
        <v>0</v>
      </c>
      <c r="AB120">
        <v>20.21</v>
      </c>
      <c r="AC120">
        <v>0</v>
      </c>
      <c r="AD120">
        <v>0</v>
      </c>
      <c r="AE120">
        <v>0</v>
      </c>
      <c r="AF120">
        <v>14.13</v>
      </c>
      <c r="AG120">
        <v>0</v>
      </c>
      <c r="AH120">
        <v>0</v>
      </c>
      <c r="AI120">
        <v>1</v>
      </c>
      <c r="AJ120">
        <v>1.43</v>
      </c>
      <c r="AK120">
        <v>1</v>
      </c>
      <c r="AL120">
        <v>1</v>
      </c>
      <c r="AM120">
        <v>2</v>
      </c>
      <c r="AN120">
        <v>0</v>
      </c>
      <c r="AO120">
        <v>0</v>
      </c>
      <c r="AP120">
        <v>1</v>
      </c>
      <c r="AQ120">
        <v>1</v>
      </c>
      <c r="AR120">
        <v>0</v>
      </c>
      <c r="AS120" t="s">
        <v>3</v>
      </c>
      <c r="AT120">
        <v>1.5</v>
      </c>
      <c r="AU120" t="s">
        <v>48</v>
      </c>
      <c r="AV120">
        <v>1</v>
      </c>
      <c r="AW120">
        <v>2</v>
      </c>
      <c r="AX120">
        <v>80308743</v>
      </c>
      <c r="AY120">
        <v>1</v>
      </c>
      <c r="AZ120">
        <v>0</v>
      </c>
      <c r="BA120">
        <v>115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21.195</v>
      </c>
      <c r="BL120">
        <v>0</v>
      </c>
      <c r="BM120">
        <v>0</v>
      </c>
      <c r="BN120">
        <v>0</v>
      </c>
      <c r="BO120">
        <v>0</v>
      </c>
      <c r="BP120">
        <v>1</v>
      </c>
      <c r="BQ120">
        <v>0</v>
      </c>
      <c r="BR120">
        <v>26.493750000000002</v>
      </c>
      <c r="BS120">
        <v>0</v>
      </c>
      <c r="BT120">
        <v>0</v>
      </c>
      <c r="BU120">
        <v>0</v>
      </c>
      <c r="BV120">
        <v>0</v>
      </c>
      <c r="BW120">
        <v>1</v>
      </c>
      <c r="CV120">
        <v>0</v>
      </c>
      <c r="CW120">
        <f>ROUND(Y120*Source!I137*DO120,7)</f>
        <v>0</v>
      </c>
      <c r="CX120">
        <f>ROUND(Y120*Source!I137,7)</f>
        <v>0.5625</v>
      </c>
      <c r="CY120">
        <f>AB120</f>
        <v>20.21</v>
      </c>
      <c r="CZ120">
        <f>AF120</f>
        <v>14.13</v>
      </c>
      <c r="DA120">
        <f>AJ120</f>
        <v>1.43</v>
      </c>
      <c r="DB120">
        <f>ROUND((ROUND(AT120*CZ120,2)*ROUND(1.25,7)),6)</f>
        <v>26.5</v>
      </c>
      <c r="DC120">
        <f>ROUND((ROUND(AT120*AG120,2)*ROUND(1.25,7)),6)</f>
        <v>0</v>
      </c>
      <c r="DD120" t="s">
        <v>3</v>
      </c>
      <c r="DE120" t="s">
        <v>3</v>
      </c>
      <c r="DF120">
        <f>ROUND(ROUND(AE120,2)*CX120,2)</f>
        <v>0</v>
      </c>
      <c r="DG120">
        <f>ROUND(ROUND(AF120*AJ120,2)*CX120,2)</f>
        <v>11.37</v>
      </c>
      <c r="DH120">
        <f t="shared" si="31"/>
        <v>0</v>
      </c>
      <c r="DI120">
        <f t="shared" si="32"/>
        <v>0</v>
      </c>
      <c r="DJ120">
        <f>DG120+DH120</f>
        <v>11.37</v>
      </c>
      <c r="DK120">
        <v>0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ROW(Source!A137)</f>
        <v>137</v>
      </c>
      <c r="B121">
        <v>80308166</v>
      </c>
      <c r="C121">
        <v>80308735</v>
      </c>
      <c r="D121">
        <v>72922346</v>
      </c>
      <c r="E121">
        <v>1</v>
      </c>
      <c r="F121">
        <v>1</v>
      </c>
      <c r="G121">
        <v>1</v>
      </c>
      <c r="H121">
        <v>3</v>
      </c>
      <c r="I121" t="s">
        <v>505</v>
      </c>
      <c r="J121" t="s">
        <v>506</v>
      </c>
      <c r="K121" t="s">
        <v>507</v>
      </c>
      <c r="L121">
        <v>1339</v>
      </c>
      <c r="N121">
        <v>1007</v>
      </c>
      <c r="O121" t="s">
        <v>309</v>
      </c>
      <c r="P121" t="s">
        <v>309</v>
      </c>
      <c r="Q121">
        <v>1</v>
      </c>
      <c r="W121">
        <v>0</v>
      </c>
      <c r="X121">
        <v>-1879317523</v>
      </c>
      <c r="Y121">
        <f>AT121</f>
        <v>1</v>
      </c>
      <c r="AA121">
        <v>54.64</v>
      </c>
      <c r="AB121">
        <v>0</v>
      </c>
      <c r="AC121">
        <v>0</v>
      </c>
      <c r="AD121">
        <v>0</v>
      </c>
      <c r="AE121">
        <v>35.71</v>
      </c>
      <c r="AF121">
        <v>0</v>
      </c>
      <c r="AG121">
        <v>0</v>
      </c>
      <c r="AH121">
        <v>0</v>
      </c>
      <c r="AI121">
        <v>1.53</v>
      </c>
      <c r="AJ121">
        <v>1</v>
      </c>
      <c r="AK121">
        <v>1</v>
      </c>
      <c r="AL121">
        <v>1</v>
      </c>
      <c r="AM121">
        <v>2</v>
      </c>
      <c r="AN121">
        <v>0</v>
      </c>
      <c r="AO121">
        <v>0</v>
      </c>
      <c r="AP121">
        <v>1</v>
      </c>
      <c r="AQ121">
        <v>1</v>
      </c>
      <c r="AR121">
        <v>0</v>
      </c>
      <c r="AS121" t="s">
        <v>3</v>
      </c>
      <c r="AT121">
        <v>1</v>
      </c>
      <c r="AU121" t="s">
        <v>3</v>
      </c>
      <c r="AV121">
        <v>0</v>
      </c>
      <c r="AW121">
        <v>2</v>
      </c>
      <c r="AX121">
        <v>80308744</v>
      </c>
      <c r="AY121">
        <v>1</v>
      </c>
      <c r="AZ121">
        <v>0</v>
      </c>
      <c r="BA121">
        <v>116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35.71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</v>
      </c>
      <c r="BQ121">
        <v>35.71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1</v>
      </c>
      <c r="CV121">
        <v>0</v>
      </c>
      <c r="CW121">
        <v>0</v>
      </c>
      <c r="CX121">
        <f>ROUND(Y121*Source!I137,7)</f>
        <v>0.3</v>
      </c>
      <c r="CY121">
        <f>AA121</f>
        <v>54.64</v>
      </c>
      <c r="CZ121">
        <f>AE121</f>
        <v>35.71</v>
      </c>
      <c r="DA121">
        <f>AI121</f>
        <v>1.53</v>
      </c>
      <c r="DB121">
        <f>ROUND(ROUND(AT121*CZ121,2),6)</f>
        <v>35.71</v>
      </c>
      <c r="DC121">
        <f>ROUND(ROUND(AT121*AG121,2),6)</f>
        <v>0</v>
      </c>
      <c r="DD121" t="s">
        <v>3</v>
      </c>
      <c r="DE121" t="s">
        <v>3</v>
      </c>
      <c r="DF121">
        <f>ROUND(ROUND(AE121*AI121,2)*CX121,2)</f>
        <v>16.39</v>
      </c>
      <c r="DG121">
        <f>ROUND(ROUND(AF121,2)*CX121,2)</f>
        <v>0</v>
      </c>
      <c r="DH121">
        <f t="shared" si="31"/>
        <v>0</v>
      </c>
      <c r="DI121">
        <f t="shared" si="32"/>
        <v>0</v>
      </c>
      <c r="DJ121">
        <f>DF121</f>
        <v>16.39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ROW(Source!A137)</f>
        <v>137</v>
      </c>
      <c r="B122">
        <v>80308166</v>
      </c>
      <c r="C122">
        <v>80308735</v>
      </c>
      <c r="D122">
        <v>72922828</v>
      </c>
      <c r="E122">
        <v>1</v>
      </c>
      <c r="F122">
        <v>1</v>
      </c>
      <c r="G122">
        <v>1</v>
      </c>
      <c r="H122">
        <v>3</v>
      </c>
      <c r="I122" t="s">
        <v>508</v>
      </c>
      <c r="J122" t="s">
        <v>509</v>
      </c>
      <c r="K122" t="s">
        <v>510</v>
      </c>
      <c r="L122">
        <v>1346</v>
      </c>
      <c r="N122">
        <v>1009</v>
      </c>
      <c r="O122" t="s">
        <v>295</v>
      </c>
      <c r="P122" t="s">
        <v>295</v>
      </c>
      <c r="Q122">
        <v>1</v>
      </c>
      <c r="W122">
        <v>0</v>
      </c>
      <c r="X122">
        <v>147489920</v>
      </c>
      <c r="Y122">
        <f>AT122</f>
        <v>0.02</v>
      </c>
      <c r="AA122">
        <v>170.77</v>
      </c>
      <c r="AB122">
        <v>0</v>
      </c>
      <c r="AC122">
        <v>0</v>
      </c>
      <c r="AD122">
        <v>0</v>
      </c>
      <c r="AE122">
        <v>128.4</v>
      </c>
      <c r="AF122">
        <v>0</v>
      </c>
      <c r="AG122">
        <v>0</v>
      </c>
      <c r="AH122">
        <v>0</v>
      </c>
      <c r="AI122">
        <v>1.33</v>
      </c>
      <c r="AJ122">
        <v>1</v>
      </c>
      <c r="AK122">
        <v>1</v>
      </c>
      <c r="AL122">
        <v>1</v>
      </c>
      <c r="AM122">
        <v>2</v>
      </c>
      <c r="AN122">
        <v>0</v>
      </c>
      <c r="AO122">
        <v>0</v>
      </c>
      <c r="AP122">
        <v>1</v>
      </c>
      <c r="AQ122">
        <v>1</v>
      </c>
      <c r="AR122">
        <v>0</v>
      </c>
      <c r="AS122" t="s">
        <v>3</v>
      </c>
      <c r="AT122">
        <v>0.02</v>
      </c>
      <c r="AU122" t="s">
        <v>3</v>
      </c>
      <c r="AV122">
        <v>0</v>
      </c>
      <c r="AW122">
        <v>2</v>
      </c>
      <c r="AX122">
        <v>80308745</v>
      </c>
      <c r="AY122">
        <v>1</v>
      </c>
      <c r="AZ122">
        <v>0</v>
      </c>
      <c r="BA122">
        <v>117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2.5680000000000001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</v>
      </c>
      <c r="BQ122">
        <v>2.5680000000000001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1</v>
      </c>
      <c r="CV122">
        <v>0</v>
      </c>
      <c r="CW122">
        <v>0</v>
      </c>
      <c r="CX122">
        <f>ROUND(Y122*Source!I137,7)</f>
        <v>6.0000000000000001E-3</v>
      </c>
      <c r="CY122">
        <f>AA122</f>
        <v>170.77</v>
      </c>
      <c r="CZ122">
        <f>AE122</f>
        <v>128.4</v>
      </c>
      <c r="DA122">
        <f>AI122</f>
        <v>1.33</v>
      </c>
      <c r="DB122">
        <f>ROUND(ROUND(AT122*CZ122,2),6)</f>
        <v>2.57</v>
      </c>
      <c r="DC122">
        <f>ROUND(ROUND(AT122*AG122,2),6)</f>
        <v>0</v>
      </c>
      <c r="DD122" t="s">
        <v>3</v>
      </c>
      <c r="DE122" t="s">
        <v>3</v>
      </c>
      <c r="DF122">
        <f>ROUND(ROUND(AE122*AI122,2)*CX122,2)</f>
        <v>1.02</v>
      </c>
      <c r="DG122">
        <f>ROUND(ROUND(AF122,2)*CX122,2)</f>
        <v>0</v>
      </c>
      <c r="DH122">
        <f t="shared" si="31"/>
        <v>0</v>
      </c>
      <c r="DI122">
        <f t="shared" si="32"/>
        <v>0</v>
      </c>
      <c r="DJ122">
        <f>DF122</f>
        <v>1.02</v>
      </c>
      <c r="DK122">
        <v>0</v>
      </c>
      <c r="DL122" t="s">
        <v>3</v>
      </c>
      <c r="DM122">
        <v>0</v>
      </c>
      <c r="DN122" t="s">
        <v>3</v>
      </c>
      <c r="DO122">
        <v>0</v>
      </c>
    </row>
    <row r="123" spans="1:119" x14ac:dyDescent="0.2">
      <c r="A123">
        <f>ROW(Source!A137)</f>
        <v>137</v>
      </c>
      <c r="B123">
        <v>80308166</v>
      </c>
      <c r="C123">
        <v>80308735</v>
      </c>
      <c r="D123">
        <v>72941506</v>
      </c>
      <c r="E123">
        <v>1</v>
      </c>
      <c r="F123">
        <v>1</v>
      </c>
      <c r="G123">
        <v>1</v>
      </c>
      <c r="H123">
        <v>3</v>
      </c>
      <c r="I123" t="s">
        <v>511</v>
      </c>
      <c r="J123" t="s">
        <v>512</v>
      </c>
      <c r="K123" t="s">
        <v>513</v>
      </c>
      <c r="L123">
        <v>1346</v>
      </c>
      <c r="N123">
        <v>1009</v>
      </c>
      <c r="O123" t="s">
        <v>295</v>
      </c>
      <c r="P123" t="s">
        <v>295</v>
      </c>
      <c r="Q123">
        <v>1</v>
      </c>
      <c r="W123">
        <v>0</v>
      </c>
      <c r="X123">
        <v>790403873</v>
      </c>
      <c r="Y123">
        <f>AT123</f>
        <v>0.05</v>
      </c>
      <c r="AA123">
        <v>111.83</v>
      </c>
      <c r="AB123">
        <v>0</v>
      </c>
      <c r="AC123">
        <v>0</v>
      </c>
      <c r="AD123">
        <v>0</v>
      </c>
      <c r="AE123">
        <v>79.88</v>
      </c>
      <c r="AF123">
        <v>0</v>
      </c>
      <c r="AG123">
        <v>0</v>
      </c>
      <c r="AH123">
        <v>0</v>
      </c>
      <c r="AI123">
        <v>1.4</v>
      </c>
      <c r="AJ123">
        <v>1</v>
      </c>
      <c r="AK123">
        <v>1</v>
      </c>
      <c r="AL123">
        <v>1</v>
      </c>
      <c r="AM123">
        <v>2</v>
      </c>
      <c r="AN123">
        <v>0</v>
      </c>
      <c r="AO123">
        <v>0</v>
      </c>
      <c r="AP123">
        <v>1</v>
      </c>
      <c r="AQ123">
        <v>1</v>
      </c>
      <c r="AR123">
        <v>0</v>
      </c>
      <c r="AS123" t="s">
        <v>3</v>
      </c>
      <c r="AT123">
        <v>0.05</v>
      </c>
      <c r="AU123" t="s">
        <v>3</v>
      </c>
      <c r="AV123">
        <v>0</v>
      </c>
      <c r="AW123">
        <v>2</v>
      </c>
      <c r="AX123">
        <v>80308746</v>
      </c>
      <c r="AY123">
        <v>1</v>
      </c>
      <c r="AZ123">
        <v>0</v>
      </c>
      <c r="BA123">
        <v>118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3.9939999999999998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3.9939999999999998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1</v>
      </c>
      <c r="CV123">
        <v>0</v>
      </c>
      <c r="CW123">
        <v>0</v>
      </c>
      <c r="CX123">
        <f>ROUND(Y123*Source!I137,7)</f>
        <v>1.4999999999999999E-2</v>
      </c>
      <c r="CY123">
        <f>AA123</f>
        <v>111.83</v>
      </c>
      <c r="CZ123">
        <f>AE123</f>
        <v>79.88</v>
      </c>
      <c r="DA123">
        <f>AI123</f>
        <v>1.4</v>
      </c>
      <c r="DB123">
        <f>ROUND(ROUND(AT123*CZ123,2),6)</f>
        <v>3.99</v>
      </c>
      <c r="DC123">
        <f>ROUND(ROUND(AT123*AG123,2),6)</f>
        <v>0</v>
      </c>
      <c r="DD123" t="s">
        <v>3</v>
      </c>
      <c r="DE123" t="s">
        <v>3</v>
      </c>
      <c r="DF123">
        <f>ROUND(ROUND(AE123*AI123,2)*CX123,2)</f>
        <v>1.68</v>
      </c>
      <c r="DG123">
        <f>ROUND(ROUND(AF123,2)*CX123,2)</f>
        <v>0</v>
      </c>
      <c r="DH123">
        <f t="shared" si="31"/>
        <v>0</v>
      </c>
      <c r="DI123">
        <f t="shared" si="32"/>
        <v>0</v>
      </c>
      <c r="DJ123">
        <f>DF123</f>
        <v>1.68</v>
      </c>
      <c r="DK123">
        <v>0</v>
      </c>
      <c r="DL123" t="s">
        <v>3</v>
      </c>
      <c r="DM123">
        <v>0</v>
      </c>
      <c r="DN123" t="s">
        <v>3</v>
      </c>
      <c r="DO123">
        <v>0</v>
      </c>
    </row>
    <row r="124" spans="1:119" x14ac:dyDescent="0.2">
      <c r="A124">
        <f>ROW(Source!A137)</f>
        <v>137</v>
      </c>
      <c r="B124">
        <v>80308166</v>
      </c>
      <c r="C124">
        <v>80308735</v>
      </c>
      <c r="D124">
        <v>72941800</v>
      </c>
      <c r="E124">
        <v>1</v>
      </c>
      <c r="F124">
        <v>1</v>
      </c>
      <c r="G124">
        <v>1</v>
      </c>
      <c r="H124">
        <v>3</v>
      </c>
      <c r="I124" t="s">
        <v>514</v>
      </c>
      <c r="J124" t="s">
        <v>515</v>
      </c>
      <c r="K124" t="s">
        <v>516</v>
      </c>
      <c r="L124">
        <v>1348</v>
      </c>
      <c r="N124">
        <v>1009</v>
      </c>
      <c r="O124" t="s">
        <v>35</v>
      </c>
      <c r="P124" t="s">
        <v>35</v>
      </c>
      <c r="Q124">
        <v>1000</v>
      </c>
      <c r="W124">
        <v>0</v>
      </c>
      <c r="X124">
        <v>-638797071</v>
      </c>
      <c r="Y124">
        <f>AT124</f>
        <v>2.0000000000000002E-5</v>
      </c>
      <c r="AA124">
        <v>72836.649999999994</v>
      </c>
      <c r="AB124">
        <v>0</v>
      </c>
      <c r="AC124">
        <v>0</v>
      </c>
      <c r="AD124">
        <v>0</v>
      </c>
      <c r="AE124">
        <v>60697.21</v>
      </c>
      <c r="AF124">
        <v>0</v>
      </c>
      <c r="AG124">
        <v>0</v>
      </c>
      <c r="AH124">
        <v>0</v>
      </c>
      <c r="AI124">
        <v>1.2</v>
      </c>
      <c r="AJ124">
        <v>1</v>
      </c>
      <c r="AK124">
        <v>1</v>
      </c>
      <c r="AL124">
        <v>1</v>
      </c>
      <c r="AM124">
        <v>2</v>
      </c>
      <c r="AN124">
        <v>0</v>
      </c>
      <c r="AO124">
        <v>0</v>
      </c>
      <c r="AP124">
        <v>1</v>
      </c>
      <c r="AQ124">
        <v>1</v>
      </c>
      <c r="AR124">
        <v>0</v>
      </c>
      <c r="AS124" t="s">
        <v>3</v>
      </c>
      <c r="AT124">
        <v>2.0000000000000002E-5</v>
      </c>
      <c r="AU124" t="s">
        <v>3</v>
      </c>
      <c r="AV124">
        <v>0</v>
      </c>
      <c r="AW124">
        <v>2</v>
      </c>
      <c r="AX124">
        <v>80308747</v>
      </c>
      <c r="AY124">
        <v>1</v>
      </c>
      <c r="AZ124">
        <v>0</v>
      </c>
      <c r="BA124">
        <v>119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1.2139442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</v>
      </c>
      <c r="BQ124">
        <v>1.2139442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1</v>
      </c>
      <c r="CV124">
        <v>0</v>
      </c>
      <c r="CW124">
        <v>0</v>
      </c>
      <c r="CX124">
        <f>ROUND(Y124*Source!I137,7)</f>
        <v>6.0000000000000002E-6</v>
      </c>
      <c r="CY124">
        <f>AA124</f>
        <v>72836.649999999994</v>
      </c>
      <c r="CZ124">
        <f>AE124</f>
        <v>60697.21</v>
      </c>
      <c r="DA124">
        <f>AI124</f>
        <v>1.2</v>
      </c>
      <c r="DB124">
        <f>ROUND(ROUND(AT124*CZ124,2),6)</f>
        <v>1.21</v>
      </c>
      <c r="DC124">
        <f>ROUND(ROUND(AT124*AG124,2),6)</f>
        <v>0</v>
      </c>
      <c r="DD124" t="s">
        <v>3</v>
      </c>
      <c r="DE124" t="s">
        <v>3</v>
      </c>
      <c r="DF124">
        <f>ROUND(ROUND(AE124*AI124,2)*CX124,2)</f>
        <v>0.44</v>
      </c>
      <c r="DG124">
        <f>ROUND(ROUND(AF124,2)*CX124,2)</f>
        <v>0</v>
      </c>
      <c r="DH124">
        <f t="shared" si="31"/>
        <v>0</v>
      </c>
      <c r="DI124">
        <f t="shared" si="32"/>
        <v>0</v>
      </c>
      <c r="DJ124">
        <f>DF124</f>
        <v>0.44</v>
      </c>
      <c r="DK124">
        <v>0</v>
      </c>
      <c r="DL124" t="s">
        <v>3</v>
      </c>
      <c r="DM124">
        <v>0</v>
      </c>
      <c r="DN124" t="s">
        <v>3</v>
      </c>
      <c r="DO124">
        <v>0</v>
      </c>
    </row>
    <row r="125" spans="1:119" x14ac:dyDescent="0.2">
      <c r="A125">
        <f>ROW(Source!A138)</f>
        <v>138</v>
      </c>
      <c r="B125">
        <v>80308166</v>
      </c>
      <c r="C125">
        <v>80308748</v>
      </c>
      <c r="D125">
        <v>72850702</v>
      </c>
      <c r="E125">
        <v>114</v>
      </c>
      <c r="F125">
        <v>1</v>
      </c>
      <c r="G125">
        <v>1</v>
      </c>
      <c r="H125">
        <v>1</v>
      </c>
      <c r="I125" t="s">
        <v>500</v>
      </c>
      <c r="J125" t="s">
        <v>3</v>
      </c>
      <c r="K125" t="s">
        <v>501</v>
      </c>
      <c r="L125">
        <v>1191</v>
      </c>
      <c r="N125">
        <v>1013</v>
      </c>
      <c r="O125" t="s">
        <v>449</v>
      </c>
      <c r="P125" t="s">
        <v>449</v>
      </c>
      <c r="Q125">
        <v>1</v>
      </c>
      <c r="W125">
        <v>0</v>
      </c>
      <c r="X125">
        <v>1009256741</v>
      </c>
      <c r="Y125">
        <f>(AT125*ROUND(1.15,7))</f>
        <v>5.761499999999999</v>
      </c>
      <c r="AA125">
        <v>0</v>
      </c>
      <c r="AB125">
        <v>0</v>
      </c>
      <c r="AC125">
        <v>0</v>
      </c>
      <c r="AD125">
        <v>871.84</v>
      </c>
      <c r="AE125">
        <v>0</v>
      </c>
      <c r="AF125">
        <v>0</v>
      </c>
      <c r="AG125">
        <v>0</v>
      </c>
      <c r="AH125">
        <v>871.84</v>
      </c>
      <c r="AI125">
        <v>1</v>
      </c>
      <c r="AJ125">
        <v>1</v>
      </c>
      <c r="AK125">
        <v>1</v>
      </c>
      <c r="AL125">
        <v>1</v>
      </c>
      <c r="AM125">
        <v>-2</v>
      </c>
      <c r="AN125">
        <v>0</v>
      </c>
      <c r="AO125">
        <v>0</v>
      </c>
      <c r="AP125">
        <v>1</v>
      </c>
      <c r="AQ125">
        <v>1</v>
      </c>
      <c r="AR125">
        <v>0</v>
      </c>
      <c r="AS125" t="s">
        <v>3</v>
      </c>
      <c r="AT125">
        <v>5.01</v>
      </c>
      <c r="AU125" t="s">
        <v>49</v>
      </c>
      <c r="AV125">
        <v>1</v>
      </c>
      <c r="AW125">
        <v>2</v>
      </c>
      <c r="AX125">
        <v>80308755</v>
      </c>
      <c r="AY125">
        <v>1</v>
      </c>
      <c r="AZ125">
        <v>0</v>
      </c>
      <c r="BA125">
        <v>120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4367.9183999999996</v>
      </c>
      <c r="BN125">
        <v>5.01</v>
      </c>
      <c r="BO125">
        <v>0</v>
      </c>
      <c r="BP125">
        <v>1</v>
      </c>
      <c r="BQ125">
        <v>0</v>
      </c>
      <c r="BR125">
        <v>0</v>
      </c>
      <c r="BS125">
        <v>0</v>
      </c>
      <c r="BT125">
        <v>5023.1061599999994</v>
      </c>
      <c r="BU125">
        <v>5.761499999999999</v>
      </c>
      <c r="BV125">
        <v>0</v>
      </c>
      <c r="BW125">
        <v>1</v>
      </c>
      <c r="CU125">
        <f>ROUND(AT125*Source!I138*AH125*AL125,2)</f>
        <v>2839.15</v>
      </c>
      <c r="CV125">
        <f>ROUND(Y125*Source!I138,7)</f>
        <v>3.7449750000000002</v>
      </c>
      <c r="CW125">
        <v>0</v>
      </c>
      <c r="CX125">
        <f>ROUND(Y125*Source!I138,7)</f>
        <v>3.7449750000000002</v>
      </c>
      <c r="CY125">
        <f>AD125</f>
        <v>871.84</v>
      </c>
      <c r="CZ125">
        <f>AH125</f>
        <v>871.84</v>
      </c>
      <c r="DA125">
        <f>AL125</f>
        <v>1</v>
      </c>
      <c r="DB125">
        <f>ROUND((ROUND(AT125*CZ125,2)*ROUND(1.15,7)),6)</f>
        <v>5023.1080000000002</v>
      </c>
      <c r="DC125">
        <f>ROUND((ROUND(AT125*AG125,2)*ROUND(1.15,7)),6)</f>
        <v>0</v>
      </c>
      <c r="DD125" t="s">
        <v>3</v>
      </c>
      <c r="DE125" t="s">
        <v>3</v>
      </c>
      <c r="DF125">
        <f>ROUND(ROUND(AE125,2)*CX125,2)</f>
        <v>0</v>
      </c>
      <c r="DG125">
        <f>ROUND(ROUND(AF125,2)*CX125,2)</f>
        <v>0</v>
      </c>
      <c r="DH125">
        <f t="shared" si="31"/>
        <v>0</v>
      </c>
      <c r="DI125">
        <f t="shared" si="32"/>
        <v>3265.02</v>
      </c>
      <c r="DJ125">
        <f>DI125</f>
        <v>3265.02</v>
      </c>
      <c r="DK125">
        <v>1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ROW(Source!A138)</f>
        <v>138</v>
      </c>
      <c r="B126">
        <v>80308166</v>
      </c>
      <c r="C126">
        <v>80308748</v>
      </c>
      <c r="D126">
        <v>72975933</v>
      </c>
      <c r="E126">
        <v>1</v>
      </c>
      <c r="F126">
        <v>1</v>
      </c>
      <c r="G126">
        <v>1</v>
      </c>
      <c r="H126">
        <v>2</v>
      </c>
      <c r="I126" t="s">
        <v>502</v>
      </c>
      <c r="J126" t="s">
        <v>503</v>
      </c>
      <c r="K126" t="s">
        <v>504</v>
      </c>
      <c r="L126">
        <v>1368</v>
      </c>
      <c r="N126">
        <v>1011</v>
      </c>
      <c r="O126" t="s">
        <v>455</v>
      </c>
      <c r="P126" t="s">
        <v>455</v>
      </c>
      <c r="Q126">
        <v>1</v>
      </c>
      <c r="W126">
        <v>0</v>
      </c>
      <c r="X126">
        <v>1340220784</v>
      </c>
      <c r="Y126">
        <f>(AT126*ROUND(1.25,7))</f>
        <v>1.875</v>
      </c>
      <c r="AA126">
        <v>0</v>
      </c>
      <c r="AB126">
        <v>20.21</v>
      </c>
      <c r="AC126">
        <v>0</v>
      </c>
      <c r="AD126">
        <v>0</v>
      </c>
      <c r="AE126">
        <v>0</v>
      </c>
      <c r="AF126">
        <v>14.13</v>
      </c>
      <c r="AG126">
        <v>0</v>
      </c>
      <c r="AH126">
        <v>0</v>
      </c>
      <c r="AI126">
        <v>1</v>
      </c>
      <c r="AJ126">
        <v>1.43</v>
      </c>
      <c r="AK126">
        <v>1</v>
      </c>
      <c r="AL126">
        <v>1</v>
      </c>
      <c r="AM126">
        <v>2</v>
      </c>
      <c r="AN126">
        <v>0</v>
      </c>
      <c r="AO126">
        <v>0</v>
      </c>
      <c r="AP126">
        <v>1</v>
      </c>
      <c r="AQ126">
        <v>1</v>
      </c>
      <c r="AR126">
        <v>0</v>
      </c>
      <c r="AS126" t="s">
        <v>3</v>
      </c>
      <c r="AT126">
        <v>1.5</v>
      </c>
      <c r="AU126" t="s">
        <v>48</v>
      </c>
      <c r="AV126">
        <v>1</v>
      </c>
      <c r="AW126">
        <v>2</v>
      </c>
      <c r="AX126">
        <v>80308756</v>
      </c>
      <c r="AY126">
        <v>1</v>
      </c>
      <c r="AZ126">
        <v>0</v>
      </c>
      <c r="BA126">
        <v>121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21.195</v>
      </c>
      <c r="BL126">
        <v>0</v>
      </c>
      <c r="BM126">
        <v>0</v>
      </c>
      <c r="BN126">
        <v>0</v>
      </c>
      <c r="BO126">
        <v>0</v>
      </c>
      <c r="BP126">
        <v>1</v>
      </c>
      <c r="BQ126">
        <v>0</v>
      </c>
      <c r="BR126">
        <v>26.493750000000002</v>
      </c>
      <c r="BS126">
        <v>0</v>
      </c>
      <c r="BT126">
        <v>0</v>
      </c>
      <c r="BU126">
        <v>0</v>
      </c>
      <c r="BV126">
        <v>0</v>
      </c>
      <c r="BW126">
        <v>1</v>
      </c>
      <c r="CV126">
        <v>0</v>
      </c>
      <c r="CW126">
        <f>ROUND(Y126*Source!I138*DO126,7)</f>
        <v>0</v>
      </c>
      <c r="CX126">
        <f>ROUND(Y126*Source!I138,7)</f>
        <v>1.21875</v>
      </c>
      <c r="CY126">
        <f>AB126</f>
        <v>20.21</v>
      </c>
      <c r="CZ126">
        <f>AF126</f>
        <v>14.13</v>
      </c>
      <c r="DA126">
        <f>AJ126</f>
        <v>1.43</v>
      </c>
      <c r="DB126">
        <f>ROUND((ROUND(AT126*CZ126,2)*ROUND(1.25,7)),6)</f>
        <v>26.5</v>
      </c>
      <c r="DC126">
        <f>ROUND((ROUND(AT126*AG126,2)*ROUND(1.25,7)),6)</f>
        <v>0</v>
      </c>
      <c r="DD126" t="s">
        <v>3</v>
      </c>
      <c r="DE126" t="s">
        <v>3</v>
      </c>
      <c r="DF126">
        <f>ROUND(ROUND(AE126,2)*CX126,2)</f>
        <v>0</v>
      </c>
      <c r="DG126">
        <f>ROUND(ROUND(AF126*AJ126,2)*CX126,2)</f>
        <v>24.63</v>
      </c>
      <c r="DH126">
        <f t="shared" si="31"/>
        <v>0</v>
      </c>
      <c r="DI126">
        <f t="shared" si="32"/>
        <v>0</v>
      </c>
      <c r="DJ126">
        <f>DG126+DH126</f>
        <v>24.63</v>
      </c>
      <c r="DK126">
        <v>0</v>
      </c>
      <c r="DL126" t="s">
        <v>3</v>
      </c>
      <c r="DM126">
        <v>0</v>
      </c>
      <c r="DN126" t="s">
        <v>3</v>
      </c>
      <c r="DO126">
        <v>0</v>
      </c>
    </row>
    <row r="127" spans="1:119" x14ac:dyDescent="0.2">
      <c r="A127">
        <f>ROW(Source!A138)</f>
        <v>138</v>
      </c>
      <c r="B127">
        <v>80308166</v>
      </c>
      <c r="C127">
        <v>80308748</v>
      </c>
      <c r="D127">
        <v>72922346</v>
      </c>
      <c r="E127">
        <v>1</v>
      </c>
      <c r="F127">
        <v>1</v>
      </c>
      <c r="G127">
        <v>1</v>
      </c>
      <c r="H127">
        <v>3</v>
      </c>
      <c r="I127" t="s">
        <v>505</v>
      </c>
      <c r="J127" t="s">
        <v>506</v>
      </c>
      <c r="K127" t="s">
        <v>507</v>
      </c>
      <c r="L127">
        <v>1339</v>
      </c>
      <c r="N127">
        <v>1007</v>
      </c>
      <c r="O127" t="s">
        <v>309</v>
      </c>
      <c r="P127" t="s">
        <v>309</v>
      </c>
      <c r="Q127">
        <v>1</v>
      </c>
      <c r="W127">
        <v>0</v>
      </c>
      <c r="X127">
        <v>-1879317523</v>
      </c>
      <c r="Y127">
        <f>AT127</f>
        <v>3.8</v>
      </c>
      <c r="AA127">
        <v>54.64</v>
      </c>
      <c r="AB127">
        <v>0</v>
      </c>
      <c r="AC127">
        <v>0</v>
      </c>
      <c r="AD127">
        <v>0</v>
      </c>
      <c r="AE127">
        <v>35.71</v>
      </c>
      <c r="AF127">
        <v>0</v>
      </c>
      <c r="AG127">
        <v>0</v>
      </c>
      <c r="AH127">
        <v>0</v>
      </c>
      <c r="AI127">
        <v>1.53</v>
      </c>
      <c r="AJ127">
        <v>1</v>
      </c>
      <c r="AK127">
        <v>1</v>
      </c>
      <c r="AL127">
        <v>1</v>
      </c>
      <c r="AM127">
        <v>2</v>
      </c>
      <c r="AN127">
        <v>0</v>
      </c>
      <c r="AO127">
        <v>0</v>
      </c>
      <c r="AP127">
        <v>1</v>
      </c>
      <c r="AQ127">
        <v>1</v>
      </c>
      <c r="AR127">
        <v>0</v>
      </c>
      <c r="AS127" t="s">
        <v>3</v>
      </c>
      <c r="AT127">
        <v>3.8</v>
      </c>
      <c r="AU127" t="s">
        <v>3</v>
      </c>
      <c r="AV127">
        <v>0</v>
      </c>
      <c r="AW127">
        <v>2</v>
      </c>
      <c r="AX127">
        <v>80308757</v>
      </c>
      <c r="AY127">
        <v>1</v>
      </c>
      <c r="AZ127">
        <v>0</v>
      </c>
      <c r="BA127">
        <v>122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135.69800000000001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</v>
      </c>
      <c r="BQ127">
        <v>135.69800000000001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1</v>
      </c>
      <c r="CV127">
        <v>0</v>
      </c>
      <c r="CW127">
        <v>0</v>
      </c>
      <c r="CX127">
        <f>ROUND(Y127*Source!I138,7)</f>
        <v>2.4700000000000002</v>
      </c>
      <c r="CY127">
        <f>AA127</f>
        <v>54.64</v>
      </c>
      <c r="CZ127">
        <f>AE127</f>
        <v>35.71</v>
      </c>
      <c r="DA127">
        <f>AI127</f>
        <v>1.53</v>
      </c>
      <c r="DB127">
        <f>ROUND(ROUND(AT127*CZ127,2),6)</f>
        <v>135.69999999999999</v>
      </c>
      <c r="DC127">
        <f>ROUND(ROUND(AT127*AG127,2),6)</f>
        <v>0</v>
      </c>
      <c r="DD127" t="s">
        <v>3</v>
      </c>
      <c r="DE127" t="s">
        <v>3</v>
      </c>
      <c r="DF127">
        <f>ROUND(ROUND(AE127*AI127,2)*CX127,2)</f>
        <v>134.96</v>
      </c>
      <c r="DG127">
        <f t="shared" ref="DG127:DG137" si="55">ROUND(ROUND(AF127,2)*CX127,2)</f>
        <v>0</v>
      </c>
      <c r="DH127">
        <f t="shared" si="31"/>
        <v>0</v>
      </c>
      <c r="DI127">
        <f t="shared" si="32"/>
        <v>0</v>
      </c>
      <c r="DJ127">
        <f>DF127</f>
        <v>134.96</v>
      </c>
      <c r="DK127">
        <v>0</v>
      </c>
      <c r="DL127" t="s">
        <v>3</v>
      </c>
      <c r="DM127">
        <v>0</v>
      </c>
      <c r="DN127" t="s">
        <v>3</v>
      </c>
      <c r="DO127">
        <v>0</v>
      </c>
    </row>
    <row r="128" spans="1:119" x14ac:dyDescent="0.2">
      <c r="A128">
        <f>ROW(Source!A138)</f>
        <v>138</v>
      </c>
      <c r="B128">
        <v>80308166</v>
      </c>
      <c r="C128">
        <v>80308748</v>
      </c>
      <c r="D128">
        <v>72922828</v>
      </c>
      <c r="E128">
        <v>1</v>
      </c>
      <c r="F128">
        <v>1</v>
      </c>
      <c r="G128">
        <v>1</v>
      </c>
      <c r="H128">
        <v>3</v>
      </c>
      <c r="I128" t="s">
        <v>508</v>
      </c>
      <c r="J128" t="s">
        <v>509</v>
      </c>
      <c r="K128" t="s">
        <v>510</v>
      </c>
      <c r="L128">
        <v>1346</v>
      </c>
      <c r="N128">
        <v>1009</v>
      </c>
      <c r="O128" t="s">
        <v>295</v>
      </c>
      <c r="P128" t="s">
        <v>295</v>
      </c>
      <c r="Q128">
        <v>1</v>
      </c>
      <c r="W128">
        <v>0</v>
      </c>
      <c r="X128">
        <v>147489920</v>
      </c>
      <c r="Y128">
        <f>AT128</f>
        <v>0.02</v>
      </c>
      <c r="AA128">
        <v>170.77</v>
      </c>
      <c r="AB128">
        <v>0</v>
      </c>
      <c r="AC128">
        <v>0</v>
      </c>
      <c r="AD128">
        <v>0</v>
      </c>
      <c r="AE128">
        <v>128.4</v>
      </c>
      <c r="AF128">
        <v>0</v>
      </c>
      <c r="AG128">
        <v>0</v>
      </c>
      <c r="AH128">
        <v>0</v>
      </c>
      <c r="AI128">
        <v>1.33</v>
      </c>
      <c r="AJ128">
        <v>1</v>
      </c>
      <c r="AK128">
        <v>1</v>
      </c>
      <c r="AL128">
        <v>1</v>
      </c>
      <c r="AM128">
        <v>2</v>
      </c>
      <c r="AN128">
        <v>0</v>
      </c>
      <c r="AO128">
        <v>0</v>
      </c>
      <c r="AP128">
        <v>1</v>
      </c>
      <c r="AQ128">
        <v>1</v>
      </c>
      <c r="AR128">
        <v>0</v>
      </c>
      <c r="AS128" t="s">
        <v>3</v>
      </c>
      <c r="AT128">
        <v>0.02</v>
      </c>
      <c r="AU128" t="s">
        <v>3</v>
      </c>
      <c r="AV128">
        <v>0</v>
      </c>
      <c r="AW128">
        <v>2</v>
      </c>
      <c r="AX128">
        <v>80308758</v>
      </c>
      <c r="AY128">
        <v>1</v>
      </c>
      <c r="AZ128">
        <v>0</v>
      </c>
      <c r="BA128">
        <v>123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2.5680000000000001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1</v>
      </c>
      <c r="BQ128">
        <v>2.5680000000000001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1</v>
      </c>
      <c r="CV128">
        <v>0</v>
      </c>
      <c r="CW128">
        <v>0</v>
      </c>
      <c r="CX128">
        <f>ROUND(Y128*Source!I138,7)</f>
        <v>1.2999999999999999E-2</v>
      </c>
      <c r="CY128">
        <f>AA128</f>
        <v>170.77</v>
      </c>
      <c r="CZ128">
        <f>AE128</f>
        <v>128.4</v>
      </c>
      <c r="DA128">
        <f>AI128</f>
        <v>1.33</v>
      </c>
      <c r="DB128">
        <f>ROUND(ROUND(AT128*CZ128,2),6)</f>
        <v>2.57</v>
      </c>
      <c r="DC128">
        <f>ROUND(ROUND(AT128*AG128,2),6)</f>
        <v>0</v>
      </c>
      <c r="DD128" t="s">
        <v>3</v>
      </c>
      <c r="DE128" t="s">
        <v>3</v>
      </c>
      <c r="DF128">
        <f>ROUND(ROUND(AE128*AI128,2)*CX128,2)</f>
        <v>2.2200000000000002</v>
      </c>
      <c r="DG128">
        <f t="shared" si="55"/>
        <v>0</v>
      </c>
      <c r="DH128">
        <f t="shared" si="31"/>
        <v>0</v>
      </c>
      <c r="DI128">
        <f t="shared" si="32"/>
        <v>0</v>
      </c>
      <c r="DJ128">
        <f>DF128</f>
        <v>2.2200000000000002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ROW(Source!A138)</f>
        <v>138</v>
      </c>
      <c r="B129">
        <v>80308166</v>
      </c>
      <c r="C129">
        <v>80308748</v>
      </c>
      <c r="D129">
        <v>72941506</v>
      </c>
      <c r="E129">
        <v>1</v>
      </c>
      <c r="F129">
        <v>1</v>
      </c>
      <c r="G129">
        <v>1</v>
      </c>
      <c r="H129">
        <v>3</v>
      </c>
      <c r="I129" t="s">
        <v>511</v>
      </c>
      <c r="J129" t="s">
        <v>512</v>
      </c>
      <c r="K129" t="s">
        <v>513</v>
      </c>
      <c r="L129">
        <v>1346</v>
      </c>
      <c r="N129">
        <v>1009</v>
      </c>
      <c r="O129" t="s">
        <v>295</v>
      </c>
      <c r="P129" t="s">
        <v>295</v>
      </c>
      <c r="Q129">
        <v>1</v>
      </c>
      <c r="W129">
        <v>0</v>
      </c>
      <c r="X129">
        <v>790403873</v>
      </c>
      <c r="Y129">
        <f>AT129</f>
        <v>0.05</v>
      </c>
      <c r="AA129">
        <v>111.83</v>
      </c>
      <c r="AB129">
        <v>0</v>
      </c>
      <c r="AC129">
        <v>0</v>
      </c>
      <c r="AD129">
        <v>0</v>
      </c>
      <c r="AE129">
        <v>79.88</v>
      </c>
      <c r="AF129">
        <v>0</v>
      </c>
      <c r="AG129">
        <v>0</v>
      </c>
      <c r="AH129">
        <v>0</v>
      </c>
      <c r="AI129">
        <v>1.4</v>
      </c>
      <c r="AJ129">
        <v>1</v>
      </c>
      <c r="AK129">
        <v>1</v>
      </c>
      <c r="AL129">
        <v>1</v>
      </c>
      <c r="AM129">
        <v>2</v>
      </c>
      <c r="AN129">
        <v>0</v>
      </c>
      <c r="AO129">
        <v>0</v>
      </c>
      <c r="AP129">
        <v>1</v>
      </c>
      <c r="AQ129">
        <v>1</v>
      </c>
      <c r="AR129">
        <v>0</v>
      </c>
      <c r="AS129" t="s">
        <v>3</v>
      </c>
      <c r="AT129">
        <v>0.05</v>
      </c>
      <c r="AU129" t="s">
        <v>3</v>
      </c>
      <c r="AV129">
        <v>0</v>
      </c>
      <c r="AW129">
        <v>2</v>
      </c>
      <c r="AX129">
        <v>80308759</v>
      </c>
      <c r="AY129">
        <v>1</v>
      </c>
      <c r="AZ129">
        <v>0</v>
      </c>
      <c r="BA129">
        <v>124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3.9939999999999998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1</v>
      </c>
      <c r="BQ129">
        <v>3.9939999999999998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1</v>
      </c>
      <c r="CV129">
        <v>0</v>
      </c>
      <c r="CW129">
        <v>0</v>
      </c>
      <c r="CX129">
        <f>ROUND(Y129*Source!I138,7)</f>
        <v>3.2500000000000001E-2</v>
      </c>
      <c r="CY129">
        <f>AA129</f>
        <v>111.83</v>
      </c>
      <c r="CZ129">
        <f>AE129</f>
        <v>79.88</v>
      </c>
      <c r="DA129">
        <f>AI129</f>
        <v>1.4</v>
      </c>
      <c r="DB129">
        <f>ROUND(ROUND(AT129*CZ129,2),6)</f>
        <v>3.99</v>
      </c>
      <c r="DC129">
        <f>ROUND(ROUND(AT129*AG129,2),6)</f>
        <v>0</v>
      </c>
      <c r="DD129" t="s">
        <v>3</v>
      </c>
      <c r="DE129" t="s">
        <v>3</v>
      </c>
      <c r="DF129">
        <f>ROUND(ROUND(AE129*AI129,2)*CX129,2)</f>
        <v>3.63</v>
      </c>
      <c r="DG129">
        <f t="shared" si="55"/>
        <v>0</v>
      </c>
      <c r="DH129">
        <f t="shared" ref="DH129:DH192" si="56">ROUND(ROUND(AG129,2)*CX129,2)</f>
        <v>0</v>
      </c>
      <c r="DI129">
        <f t="shared" ref="DI129:DI192" si="57">ROUND(ROUND(AH129,2)*CX129,2)</f>
        <v>0</v>
      </c>
      <c r="DJ129">
        <f>DF129</f>
        <v>3.63</v>
      </c>
      <c r="DK129">
        <v>0</v>
      </c>
      <c r="DL129" t="s">
        <v>3</v>
      </c>
      <c r="DM129">
        <v>0</v>
      </c>
      <c r="DN129" t="s">
        <v>3</v>
      </c>
      <c r="DO129">
        <v>0</v>
      </c>
    </row>
    <row r="130" spans="1:119" x14ac:dyDescent="0.2">
      <c r="A130">
        <f>ROW(Source!A138)</f>
        <v>138</v>
      </c>
      <c r="B130">
        <v>80308166</v>
      </c>
      <c r="C130">
        <v>80308748</v>
      </c>
      <c r="D130">
        <v>72941800</v>
      </c>
      <c r="E130">
        <v>1</v>
      </c>
      <c r="F130">
        <v>1</v>
      </c>
      <c r="G130">
        <v>1</v>
      </c>
      <c r="H130">
        <v>3</v>
      </c>
      <c r="I130" t="s">
        <v>514</v>
      </c>
      <c r="J130" t="s">
        <v>515</v>
      </c>
      <c r="K130" t="s">
        <v>516</v>
      </c>
      <c r="L130">
        <v>1348</v>
      </c>
      <c r="N130">
        <v>1009</v>
      </c>
      <c r="O130" t="s">
        <v>35</v>
      </c>
      <c r="P130" t="s">
        <v>35</v>
      </c>
      <c r="Q130">
        <v>1000</v>
      </c>
      <c r="W130">
        <v>0</v>
      </c>
      <c r="X130">
        <v>-638797071</v>
      </c>
      <c r="Y130">
        <f>AT130</f>
        <v>2.0000000000000002E-5</v>
      </c>
      <c r="AA130">
        <v>72836.649999999994</v>
      </c>
      <c r="AB130">
        <v>0</v>
      </c>
      <c r="AC130">
        <v>0</v>
      </c>
      <c r="AD130">
        <v>0</v>
      </c>
      <c r="AE130">
        <v>60697.21</v>
      </c>
      <c r="AF130">
        <v>0</v>
      </c>
      <c r="AG130">
        <v>0</v>
      </c>
      <c r="AH130">
        <v>0</v>
      </c>
      <c r="AI130">
        <v>1.2</v>
      </c>
      <c r="AJ130">
        <v>1</v>
      </c>
      <c r="AK130">
        <v>1</v>
      </c>
      <c r="AL130">
        <v>1</v>
      </c>
      <c r="AM130">
        <v>2</v>
      </c>
      <c r="AN130">
        <v>0</v>
      </c>
      <c r="AO130">
        <v>0</v>
      </c>
      <c r="AP130">
        <v>1</v>
      </c>
      <c r="AQ130">
        <v>1</v>
      </c>
      <c r="AR130">
        <v>0</v>
      </c>
      <c r="AS130" t="s">
        <v>3</v>
      </c>
      <c r="AT130">
        <v>2.0000000000000002E-5</v>
      </c>
      <c r="AU130" t="s">
        <v>3</v>
      </c>
      <c r="AV130">
        <v>0</v>
      </c>
      <c r="AW130">
        <v>2</v>
      </c>
      <c r="AX130">
        <v>80308760</v>
      </c>
      <c r="AY130">
        <v>1</v>
      </c>
      <c r="AZ130">
        <v>0</v>
      </c>
      <c r="BA130">
        <v>125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1.2139442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</v>
      </c>
      <c r="BQ130">
        <v>1.2139442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1</v>
      </c>
      <c r="CV130">
        <v>0</v>
      </c>
      <c r="CW130">
        <v>0</v>
      </c>
      <c r="CX130">
        <f>ROUND(Y130*Source!I138,7)</f>
        <v>1.2999999999999999E-5</v>
      </c>
      <c r="CY130">
        <f>AA130</f>
        <v>72836.649999999994</v>
      </c>
      <c r="CZ130">
        <f>AE130</f>
        <v>60697.21</v>
      </c>
      <c r="DA130">
        <f>AI130</f>
        <v>1.2</v>
      </c>
      <c r="DB130">
        <f>ROUND(ROUND(AT130*CZ130,2),6)</f>
        <v>1.21</v>
      </c>
      <c r="DC130">
        <f>ROUND(ROUND(AT130*AG130,2),6)</f>
        <v>0</v>
      </c>
      <c r="DD130" t="s">
        <v>3</v>
      </c>
      <c r="DE130" t="s">
        <v>3</v>
      </c>
      <c r="DF130">
        <f>ROUND(ROUND(AE130*AI130,2)*CX130,2)</f>
        <v>0.95</v>
      </c>
      <c r="DG130">
        <f t="shared" si="55"/>
        <v>0</v>
      </c>
      <c r="DH130">
        <f t="shared" si="56"/>
        <v>0</v>
      </c>
      <c r="DI130">
        <f t="shared" si="57"/>
        <v>0</v>
      </c>
      <c r="DJ130">
        <f>DF130</f>
        <v>0.95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ROW(Source!A139)</f>
        <v>139</v>
      </c>
      <c r="B131">
        <v>80308166</v>
      </c>
      <c r="C131">
        <v>80308761</v>
      </c>
      <c r="D131">
        <v>72850657</v>
      </c>
      <c r="E131">
        <v>114</v>
      </c>
      <c r="F131">
        <v>1</v>
      </c>
      <c r="G131">
        <v>1</v>
      </c>
      <c r="H131">
        <v>1</v>
      </c>
      <c r="I131" t="s">
        <v>525</v>
      </c>
      <c r="J131" t="s">
        <v>3</v>
      </c>
      <c r="K131" t="s">
        <v>526</v>
      </c>
      <c r="L131">
        <v>1191</v>
      </c>
      <c r="N131">
        <v>1013</v>
      </c>
      <c r="O131" t="s">
        <v>449</v>
      </c>
      <c r="P131" t="s">
        <v>449</v>
      </c>
      <c r="Q131">
        <v>1</v>
      </c>
      <c r="W131">
        <v>0</v>
      </c>
      <c r="X131">
        <v>1522950421</v>
      </c>
      <c r="Y131">
        <f>(AT131*ROUND(1.15,7))</f>
        <v>0.253</v>
      </c>
      <c r="AA131">
        <v>0</v>
      </c>
      <c r="AB131">
        <v>0</v>
      </c>
      <c r="AC131">
        <v>0</v>
      </c>
      <c r="AD131">
        <v>743.6</v>
      </c>
      <c r="AE131">
        <v>0</v>
      </c>
      <c r="AF131">
        <v>0</v>
      </c>
      <c r="AG131">
        <v>0</v>
      </c>
      <c r="AH131">
        <v>743.6</v>
      </c>
      <c r="AI131">
        <v>1</v>
      </c>
      <c r="AJ131">
        <v>1</v>
      </c>
      <c r="AK131">
        <v>1</v>
      </c>
      <c r="AL131">
        <v>1</v>
      </c>
      <c r="AM131">
        <v>-2</v>
      </c>
      <c r="AN131">
        <v>0</v>
      </c>
      <c r="AO131">
        <v>0</v>
      </c>
      <c r="AP131">
        <v>1</v>
      </c>
      <c r="AQ131">
        <v>1</v>
      </c>
      <c r="AR131">
        <v>0</v>
      </c>
      <c r="AS131" t="s">
        <v>3</v>
      </c>
      <c r="AT131">
        <v>0.22</v>
      </c>
      <c r="AU131" t="s">
        <v>49</v>
      </c>
      <c r="AV131">
        <v>1</v>
      </c>
      <c r="AW131">
        <v>2</v>
      </c>
      <c r="AX131">
        <v>80308767</v>
      </c>
      <c r="AY131">
        <v>1</v>
      </c>
      <c r="AZ131">
        <v>0</v>
      </c>
      <c r="BA131">
        <v>126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163.59200000000001</v>
      </c>
      <c r="BN131">
        <v>0.22</v>
      </c>
      <c r="BO131">
        <v>0</v>
      </c>
      <c r="BP131">
        <v>1</v>
      </c>
      <c r="BQ131">
        <v>0</v>
      </c>
      <c r="BR131">
        <v>0</v>
      </c>
      <c r="BS131">
        <v>0</v>
      </c>
      <c r="BT131">
        <v>188.13079999999999</v>
      </c>
      <c r="BU131">
        <v>0.253</v>
      </c>
      <c r="BV131">
        <v>0</v>
      </c>
      <c r="BW131">
        <v>1</v>
      </c>
      <c r="CU131">
        <f>ROUND(AT131*Source!I139*AH131*AL131,2)</f>
        <v>1963.1</v>
      </c>
      <c r="CV131">
        <f>ROUND(Y131*Source!I139,7)</f>
        <v>3.036</v>
      </c>
      <c r="CW131">
        <v>0</v>
      </c>
      <c r="CX131">
        <f>ROUND(Y131*Source!I139,7)</f>
        <v>3.036</v>
      </c>
      <c r="CY131">
        <f>AD131</f>
        <v>743.6</v>
      </c>
      <c r="CZ131">
        <f>AH131</f>
        <v>743.6</v>
      </c>
      <c r="DA131">
        <f>AL131</f>
        <v>1</v>
      </c>
      <c r="DB131">
        <f>ROUND((ROUND(AT131*CZ131,2)*ROUND(1.15,7)),6)</f>
        <v>188.1285</v>
      </c>
      <c r="DC131">
        <f>ROUND((ROUND(AT131*AG131,2)*ROUND(1.15,7)),6)</f>
        <v>0</v>
      </c>
      <c r="DD131" t="s">
        <v>3</v>
      </c>
      <c r="DE131" t="s">
        <v>3</v>
      </c>
      <c r="DF131">
        <f>ROUND(ROUND(AE131,2)*CX131,2)</f>
        <v>0</v>
      </c>
      <c r="DG131">
        <f t="shared" si="55"/>
        <v>0</v>
      </c>
      <c r="DH131">
        <f t="shared" si="56"/>
        <v>0</v>
      </c>
      <c r="DI131">
        <f t="shared" si="57"/>
        <v>2257.5700000000002</v>
      </c>
      <c r="DJ131">
        <f>DI131</f>
        <v>2257.5700000000002</v>
      </c>
      <c r="DK131">
        <v>1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ROW(Source!A139)</f>
        <v>139</v>
      </c>
      <c r="B132">
        <v>80308166</v>
      </c>
      <c r="C132">
        <v>80308761</v>
      </c>
      <c r="D132">
        <v>72922828</v>
      </c>
      <c r="E132">
        <v>1</v>
      </c>
      <c r="F132">
        <v>1</v>
      </c>
      <c r="G132">
        <v>1</v>
      </c>
      <c r="H132">
        <v>3</v>
      </c>
      <c r="I132" t="s">
        <v>508</v>
      </c>
      <c r="J132" t="s">
        <v>509</v>
      </c>
      <c r="K132" t="s">
        <v>510</v>
      </c>
      <c r="L132">
        <v>1346</v>
      </c>
      <c r="N132">
        <v>1009</v>
      </c>
      <c r="O132" t="s">
        <v>295</v>
      </c>
      <c r="P132" t="s">
        <v>295</v>
      </c>
      <c r="Q132">
        <v>1</v>
      </c>
      <c r="W132">
        <v>0</v>
      </c>
      <c r="X132">
        <v>147489920</v>
      </c>
      <c r="Y132">
        <f t="shared" ref="Y132:Y162" si="58">AT132</f>
        <v>0.01</v>
      </c>
      <c r="AA132">
        <v>170.77</v>
      </c>
      <c r="AB132">
        <v>0</v>
      </c>
      <c r="AC132">
        <v>0</v>
      </c>
      <c r="AD132">
        <v>0</v>
      </c>
      <c r="AE132">
        <v>128.4</v>
      </c>
      <c r="AF132">
        <v>0</v>
      </c>
      <c r="AG132">
        <v>0</v>
      </c>
      <c r="AH132">
        <v>0</v>
      </c>
      <c r="AI132">
        <v>1.33</v>
      </c>
      <c r="AJ132">
        <v>1</v>
      </c>
      <c r="AK132">
        <v>1</v>
      </c>
      <c r="AL132">
        <v>1</v>
      </c>
      <c r="AM132">
        <v>2</v>
      </c>
      <c r="AN132">
        <v>0</v>
      </c>
      <c r="AO132">
        <v>0</v>
      </c>
      <c r="AP132">
        <v>1</v>
      </c>
      <c r="AQ132">
        <v>1</v>
      </c>
      <c r="AR132">
        <v>0</v>
      </c>
      <c r="AS132" t="s">
        <v>3</v>
      </c>
      <c r="AT132">
        <v>0.01</v>
      </c>
      <c r="AU132" t="s">
        <v>3</v>
      </c>
      <c r="AV132">
        <v>0</v>
      </c>
      <c r="AW132">
        <v>2</v>
      </c>
      <c r="AX132">
        <v>80308768</v>
      </c>
      <c r="AY132">
        <v>1</v>
      </c>
      <c r="AZ132">
        <v>0</v>
      </c>
      <c r="BA132">
        <v>127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1.284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1</v>
      </c>
      <c r="BQ132">
        <v>1.284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1</v>
      </c>
      <c r="CV132">
        <v>0</v>
      </c>
      <c r="CW132">
        <v>0</v>
      </c>
      <c r="CX132">
        <f>ROUND(Y132*Source!I139,7)</f>
        <v>0.12</v>
      </c>
      <c r="CY132">
        <f>AA132</f>
        <v>170.77</v>
      </c>
      <c r="CZ132">
        <f>AE132</f>
        <v>128.4</v>
      </c>
      <c r="DA132">
        <f>AI132</f>
        <v>1.33</v>
      </c>
      <c r="DB132">
        <f t="shared" ref="DB132:DB162" si="59">ROUND(ROUND(AT132*CZ132,2),6)</f>
        <v>1.28</v>
      </c>
      <c r="DC132">
        <f t="shared" ref="DC132:DC162" si="60">ROUND(ROUND(AT132*AG132,2),6)</f>
        <v>0</v>
      </c>
      <c r="DD132" t="s">
        <v>3</v>
      </c>
      <c r="DE132" t="s">
        <v>3</v>
      </c>
      <c r="DF132">
        <f>ROUND(ROUND(AE132*AI132,2)*CX132,2)</f>
        <v>20.49</v>
      </c>
      <c r="DG132">
        <f t="shared" si="55"/>
        <v>0</v>
      </c>
      <c r="DH132">
        <f t="shared" si="56"/>
        <v>0</v>
      </c>
      <c r="DI132">
        <f t="shared" si="57"/>
        <v>0</v>
      </c>
      <c r="DJ132">
        <f>DF132</f>
        <v>20.49</v>
      </c>
      <c r="DK132">
        <v>0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ROW(Source!A139)</f>
        <v>139</v>
      </c>
      <c r="B133">
        <v>80308166</v>
      </c>
      <c r="C133">
        <v>80308761</v>
      </c>
      <c r="D133">
        <v>72941506</v>
      </c>
      <c r="E133">
        <v>1</v>
      </c>
      <c r="F133">
        <v>1</v>
      </c>
      <c r="G133">
        <v>1</v>
      </c>
      <c r="H133">
        <v>3</v>
      </c>
      <c r="I133" t="s">
        <v>511</v>
      </c>
      <c r="J133" t="s">
        <v>512</v>
      </c>
      <c r="K133" t="s">
        <v>513</v>
      </c>
      <c r="L133">
        <v>1346</v>
      </c>
      <c r="N133">
        <v>1009</v>
      </c>
      <c r="O133" t="s">
        <v>295</v>
      </c>
      <c r="P133" t="s">
        <v>295</v>
      </c>
      <c r="Q133">
        <v>1</v>
      </c>
      <c r="W133">
        <v>0</v>
      </c>
      <c r="X133">
        <v>790403873</v>
      </c>
      <c r="Y133">
        <f t="shared" si="58"/>
        <v>0.02</v>
      </c>
      <c r="AA133">
        <v>111.83</v>
      </c>
      <c r="AB133">
        <v>0</v>
      </c>
      <c r="AC133">
        <v>0</v>
      </c>
      <c r="AD133">
        <v>0</v>
      </c>
      <c r="AE133">
        <v>79.88</v>
      </c>
      <c r="AF133">
        <v>0</v>
      </c>
      <c r="AG133">
        <v>0</v>
      </c>
      <c r="AH133">
        <v>0</v>
      </c>
      <c r="AI133">
        <v>1.4</v>
      </c>
      <c r="AJ133">
        <v>1</v>
      </c>
      <c r="AK133">
        <v>1</v>
      </c>
      <c r="AL133">
        <v>1</v>
      </c>
      <c r="AM133">
        <v>2</v>
      </c>
      <c r="AN133">
        <v>0</v>
      </c>
      <c r="AO133">
        <v>0</v>
      </c>
      <c r="AP133">
        <v>1</v>
      </c>
      <c r="AQ133">
        <v>1</v>
      </c>
      <c r="AR133">
        <v>0</v>
      </c>
      <c r="AS133" t="s">
        <v>3</v>
      </c>
      <c r="AT133">
        <v>0.02</v>
      </c>
      <c r="AU133" t="s">
        <v>3</v>
      </c>
      <c r="AV133">
        <v>0</v>
      </c>
      <c r="AW133">
        <v>2</v>
      </c>
      <c r="AX133">
        <v>80308769</v>
      </c>
      <c r="AY133">
        <v>1</v>
      </c>
      <c r="AZ133">
        <v>0</v>
      </c>
      <c r="BA133">
        <v>128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1.5975999999999999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1</v>
      </c>
      <c r="BQ133">
        <v>1.5975999999999999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1</v>
      </c>
      <c r="CV133">
        <v>0</v>
      </c>
      <c r="CW133">
        <v>0</v>
      </c>
      <c r="CX133">
        <f>ROUND(Y133*Source!I139,7)</f>
        <v>0.24</v>
      </c>
      <c r="CY133">
        <f>AA133</f>
        <v>111.83</v>
      </c>
      <c r="CZ133">
        <f>AE133</f>
        <v>79.88</v>
      </c>
      <c r="DA133">
        <f>AI133</f>
        <v>1.4</v>
      </c>
      <c r="DB133">
        <f t="shared" si="59"/>
        <v>1.6</v>
      </c>
      <c r="DC133">
        <f t="shared" si="60"/>
        <v>0</v>
      </c>
      <c r="DD133" t="s">
        <v>3</v>
      </c>
      <c r="DE133" t="s">
        <v>3</v>
      </c>
      <c r="DF133">
        <f>ROUND(ROUND(AE133*AI133,2)*CX133,2)</f>
        <v>26.84</v>
      </c>
      <c r="DG133">
        <f t="shared" si="55"/>
        <v>0</v>
      </c>
      <c r="DH133">
        <f t="shared" si="56"/>
        <v>0</v>
      </c>
      <c r="DI133">
        <f t="shared" si="57"/>
        <v>0</v>
      </c>
      <c r="DJ133">
        <f>DF133</f>
        <v>26.84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ROW(Source!A139)</f>
        <v>139</v>
      </c>
      <c r="B134">
        <v>80308166</v>
      </c>
      <c r="C134">
        <v>80308761</v>
      </c>
      <c r="D134">
        <v>72941800</v>
      </c>
      <c r="E134">
        <v>1</v>
      </c>
      <c r="F134">
        <v>1</v>
      </c>
      <c r="G134">
        <v>1</v>
      </c>
      <c r="H134">
        <v>3</v>
      </c>
      <c r="I134" t="s">
        <v>514</v>
      </c>
      <c r="J134" t="s">
        <v>515</v>
      </c>
      <c r="K134" t="s">
        <v>516</v>
      </c>
      <c r="L134">
        <v>1348</v>
      </c>
      <c r="N134">
        <v>1009</v>
      </c>
      <c r="O134" t="s">
        <v>35</v>
      </c>
      <c r="P134" t="s">
        <v>35</v>
      </c>
      <c r="Q134">
        <v>1000</v>
      </c>
      <c r="W134">
        <v>0</v>
      </c>
      <c r="X134">
        <v>-638797071</v>
      </c>
      <c r="Y134">
        <f t="shared" si="58"/>
        <v>1.0000000000000001E-5</v>
      </c>
      <c r="AA134">
        <v>72836.649999999994</v>
      </c>
      <c r="AB134">
        <v>0</v>
      </c>
      <c r="AC134">
        <v>0</v>
      </c>
      <c r="AD134">
        <v>0</v>
      </c>
      <c r="AE134">
        <v>60697.21</v>
      </c>
      <c r="AF134">
        <v>0</v>
      </c>
      <c r="AG134">
        <v>0</v>
      </c>
      <c r="AH134">
        <v>0</v>
      </c>
      <c r="AI134">
        <v>1.2</v>
      </c>
      <c r="AJ134">
        <v>1</v>
      </c>
      <c r="AK134">
        <v>1</v>
      </c>
      <c r="AL134">
        <v>1</v>
      </c>
      <c r="AM134">
        <v>2</v>
      </c>
      <c r="AN134">
        <v>0</v>
      </c>
      <c r="AO134">
        <v>0</v>
      </c>
      <c r="AP134">
        <v>1</v>
      </c>
      <c r="AQ134">
        <v>1</v>
      </c>
      <c r="AR134">
        <v>0</v>
      </c>
      <c r="AS134" t="s">
        <v>3</v>
      </c>
      <c r="AT134">
        <v>1.0000000000000001E-5</v>
      </c>
      <c r="AU134" t="s">
        <v>3</v>
      </c>
      <c r="AV134">
        <v>0</v>
      </c>
      <c r="AW134">
        <v>2</v>
      </c>
      <c r="AX134">
        <v>80308770</v>
      </c>
      <c r="AY134">
        <v>1</v>
      </c>
      <c r="AZ134">
        <v>0</v>
      </c>
      <c r="BA134">
        <v>129</v>
      </c>
      <c r="BB134">
        <v>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0.60697210000000001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1</v>
      </c>
      <c r="BQ134">
        <v>0.60697210000000001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1</v>
      </c>
      <c r="CV134">
        <v>0</v>
      </c>
      <c r="CW134">
        <v>0</v>
      </c>
      <c r="CX134">
        <f>ROUND(Y134*Source!I139,7)</f>
        <v>1.2E-4</v>
      </c>
      <c r="CY134">
        <f>AA134</f>
        <v>72836.649999999994</v>
      </c>
      <c r="CZ134">
        <f>AE134</f>
        <v>60697.21</v>
      </c>
      <c r="DA134">
        <f>AI134</f>
        <v>1.2</v>
      </c>
      <c r="DB134">
        <f t="shared" si="59"/>
        <v>0.61</v>
      </c>
      <c r="DC134">
        <f t="shared" si="60"/>
        <v>0</v>
      </c>
      <c r="DD134" t="s">
        <v>3</v>
      </c>
      <c r="DE134" t="s">
        <v>3</v>
      </c>
      <c r="DF134">
        <f>ROUND(ROUND(AE134*AI134,2)*CX134,2)</f>
        <v>8.74</v>
      </c>
      <c r="DG134">
        <f t="shared" si="55"/>
        <v>0</v>
      </c>
      <c r="DH134">
        <f t="shared" si="56"/>
        <v>0</v>
      </c>
      <c r="DI134">
        <f t="shared" si="57"/>
        <v>0</v>
      </c>
      <c r="DJ134">
        <f>DF134</f>
        <v>8.74</v>
      </c>
      <c r="DK134">
        <v>0</v>
      </c>
      <c r="DL134" t="s">
        <v>3</v>
      </c>
      <c r="DM134">
        <v>0</v>
      </c>
      <c r="DN134" t="s">
        <v>3</v>
      </c>
      <c r="DO134">
        <v>0</v>
      </c>
    </row>
    <row r="135" spans="1:119" x14ac:dyDescent="0.2">
      <c r="A135">
        <f>ROW(Source!A139)</f>
        <v>139</v>
      </c>
      <c r="B135">
        <v>80308166</v>
      </c>
      <c r="C135">
        <v>80308761</v>
      </c>
      <c r="D135">
        <v>77545091</v>
      </c>
      <c r="E135">
        <v>1</v>
      </c>
      <c r="F135">
        <v>1</v>
      </c>
      <c r="G135">
        <v>1</v>
      </c>
      <c r="H135">
        <v>3</v>
      </c>
      <c r="I135" t="s">
        <v>182</v>
      </c>
      <c r="J135" t="s">
        <v>184</v>
      </c>
      <c r="K135" t="s">
        <v>183</v>
      </c>
      <c r="L135">
        <v>1371</v>
      </c>
      <c r="N135">
        <v>1013</v>
      </c>
      <c r="O135" t="s">
        <v>30</v>
      </c>
      <c r="P135" t="s">
        <v>30</v>
      </c>
      <c r="Q135">
        <v>1</v>
      </c>
      <c r="W135">
        <v>0</v>
      </c>
      <c r="X135">
        <v>304774065</v>
      </c>
      <c r="Y135">
        <f t="shared" si="58"/>
        <v>1</v>
      </c>
      <c r="AA135">
        <v>624.23</v>
      </c>
      <c r="AB135">
        <v>0</v>
      </c>
      <c r="AC135">
        <v>0</v>
      </c>
      <c r="AD135">
        <v>0</v>
      </c>
      <c r="AE135">
        <v>624.23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M135">
        <v>2</v>
      </c>
      <c r="AN135">
        <v>0</v>
      </c>
      <c r="AO135">
        <v>0</v>
      </c>
      <c r="AP135">
        <v>1</v>
      </c>
      <c r="AQ135">
        <v>0</v>
      </c>
      <c r="AR135">
        <v>0</v>
      </c>
      <c r="AS135" t="s">
        <v>3</v>
      </c>
      <c r="AT135">
        <v>1</v>
      </c>
      <c r="AU135" t="s">
        <v>3</v>
      </c>
      <c r="AV135">
        <v>0</v>
      </c>
      <c r="AW135">
        <v>1</v>
      </c>
      <c r="AX135">
        <v>-1</v>
      </c>
      <c r="AY135">
        <v>0</v>
      </c>
      <c r="AZ135">
        <v>0</v>
      </c>
      <c r="BA135" t="s">
        <v>3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V135">
        <v>0</v>
      </c>
      <c r="CW135">
        <v>0</v>
      </c>
      <c r="CX135">
        <f>ROUND(Y135*Source!I139,7)</f>
        <v>12</v>
      </c>
      <c r="CY135">
        <f>AA135</f>
        <v>624.23</v>
      </c>
      <c r="CZ135">
        <f>AE135</f>
        <v>624.23</v>
      </c>
      <c r="DA135">
        <f>AI135</f>
        <v>1</v>
      </c>
      <c r="DB135">
        <f t="shared" si="59"/>
        <v>624.23</v>
      </c>
      <c r="DC135">
        <f t="shared" si="60"/>
        <v>0</v>
      </c>
      <c r="DD135" t="s">
        <v>3</v>
      </c>
      <c r="DE135" t="s">
        <v>3</v>
      </c>
      <c r="DF135">
        <f t="shared" ref="DF135:DF141" si="61">ROUND(ROUND(AE135,2)*CX135,2)</f>
        <v>7490.76</v>
      </c>
      <c r="DG135">
        <f t="shared" si="55"/>
        <v>0</v>
      </c>
      <c r="DH135">
        <f t="shared" si="56"/>
        <v>0</v>
      </c>
      <c r="DI135">
        <f t="shared" si="57"/>
        <v>0</v>
      </c>
      <c r="DJ135">
        <f>DF135</f>
        <v>7490.76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ROW(Source!A141)</f>
        <v>141</v>
      </c>
      <c r="B136">
        <v>80308166</v>
      </c>
      <c r="C136">
        <v>80308772</v>
      </c>
      <c r="D136">
        <v>72850651</v>
      </c>
      <c r="E136">
        <v>114</v>
      </c>
      <c r="F136">
        <v>1</v>
      </c>
      <c r="G136">
        <v>1</v>
      </c>
      <c r="H136">
        <v>1</v>
      </c>
      <c r="I136" t="s">
        <v>486</v>
      </c>
      <c r="J136" t="s">
        <v>3</v>
      </c>
      <c r="K136" t="s">
        <v>487</v>
      </c>
      <c r="L136">
        <v>1191</v>
      </c>
      <c r="N136">
        <v>1013</v>
      </c>
      <c r="O136" t="s">
        <v>449</v>
      </c>
      <c r="P136" t="s">
        <v>449</v>
      </c>
      <c r="Q136">
        <v>1</v>
      </c>
      <c r="W136">
        <v>0</v>
      </c>
      <c r="X136">
        <v>888410196</v>
      </c>
      <c r="Y136">
        <f t="shared" si="58"/>
        <v>121.4</v>
      </c>
      <c r="AA136">
        <v>0</v>
      </c>
      <c r="AB136">
        <v>0</v>
      </c>
      <c r="AC136">
        <v>0</v>
      </c>
      <c r="AD136">
        <v>722.05</v>
      </c>
      <c r="AE136">
        <v>0</v>
      </c>
      <c r="AF136">
        <v>0</v>
      </c>
      <c r="AG136">
        <v>0</v>
      </c>
      <c r="AH136">
        <v>722.05</v>
      </c>
      <c r="AI136">
        <v>1</v>
      </c>
      <c r="AJ136">
        <v>1</v>
      </c>
      <c r="AK136">
        <v>1</v>
      </c>
      <c r="AL136">
        <v>1</v>
      </c>
      <c r="AM136">
        <v>-2</v>
      </c>
      <c r="AN136">
        <v>0</v>
      </c>
      <c r="AO136">
        <v>0</v>
      </c>
      <c r="AP136">
        <v>0</v>
      </c>
      <c r="AQ136">
        <v>1</v>
      </c>
      <c r="AR136">
        <v>0</v>
      </c>
      <c r="AS136" t="s">
        <v>3</v>
      </c>
      <c r="AT136">
        <v>121.4</v>
      </c>
      <c r="AU136" t="s">
        <v>3</v>
      </c>
      <c r="AV136">
        <v>1</v>
      </c>
      <c r="AW136">
        <v>2</v>
      </c>
      <c r="AX136">
        <v>80308788</v>
      </c>
      <c r="AY136">
        <v>1</v>
      </c>
      <c r="AZ136">
        <v>0</v>
      </c>
      <c r="BA136">
        <v>130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87656.87</v>
      </c>
      <c r="BN136">
        <v>121.4</v>
      </c>
      <c r="BO136">
        <v>0</v>
      </c>
      <c r="BP136">
        <v>1</v>
      </c>
      <c r="BQ136">
        <v>0</v>
      </c>
      <c r="BR136">
        <v>0</v>
      </c>
      <c r="BS136">
        <v>0</v>
      </c>
      <c r="BT136">
        <v>87656.87</v>
      </c>
      <c r="BU136">
        <v>121.4</v>
      </c>
      <c r="BV136">
        <v>0</v>
      </c>
      <c r="BW136">
        <v>1</v>
      </c>
      <c r="CU136">
        <f>ROUND(AT136*Source!I141*AH136*AL136,2)</f>
        <v>10518.82</v>
      </c>
      <c r="CV136">
        <f>ROUND(Y136*Source!I141,7)</f>
        <v>14.568</v>
      </c>
      <c r="CW136">
        <v>0</v>
      </c>
      <c r="CX136">
        <f>ROUND(Y136*Source!I141,7)</f>
        <v>14.568</v>
      </c>
      <c r="CY136">
        <f>AD136</f>
        <v>722.05</v>
      </c>
      <c r="CZ136">
        <f>AH136</f>
        <v>722.05</v>
      </c>
      <c r="DA136">
        <f>AL136</f>
        <v>1</v>
      </c>
      <c r="DB136">
        <f t="shared" si="59"/>
        <v>87656.87</v>
      </c>
      <c r="DC136">
        <f t="shared" si="60"/>
        <v>0</v>
      </c>
      <c r="DD136" t="s">
        <v>3</v>
      </c>
      <c r="DE136" t="s">
        <v>3</v>
      </c>
      <c r="DF136">
        <f t="shared" si="61"/>
        <v>0</v>
      </c>
      <c r="DG136">
        <f t="shared" si="55"/>
        <v>0</v>
      </c>
      <c r="DH136">
        <f t="shared" si="56"/>
        <v>0</v>
      </c>
      <c r="DI136">
        <f t="shared" si="57"/>
        <v>10518.82</v>
      </c>
      <c r="DJ136">
        <f>DI136</f>
        <v>10518.82</v>
      </c>
      <c r="DK136">
        <v>1</v>
      </c>
      <c r="DL136" t="s">
        <v>3</v>
      </c>
      <c r="DM136">
        <v>0</v>
      </c>
      <c r="DN136" t="s">
        <v>3</v>
      </c>
      <c r="DO136">
        <v>0</v>
      </c>
    </row>
    <row r="137" spans="1:119" x14ac:dyDescent="0.2">
      <c r="A137">
        <f>ROW(Source!A141)</f>
        <v>141</v>
      </c>
      <c r="B137">
        <v>80308166</v>
      </c>
      <c r="C137">
        <v>80308772</v>
      </c>
      <c r="D137">
        <v>72850822</v>
      </c>
      <c r="E137">
        <v>114</v>
      </c>
      <c r="F137">
        <v>1</v>
      </c>
      <c r="G137">
        <v>1</v>
      </c>
      <c r="H137">
        <v>1</v>
      </c>
      <c r="I137" t="s">
        <v>450</v>
      </c>
      <c r="J137" t="s">
        <v>3</v>
      </c>
      <c r="K137" t="s">
        <v>451</v>
      </c>
      <c r="L137">
        <v>1191</v>
      </c>
      <c r="N137">
        <v>1013</v>
      </c>
      <c r="O137" t="s">
        <v>449</v>
      </c>
      <c r="P137" t="s">
        <v>449</v>
      </c>
      <c r="Q137">
        <v>1</v>
      </c>
      <c r="W137">
        <v>0</v>
      </c>
      <c r="X137">
        <v>-1417349443</v>
      </c>
      <c r="Y137">
        <f t="shared" si="58"/>
        <v>0.42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M137">
        <v>-2</v>
      </c>
      <c r="AN137">
        <v>0</v>
      </c>
      <c r="AO137">
        <v>0</v>
      </c>
      <c r="AP137">
        <v>0</v>
      </c>
      <c r="AQ137">
        <v>1</v>
      </c>
      <c r="AR137">
        <v>0</v>
      </c>
      <c r="AS137" t="s">
        <v>3</v>
      </c>
      <c r="AT137">
        <v>0.42</v>
      </c>
      <c r="AU137" t="s">
        <v>3</v>
      </c>
      <c r="AV137">
        <v>2</v>
      </c>
      <c r="AW137">
        <v>2</v>
      </c>
      <c r="AX137">
        <v>80308789</v>
      </c>
      <c r="AY137">
        <v>1</v>
      </c>
      <c r="AZ137">
        <v>0</v>
      </c>
      <c r="BA137">
        <v>131</v>
      </c>
      <c r="BB137">
        <v>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V137">
        <v>0</v>
      </c>
      <c r="CW137">
        <v>0</v>
      </c>
      <c r="CX137">
        <f>ROUND(Y137*Source!I141,7)</f>
        <v>5.04E-2</v>
      </c>
      <c r="CY137">
        <f>AD137</f>
        <v>0</v>
      </c>
      <c r="CZ137">
        <f>AH137</f>
        <v>0</v>
      </c>
      <c r="DA137">
        <f>AL137</f>
        <v>1</v>
      </c>
      <c r="DB137">
        <f t="shared" si="59"/>
        <v>0</v>
      </c>
      <c r="DC137">
        <f t="shared" si="60"/>
        <v>0</v>
      </c>
      <c r="DD137" t="s">
        <v>3</v>
      </c>
      <c r="DE137" t="s">
        <v>3</v>
      </c>
      <c r="DF137">
        <f t="shared" si="61"/>
        <v>0</v>
      </c>
      <c r="DG137">
        <f t="shared" si="55"/>
        <v>0</v>
      </c>
      <c r="DH137">
        <f t="shared" si="56"/>
        <v>0</v>
      </c>
      <c r="DI137">
        <f t="shared" si="57"/>
        <v>0</v>
      </c>
      <c r="DJ137">
        <f>DI137</f>
        <v>0</v>
      </c>
      <c r="DK137">
        <v>0</v>
      </c>
      <c r="DL137" t="s">
        <v>3</v>
      </c>
      <c r="DM137">
        <v>0</v>
      </c>
      <c r="DN137" t="s">
        <v>3</v>
      </c>
      <c r="DO137">
        <v>0</v>
      </c>
    </row>
    <row r="138" spans="1:119" x14ac:dyDescent="0.2">
      <c r="A138">
        <f>ROW(Source!A141)</f>
        <v>141</v>
      </c>
      <c r="B138">
        <v>80308166</v>
      </c>
      <c r="C138">
        <v>80308772</v>
      </c>
      <c r="D138">
        <v>72975454</v>
      </c>
      <c r="E138">
        <v>1</v>
      </c>
      <c r="F138">
        <v>1</v>
      </c>
      <c r="G138">
        <v>1</v>
      </c>
      <c r="H138">
        <v>2</v>
      </c>
      <c r="I138" t="s">
        <v>466</v>
      </c>
      <c r="J138" t="s">
        <v>467</v>
      </c>
      <c r="K138" t="s">
        <v>468</v>
      </c>
      <c r="L138">
        <v>1368</v>
      </c>
      <c r="N138">
        <v>1011</v>
      </c>
      <c r="O138" t="s">
        <v>455</v>
      </c>
      <c r="P138" t="s">
        <v>455</v>
      </c>
      <c r="Q138">
        <v>1</v>
      </c>
      <c r="W138">
        <v>0</v>
      </c>
      <c r="X138">
        <v>-92307625</v>
      </c>
      <c r="Y138">
        <f t="shared" si="58"/>
        <v>0.21</v>
      </c>
      <c r="AA138">
        <v>0</v>
      </c>
      <c r="AB138">
        <v>57.47</v>
      </c>
      <c r="AC138">
        <v>641.22</v>
      </c>
      <c r="AD138">
        <v>0</v>
      </c>
      <c r="AE138">
        <v>0</v>
      </c>
      <c r="AF138">
        <v>37.32</v>
      </c>
      <c r="AG138">
        <v>641.22</v>
      </c>
      <c r="AH138">
        <v>0</v>
      </c>
      <c r="AI138">
        <v>1</v>
      </c>
      <c r="AJ138">
        <v>1.54</v>
      </c>
      <c r="AK138">
        <v>1</v>
      </c>
      <c r="AL138">
        <v>1</v>
      </c>
      <c r="AM138">
        <v>2</v>
      </c>
      <c r="AN138">
        <v>0</v>
      </c>
      <c r="AO138">
        <v>0</v>
      </c>
      <c r="AP138">
        <v>0</v>
      </c>
      <c r="AQ138">
        <v>1</v>
      </c>
      <c r="AR138">
        <v>0</v>
      </c>
      <c r="AS138" t="s">
        <v>3</v>
      </c>
      <c r="AT138">
        <v>0.21</v>
      </c>
      <c r="AU138" t="s">
        <v>3</v>
      </c>
      <c r="AV138">
        <v>1</v>
      </c>
      <c r="AW138">
        <v>2</v>
      </c>
      <c r="AX138">
        <v>80308790</v>
      </c>
      <c r="AY138">
        <v>1</v>
      </c>
      <c r="AZ138">
        <v>0</v>
      </c>
      <c r="BA138">
        <v>132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7.8372000000000002</v>
      </c>
      <c r="BL138">
        <v>134.65620000000001</v>
      </c>
      <c r="BM138">
        <v>0</v>
      </c>
      <c r="BN138">
        <v>0</v>
      </c>
      <c r="BO138">
        <v>0.21</v>
      </c>
      <c r="BP138">
        <v>1</v>
      </c>
      <c r="BQ138">
        <v>0</v>
      </c>
      <c r="BR138">
        <v>7.8372000000000002</v>
      </c>
      <c r="BS138">
        <v>134.65620000000001</v>
      </c>
      <c r="BT138">
        <v>0</v>
      </c>
      <c r="BU138">
        <v>0</v>
      </c>
      <c r="BV138">
        <v>0.21</v>
      </c>
      <c r="BW138">
        <v>1</v>
      </c>
      <c r="CV138">
        <v>0</v>
      </c>
      <c r="CW138">
        <f>ROUND(Y138*Source!I141*DO138,7)</f>
        <v>2.52E-2</v>
      </c>
      <c r="CX138">
        <f>ROUND(Y138*Source!I141,7)</f>
        <v>2.52E-2</v>
      </c>
      <c r="CY138">
        <f>AB138</f>
        <v>57.47</v>
      </c>
      <c r="CZ138">
        <f>AF138</f>
        <v>37.32</v>
      </c>
      <c r="DA138">
        <f>AJ138</f>
        <v>1.54</v>
      </c>
      <c r="DB138">
        <f t="shared" si="59"/>
        <v>7.84</v>
      </c>
      <c r="DC138">
        <f t="shared" si="60"/>
        <v>134.66</v>
      </c>
      <c r="DD138" t="s">
        <v>3</v>
      </c>
      <c r="DE138" t="s">
        <v>3</v>
      </c>
      <c r="DF138">
        <f t="shared" si="61"/>
        <v>0</v>
      </c>
      <c r="DG138">
        <f>ROUND(ROUND(AF138*AJ138,2)*CX138,2)</f>
        <v>1.45</v>
      </c>
      <c r="DH138">
        <f t="shared" si="56"/>
        <v>16.16</v>
      </c>
      <c r="DI138">
        <f t="shared" si="57"/>
        <v>0</v>
      </c>
      <c r="DJ138">
        <f>DG138+DH138</f>
        <v>17.61</v>
      </c>
      <c r="DK138">
        <v>0</v>
      </c>
      <c r="DL138" t="s">
        <v>469</v>
      </c>
      <c r="DM138">
        <v>3</v>
      </c>
      <c r="DN138" t="s">
        <v>449</v>
      </c>
      <c r="DO138">
        <v>1</v>
      </c>
    </row>
    <row r="139" spans="1:119" x14ac:dyDescent="0.2">
      <c r="A139">
        <f>ROW(Source!A141)</f>
        <v>141</v>
      </c>
      <c r="B139">
        <v>80308166</v>
      </c>
      <c r="C139">
        <v>80308772</v>
      </c>
      <c r="D139">
        <v>72976159</v>
      </c>
      <c r="E139">
        <v>1</v>
      </c>
      <c r="F139">
        <v>1</v>
      </c>
      <c r="G139">
        <v>1</v>
      </c>
      <c r="H139">
        <v>2</v>
      </c>
      <c r="I139" t="s">
        <v>452</v>
      </c>
      <c r="J139" t="s">
        <v>453</v>
      </c>
      <c r="K139" t="s">
        <v>454</v>
      </c>
      <c r="L139">
        <v>1368</v>
      </c>
      <c r="N139">
        <v>1011</v>
      </c>
      <c r="O139" t="s">
        <v>455</v>
      </c>
      <c r="P139" t="s">
        <v>455</v>
      </c>
      <c r="Q139">
        <v>1</v>
      </c>
      <c r="W139">
        <v>0</v>
      </c>
      <c r="X139">
        <v>-1152394969</v>
      </c>
      <c r="Y139">
        <f t="shared" si="58"/>
        <v>0.21</v>
      </c>
      <c r="AA139">
        <v>0</v>
      </c>
      <c r="AB139">
        <v>643.29</v>
      </c>
      <c r="AC139">
        <v>722.05</v>
      </c>
      <c r="AD139">
        <v>0</v>
      </c>
      <c r="AE139">
        <v>0</v>
      </c>
      <c r="AF139">
        <v>643.29</v>
      </c>
      <c r="AG139">
        <v>722.05</v>
      </c>
      <c r="AH139">
        <v>0</v>
      </c>
      <c r="AI139">
        <v>1</v>
      </c>
      <c r="AJ139">
        <v>1</v>
      </c>
      <c r="AK139">
        <v>1</v>
      </c>
      <c r="AL139">
        <v>1</v>
      </c>
      <c r="AM139">
        <v>-2</v>
      </c>
      <c r="AN139">
        <v>0</v>
      </c>
      <c r="AO139">
        <v>0</v>
      </c>
      <c r="AP139">
        <v>0</v>
      </c>
      <c r="AQ139">
        <v>1</v>
      </c>
      <c r="AR139">
        <v>0</v>
      </c>
      <c r="AS139" t="s">
        <v>3</v>
      </c>
      <c r="AT139">
        <v>0.21</v>
      </c>
      <c r="AU139" t="s">
        <v>3</v>
      </c>
      <c r="AV139">
        <v>1</v>
      </c>
      <c r="AW139">
        <v>2</v>
      </c>
      <c r="AX139">
        <v>80308791</v>
      </c>
      <c r="AY139">
        <v>1</v>
      </c>
      <c r="AZ139">
        <v>0</v>
      </c>
      <c r="BA139">
        <v>133</v>
      </c>
      <c r="BB139">
        <v>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135.09089999999998</v>
      </c>
      <c r="BL139">
        <v>151.63049999999998</v>
      </c>
      <c r="BM139">
        <v>0</v>
      </c>
      <c r="BN139">
        <v>0</v>
      </c>
      <c r="BO139">
        <v>0.21</v>
      </c>
      <c r="BP139">
        <v>1</v>
      </c>
      <c r="BQ139">
        <v>0</v>
      </c>
      <c r="BR139">
        <v>135.09089999999998</v>
      </c>
      <c r="BS139">
        <v>151.63049999999998</v>
      </c>
      <c r="BT139">
        <v>0</v>
      </c>
      <c r="BU139">
        <v>0</v>
      </c>
      <c r="BV139">
        <v>0.21</v>
      </c>
      <c r="BW139">
        <v>1</v>
      </c>
      <c r="CV139">
        <v>0</v>
      </c>
      <c r="CW139">
        <f>ROUND(Y139*Source!I141*DO139,7)</f>
        <v>2.52E-2</v>
      </c>
      <c r="CX139">
        <f>ROUND(Y139*Source!I141,7)</f>
        <v>2.52E-2</v>
      </c>
      <c r="CY139">
        <f>AB139</f>
        <v>643.29</v>
      </c>
      <c r="CZ139">
        <f>AF139</f>
        <v>643.29</v>
      </c>
      <c r="DA139">
        <f>AJ139</f>
        <v>1</v>
      </c>
      <c r="DB139">
        <f t="shared" si="59"/>
        <v>135.09</v>
      </c>
      <c r="DC139">
        <f t="shared" si="60"/>
        <v>151.63</v>
      </c>
      <c r="DD139" t="s">
        <v>3</v>
      </c>
      <c r="DE139" t="s">
        <v>3</v>
      </c>
      <c r="DF139">
        <f t="shared" si="61"/>
        <v>0</v>
      </c>
      <c r="DG139">
        <f>ROUND(ROUND(AF139,2)*CX139,2)</f>
        <v>16.21</v>
      </c>
      <c r="DH139">
        <f t="shared" si="56"/>
        <v>18.2</v>
      </c>
      <c r="DI139">
        <f t="shared" si="57"/>
        <v>0</v>
      </c>
      <c r="DJ139">
        <f>DG139+DH139</f>
        <v>34.409999999999997</v>
      </c>
      <c r="DK139">
        <v>1</v>
      </c>
      <c r="DL139" t="s">
        <v>456</v>
      </c>
      <c r="DM139">
        <v>4</v>
      </c>
      <c r="DN139" t="s">
        <v>449</v>
      </c>
      <c r="DO139">
        <v>1</v>
      </c>
    </row>
    <row r="140" spans="1:119" x14ac:dyDescent="0.2">
      <c r="A140">
        <f>ROW(Source!A141)</f>
        <v>141</v>
      </c>
      <c r="B140">
        <v>80308166</v>
      </c>
      <c r="C140">
        <v>80308772</v>
      </c>
      <c r="D140">
        <v>72976316</v>
      </c>
      <c r="E140">
        <v>1</v>
      </c>
      <c r="F140">
        <v>1</v>
      </c>
      <c r="G140">
        <v>1</v>
      </c>
      <c r="H140">
        <v>2</v>
      </c>
      <c r="I140" t="s">
        <v>553</v>
      </c>
      <c r="J140" t="s">
        <v>554</v>
      </c>
      <c r="K140" t="s">
        <v>555</v>
      </c>
      <c r="L140">
        <v>1368</v>
      </c>
      <c r="N140">
        <v>1011</v>
      </c>
      <c r="O140" t="s">
        <v>455</v>
      </c>
      <c r="P140" t="s">
        <v>455</v>
      </c>
      <c r="Q140">
        <v>1</v>
      </c>
      <c r="W140">
        <v>0</v>
      </c>
      <c r="X140">
        <v>10777318</v>
      </c>
      <c r="Y140">
        <f t="shared" si="58"/>
        <v>3.07</v>
      </c>
      <c r="AA140">
        <v>0</v>
      </c>
      <c r="AB140">
        <v>5.35</v>
      </c>
      <c r="AC140">
        <v>0</v>
      </c>
      <c r="AD140">
        <v>0</v>
      </c>
      <c r="AE140">
        <v>0</v>
      </c>
      <c r="AF140">
        <v>4.3499999999999996</v>
      </c>
      <c r="AG140">
        <v>0</v>
      </c>
      <c r="AH140">
        <v>0</v>
      </c>
      <c r="AI140">
        <v>1</v>
      </c>
      <c r="AJ140">
        <v>1.23</v>
      </c>
      <c r="AK140">
        <v>1</v>
      </c>
      <c r="AL140">
        <v>1</v>
      </c>
      <c r="AM140">
        <v>2</v>
      </c>
      <c r="AN140">
        <v>0</v>
      </c>
      <c r="AO140">
        <v>0</v>
      </c>
      <c r="AP140">
        <v>0</v>
      </c>
      <c r="AQ140">
        <v>1</v>
      </c>
      <c r="AR140">
        <v>0</v>
      </c>
      <c r="AS140" t="s">
        <v>3</v>
      </c>
      <c r="AT140">
        <v>3.07</v>
      </c>
      <c r="AU140" t="s">
        <v>3</v>
      </c>
      <c r="AV140">
        <v>1</v>
      </c>
      <c r="AW140">
        <v>2</v>
      </c>
      <c r="AX140">
        <v>80308792</v>
      </c>
      <c r="AY140">
        <v>1</v>
      </c>
      <c r="AZ140">
        <v>0</v>
      </c>
      <c r="BA140">
        <v>134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13.354499999999998</v>
      </c>
      <c r="BL140">
        <v>0</v>
      </c>
      <c r="BM140">
        <v>0</v>
      </c>
      <c r="BN140">
        <v>0</v>
      </c>
      <c r="BO140">
        <v>0</v>
      </c>
      <c r="BP140">
        <v>1</v>
      </c>
      <c r="BQ140">
        <v>0</v>
      </c>
      <c r="BR140">
        <v>13.354499999999998</v>
      </c>
      <c r="BS140">
        <v>0</v>
      </c>
      <c r="BT140">
        <v>0</v>
      </c>
      <c r="BU140">
        <v>0</v>
      </c>
      <c r="BV140">
        <v>0</v>
      </c>
      <c r="BW140">
        <v>1</v>
      </c>
      <c r="CV140">
        <v>0</v>
      </c>
      <c r="CW140">
        <f>ROUND(Y140*Source!I141*DO140,7)</f>
        <v>0</v>
      </c>
      <c r="CX140">
        <f>ROUND(Y140*Source!I141,7)</f>
        <v>0.36840000000000001</v>
      </c>
      <c r="CY140">
        <f>AB140</f>
        <v>5.35</v>
      </c>
      <c r="CZ140">
        <f>AF140</f>
        <v>4.3499999999999996</v>
      </c>
      <c r="DA140">
        <f>AJ140</f>
        <v>1.23</v>
      </c>
      <c r="DB140">
        <f t="shared" si="59"/>
        <v>13.35</v>
      </c>
      <c r="DC140">
        <f t="shared" si="60"/>
        <v>0</v>
      </c>
      <c r="DD140" t="s">
        <v>3</v>
      </c>
      <c r="DE140" t="s">
        <v>3</v>
      </c>
      <c r="DF140">
        <f t="shared" si="61"/>
        <v>0</v>
      </c>
      <c r="DG140">
        <f>ROUND(ROUND(AF140*AJ140,2)*CX140,2)</f>
        <v>1.97</v>
      </c>
      <c r="DH140">
        <f t="shared" si="56"/>
        <v>0</v>
      </c>
      <c r="DI140">
        <f t="shared" si="57"/>
        <v>0</v>
      </c>
      <c r="DJ140">
        <f>DG140+DH140</f>
        <v>1.97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ROW(Source!A141)</f>
        <v>141</v>
      </c>
      <c r="B141">
        <v>80308166</v>
      </c>
      <c r="C141">
        <v>80308772</v>
      </c>
      <c r="D141">
        <v>72976354</v>
      </c>
      <c r="E141">
        <v>1</v>
      </c>
      <c r="F141">
        <v>1</v>
      </c>
      <c r="G141">
        <v>1</v>
      </c>
      <c r="H141">
        <v>2</v>
      </c>
      <c r="I141" t="s">
        <v>477</v>
      </c>
      <c r="J141" t="s">
        <v>478</v>
      </c>
      <c r="K141" t="s">
        <v>479</v>
      </c>
      <c r="L141">
        <v>1368</v>
      </c>
      <c r="N141">
        <v>1011</v>
      </c>
      <c r="O141" t="s">
        <v>455</v>
      </c>
      <c r="P141" t="s">
        <v>455</v>
      </c>
      <c r="Q141">
        <v>1</v>
      </c>
      <c r="W141">
        <v>0</v>
      </c>
      <c r="X141">
        <v>-334821386</v>
      </c>
      <c r="Y141">
        <f t="shared" si="58"/>
        <v>4.58</v>
      </c>
      <c r="AA141">
        <v>0</v>
      </c>
      <c r="AB141">
        <v>32.26</v>
      </c>
      <c r="AC141">
        <v>0</v>
      </c>
      <c r="AD141">
        <v>0</v>
      </c>
      <c r="AE141">
        <v>0</v>
      </c>
      <c r="AF141">
        <v>32.26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M141">
        <v>-2</v>
      </c>
      <c r="AN141">
        <v>0</v>
      </c>
      <c r="AO141">
        <v>0</v>
      </c>
      <c r="AP141">
        <v>0</v>
      </c>
      <c r="AQ141">
        <v>1</v>
      </c>
      <c r="AR141">
        <v>0</v>
      </c>
      <c r="AS141" t="s">
        <v>3</v>
      </c>
      <c r="AT141">
        <v>4.58</v>
      </c>
      <c r="AU141" t="s">
        <v>3</v>
      </c>
      <c r="AV141">
        <v>1</v>
      </c>
      <c r="AW141">
        <v>2</v>
      </c>
      <c r="AX141">
        <v>80308793</v>
      </c>
      <c r="AY141">
        <v>1</v>
      </c>
      <c r="AZ141">
        <v>0</v>
      </c>
      <c r="BA141">
        <v>135</v>
      </c>
      <c r="BB141">
        <v>1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147.7508</v>
      </c>
      <c r="BL141">
        <v>0</v>
      </c>
      <c r="BM141">
        <v>0</v>
      </c>
      <c r="BN141">
        <v>0</v>
      </c>
      <c r="BO141">
        <v>0</v>
      </c>
      <c r="BP141">
        <v>1</v>
      </c>
      <c r="BQ141">
        <v>0</v>
      </c>
      <c r="BR141">
        <v>147.7508</v>
      </c>
      <c r="BS141">
        <v>0</v>
      </c>
      <c r="BT141">
        <v>0</v>
      </c>
      <c r="BU141">
        <v>0</v>
      </c>
      <c r="BV141">
        <v>0</v>
      </c>
      <c r="BW141">
        <v>1</v>
      </c>
      <c r="CV141">
        <v>0</v>
      </c>
      <c r="CW141">
        <f>ROUND(Y141*Source!I141*DO141,7)</f>
        <v>0</v>
      </c>
      <c r="CX141">
        <f>ROUND(Y141*Source!I141,7)</f>
        <v>0.54959999999999998</v>
      </c>
      <c r="CY141">
        <f>AB141</f>
        <v>32.26</v>
      </c>
      <c r="CZ141">
        <f>AF141</f>
        <v>32.26</v>
      </c>
      <c r="DA141">
        <f>AJ141</f>
        <v>1</v>
      </c>
      <c r="DB141">
        <f t="shared" si="59"/>
        <v>147.75</v>
      </c>
      <c r="DC141">
        <f t="shared" si="60"/>
        <v>0</v>
      </c>
      <c r="DD141" t="s">
        <v>3</v>
      </c>
      <c r="DE141" t="s">
        <v>3</v>
      </c>
      <c r="DF141">
        <f t="shared" si="61"/>
        <v>0</v>
      </c>
      <c r="DG141">
        <f t="shared" ref="DG141:DG152" si="62">ROUND(ROUND(AF141,2)*CX141,2)</f>
        <v>17.73</v>
      </c>
      <c r="DH141">
        <f t="shared" si="56"/>
        <v>0</v>
      </c>
      <c r="DI141">
        <f t="shared" si="57"/>
        <v>0</v>
      </c>
      <c r="DJ141">
        <f>DG141+DH141</f>
        <v>17.73</v>
      </c>
      <c r="DK141">
        <v>1</v>
      </c>
      <c r="DL141" t="s">
        <v>3</v>
      </c>
      <c r="DM141">
        <v>0</v>
      </c>
      <c r="DN141" t="s">
        <v>3</v>
      </c>
      <c r="DO141">
        <v>0</v>
      </c>
    </row>
    <row r="142" spans="1:119" x14ac:dyDescent="0.2">
      <c r="A142">
        <f>ROW(Source!A141)</f>
        <v>141</v>
      </c>
      <c r="B142">
        <v>80308166</v>
      </c>
      <c r="C142">
        <v>80308772</v>
      </c>
      <c r="D142">
        <v>72920216</v>
      </c>
      <c r="E142">
        <v>1</v>
      </c>
      <c r="F142">
        <v>1</v>
      </c>
      <c r="G142">
        <v>1</v>
      </c>
      <c r="H142">
        <v>3</v>
      </c>
      <c r="I142" t="s">
        <v>488</v>
      </c>
      <c r="J142" t="s">
        <v>489</v>
      </c>
      <c r="K142" t="s">
        <v>490</v>
      </c>
      <c r="L142">
        <v>1339</v>
      </c>
      <c r="N142">
        <v>1007</v>
      </c>
      <c r="O142" t="s">
        <v>309</v>
      </c>
      <c r="P142" t="s">
        <v>309</v>
      </c>
      <c r="Q142">
        <v>1</v>
      </c>
      <c r="W142">
        <v>0</v>
      </c>
      <c r="X142">
        <v>1997520280</v>
      </c>
      <c r="Y142">
        <f t="shared" si="58"/>
        <v>0.23</v>
      </c>
      <c r="AA142">
        <v>510.62</v>
      </c>
      <c r="AB142">
        <v>0</v>
      </c>
      <c r="AC142">
        <v>0</v>
      </c>
      <c r="AD142">
        <v>0</v>
      </c>
      <c r="AE142">
        <v>340.41</v>
      </c>
      <c r="AF142">
        <v>0</v>
      </c>
      <c r="AG142">
        <v>0</v>
      </c>
      <c r="AH142">
        <v>0</v>
      </c>
      <c r="AI142">
        <v>1.5</v>
      </c>
      <c r="AJ142">
        <v>1</v>
      </c>
      <c r="AK142">
        <v>1</v>
      </c>
      <c r="AL142">
        <v>1</v>
      </c>
      <c r="AM142">
        <v>2</v>
      </c>
      <c r="AN142">
        <v>0</v>
      </c>
      <c r="AO142">
        <v>0</v>
      </c>
      <c r="AP142">
        <v>0</v>
      </c>
      <c r="AQ142">
        <v>1</v>
      </c>
      <c r="AR142">
        <v>0</v>
      </c>
      <c r="AS142" t="s">
        <v>3</v>
      </c>
      <c r="AT142">
        <v>0.23</v>
      </c>
      <c r="AU142" t="s">
        <v>3</v>
      </c>
      <c r="AV142">
        <v>0</v>
      </c>
      <c r="AW142">
        <v>2</v>
      </c>
      <c r="AX142">
        <v>80308794</v>
      </c>
      <c r="AY142">
        <v>1</v>
      </c>
      <c r="AZ142">
        <v>0</v>
      </c>
      <c r="BA142">
        <v>136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78.294300000000007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78.294300000000007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1</v>
      </c>
      <c r="CV142">
        <v>0</v>
      </c>
      <c r="CW142">
        <v>0</v>
      </c>
      <c r="CX142">
        <f>ROUND(Y142*Source!I141,7)</f>
        <v>2.76E-2</v>
      </c>
      <c r="CY142">
        <f t="shared" ref="CY142:CY150" si="63">AA142</f>
        <v>510.62</v>
      </c>
      <c r="CZ142">
        <f t="shared" ref="CZ142:CZ150" si="64">AE142</f>
        <v>340.41</v>
      </c>
      <c r="DA142">
        <f t="shared" ref="DA142:DA150" si="65">AI142</f>
        <v>1.5</v>
      </c>
      <c r="DB142">
        <f t="shared" si="59"/>
        <v>78.290000000000006</v>
      </c>
      <c r="DC142">
        <f t="shared" si="60"/>
        <v>0</v>
      </c>
      <c r="DD142" t="s">
        <v>3</v>
      </c>
      <c r="DE142" t="s">
        <v>3</v>
      </c>
      <c r="DF142">
        <f t="shared" ref="DF142:DF150" si="66">ROUND(ROUND(AE142*AI142,2)*CX142,2)</f>
        <v>14.09</v>
      </c>
      <c r="DG142">
        <f t="shared" si="62"/>
        <v>0</v>
      </c>
      <c r="DH142">
        <f t="shared" si="56"/>
        <v>0</v>
      </c>
      <c r="DI142">
        <f t="shared" si="57"/>
        <v>0</v>
      </c>
      <c r="DJ142">
        <f t="shared" ref="DJ142:DJ150" si="67">DF142</f>
        <v>14.09</v>
      </c>
      <c r="DK142">
        <v>0</v>
      </c>
      <c r="DL142" t="s">
        <v>3</v>
      </c>
      <c r="DM142">
        <v>0</v>
      </c>
      <c r="DN142" t="s">
        <v>3</v>
      </c>
      <c r="DO142">
        <v>0</v>
      </c>
    </row>
    <row r="143" spans="1:119" x14ac:dyDescent="0.2">
      <c r="A143">
        <f>ROW(Source!A141)</f>
        <v>141</v>
      </c>
      <c r="B143">
        <v>80308166</v>
      </c>
      <c r="C143">
        <v>80308772</v>
      </c>
      <c r="D143">
        <v>72920232</v>
      </c>
      <c r="E143">
        <v>1</v>
      </c>
      <c r="F143">
        <v>1</v>
      </c>
      <c r="G143">
        <v>1</v>
      </c>
      <c r="H143">
        <v>3</v>
      </c>
      <c r="I143" t="s">
        <v>491</v>
      </c>
      <c r="J143" t="s">
        <v>492</v>
      </c>
      <c r="K143" t="s">
        <v>493</v>
      </c>
      <c r="L143">
        <v>1339</v>
      </c>
      <c r="N143">
        <v>1007</v>
      </c>
      <c r="O143" t="s">
        <v>309</v>
      </c>
      <c r="P143" t="s">
        <v>309</v>
      </c>
      <c r="Q143">
        <v>1</v>
      </c>
      <c r="W143">
        <v>0</v>
      </c>
      <c r="X143">
        <v>245356557</v>
      </c>
      <c r="Y143">
        <f t="shared" si="58"/>
        <v>0.51</v>
      </c>
      <c r="AA143">
        <v>97.44</v>
      </c>
      <c r="AB143">
        <v>0</v>
      </c>
      <c r="AC143">
        <v>0</v>
      </c>
      <c r="AD143">
        <v>0</v>
      </c>
      <c r="AE143">
        <v>114.64</v>
      </c>
      <c r="AF143">
        <v>0</v>
      </c>
      <c r="AG143">
        <v>0</v>
      </c>
      <c r="AH143">
        <v>0</v>
      </c>
      <c r="AI143">
        <v>0.85</v>
      </c>
      <c r="AJ143">
        <v>1</v>
      </c>
      <c r="AK143">
        <v>1</v>
      </c>
      <c r="AL143">
        <v>1</v>
      </c>
      <c r="AM143">
        <v>2</v>
      </c>
      <c r="AN143">
        <v>0</v>
      </c>
      <c r="AO143">
        <v>0</v>
      </c>
      <c r="AP143">
        <v>0</v>
      </c>
      <c r="AQ143">
        <v>1</v>
      </c>
      <c r="AR143">
        <v>0</v>
      </c>
      <c r="AS143" t="s">
        <v>3</v>
      </c>
      <c r="AT143">
        <v>0.51</v>
      </c>
      <c r="AU143" t="s">
        <v>3</v>
      </c>
      <c r="AV143">
        <v>0</v>
      </c>
      <c r="AW143">
        <v>2</v>
      </c>
      <c r="AX143">
        <v>80308795</v>
      </c>
      <c r="AY143">
        <v>1</v>
      </c>
      <c r="AZ143">
        <v>0</v>
      </c>
      <c r="BA143">
        <v>137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58.4664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</v>
      </c>
      <c r="BQ143">
        <v>58.4664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1</v>
      </c>
      <c r="CV143">
        <v>0</v>
      </c>
      <c r="CW143">
        <v>0</v>
      </c>
      <c r="CX143">
        <f>ROUND(Y143*Source!I141,7)</f>
        <v>6.1199999999999997E-2</v>
      </c>
      <c r="CY143">
        <f t="shared" si="63"/>
        <v>97.44</v>
      </c>
      <c r="CZ143">
        <f t="shared" si="64"/>
        <v>114.64</v>
      </c>
      <c r="DA143">
        <f t="shared" si="65"/>
        <v>0.85</v>
      </c>
      <c r="DB143">
        <f t="shared" si="59"/>
        <v>58.47</v>
      </c>
      <c r="DC143">
        <f t="shared" si="60"/>
        <v>0</v>
      </c>
      <c r="DD143" t="s">
        <v>3</v>
      </c>
      <c r="DE143" t="s">
        <v>3</v>
      </c>
      <c r="DF143">
        <f t="shared" si="66"/>
        <v>5.96</v>
      </c>
      <c r="DG143">
        <f t="shared" si="62"/>
        <v>0</v>
      </c>
      <c r="DH143">
        <f t="shared" si="56"/>
        <v>0</v>
      </c>
      <c r="DI143">
        <f t="shared" si="57"/>
        <v>0</v>
      </c>
      <c r="DJ143">
        <f t="shared" si="67"/>
        <v>5.96</v>
      </c>
      <c r="DK143">
        <v>0</v>
      </c>
      <c r="DL143" t="s">
        <v>3</v>
      </c>
      <c r="DM143">
        <v>0</v>
      </c>
      <c r="DN143" t="s">
        <v>3</v>
      </c>
      <c r="DO143">
        <v>0</v>
      </c>
    </row>
    <row r="144" spans="1:119" x14ac:dyDescent="0.2">
      <c r="A144">
        <f>ROW(Source!A141)</f>
        <v>141</v>
      </c>
      <c r="B144">
        <v>80308166</v>
      </c>
      <c r="C144">
        <v>80308772</v>
      </c>
      <c r="D144">
        <v>72922828</v>
      </c>
      <c r="E144">
        <v>1</v>
      </c>
      <c r="F144">
        <v>1</v>
      </c>
      <c r="G144">
        <v>1</v>
      </c>
      <c r="H144">
        <v>3</v>
      </c>
      <c r="I144" t="s">
        <v>508</v>
      </c>
      <c r="J144" t="s">
        <v>509</v>
      </c>
      <c r="K144" t="s">
        <v>510</v>
      </c>
      <c r="L144">
        <v>1346</v>
      </c>
      <c r="N144">
        <v>1009</v>
      </c>
      <c r="O144" t="s">
        <v>295</v>
      </c>
      <c r="P144" t="s">
        <v>295</v>
      </c>
      <c r="Q144">
        <v>1</v>
      </c>
      <c r="W144">
        <v>0</v>
      </c>
      <c r="X144">
        <v>147489920</v>
      </c>
      <c r="Y144">
        <f t="shared" si="58"/>
        <v>0.05</v>
      </c>
      <c r="AA144">
        <v>170.77</v>
      </c>
      <c r="AB144">
        <v>0</v>
      </c>
      <c r="AC144">
        <v>0</v>
      </c>
      <c r="AD144">
        <v>0</v>
      </c>
      <c r="AE144">
        <v>128.4</v>
      </c>
      <c r="AF144">
        <v>0</v>
      </c>
      <c r="AG144">
        <v>0</v>
      </c>
      <c r="AH144">
        <v>0</v>
      </c>
      <c r="AI144">
        <v>1.33</v>
      </c>
      <c r="AJ144">
        <v>1</v>
      </c>
      <c r="AK144">
        <v>1</v>
      </c>
      <c r="AL144">
        <v>1</v>
      </c>
      <c r="AM144">
        <v>2</v>
      </c>
      <c r="AN144">
        <v>0</v>
      </c>
      <c r="AO144">
        <v>0</v>
      </c>
      <c r="AP144">
        <v>0</v>
      </c>
      <c r="AQ144">
        <v>1</v>
      </c>
      <c r="AR144">
        <v>0</v>
      </c>
      <c r="AS144" t="s">
        <v>3</v>
      </c>
      <c r="AT144">
        <v>0.05</v>
      </c>
      <c r="AU144" t="s">
        <v>3</v>
      </c>
      <c r="AV144">
        <v>0</v>
      </c>
      <c r="AW144">
        <v>2</v>
      </c>
      <c r="AX144">
        <v>80308796</v>
      </c>
      <c r="AY144">
        <v>1</v>
      </c>
      <c r="AZ144">
        <v>0</v>
      </c>
      <c r="BA144">
        <v>138</v>
      </c>
      <c r="BB144">
        <v>1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6.4200000000000008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6.4200000000000008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</v>
      </c>
      <c r="CV144">
        <v>0</v>
      </c>
      <c r="CW144">
        <v>0</v>
      </c>
      <c r="CX144">
        <f>ROUND(Y144*Source!I141,7)</f>
        <v>6.0000000000000001E-3</v>
      </c>
      <c r="CY144">
        <f t="shared" si="63"/>
        <v>170.77</v>
      </c>
      <c r="CZ144">
        <f t="shared" si="64"/>
        <v>128.4</v>
      </c>
      <c r="DA144">
        <f t="shared" si="65"/>
        <v>1.33</v>
      </c>
      <c r="DB144">
        <f t="shared" si="59"/>
        <v>6.42</v>
      </c>
      <c r="DC144">
        <f t="shared" si="60"/>
        <v>0</v>
      </c>
      <c r="DD144" t="s">
        <v>3</v>
      </c>
      <c r="DE144" t="s">
        <v>3</v>
      </c>
      <c r="DF144">
        <f t="shared" si="66"/>
        <v>1.02</v>
      </c>
      <c r="DG144">
        <f t="shared" si="62"/>
        <v>0</v>
      </c>
      <c r="DH144">
        <f t="shared" si="56"/>
        <v>0</v>
      </c>
      <c r="DI144">
        <f t="shared" si="57"/>
        <v>0</v>
      </c>
      <c r="DJ144">
        <f t="shared" si="67"/>
        <v>1.02</v>
      </c>
      <c r="DK144">
        <v>0</v>
      </c>
      <c r="DL144" t="s">
        <v>3</v>
      </c>
      <c r="DM144">
        <v>0</v>
      </c>
      <c r="DN144" t="s">
        <v>3</v>
      </c>
      <c r="DO144">
        <v>0</v>
      </c>
    </row>
    <row r="145" spans="1:119" x14ac:dyDescent="0.2">
      <c r="A145">
        <f>ROW(Source!A141)</f>
        <v>141</v>
      </c>
      <c r="B145">
        <v>80308166</v>
      </c>
      <c r="C145">
        <v>80308772</v>
      </c>
      <c r="D145">
        <v>72922985</v>
      </c>
      <c r="E145">
        <v>1</v>
      </c>
      <c r="F145">
        <v>1</v>
      </c>
      <c r="G145">
        <v>1</v>
      </c>
      <c r="H145">
        <v>3</v>
      </c>
      <c r="I145" t="s">
        <v>556</v>
      </c>
      <c r="J145" t="s">
        <v>557</v>
      </c>
      <c r="K145" t="s">
        <v>558</v>
      </c>
      <c r="L145">
        <v>1348</v>
      </c>
      <c r="N145">
        <v>1009</v>
      </c>
      <c r="O145" t="s">
        <v>35</v>
      </c>
      <c r="P145" t="s">
        <v>35</v>
      </c>
      <c r="Q145">
        <v>1000</v>
      </c>
      <c r="W145">
        <v>0</v>
      </c>
      <c r="X145">
        <v>-892373753</v>
      </c>
      <c r="Y145">
        <f t="shared" si="58"/>
        <v>4.0000000000000002E-4</v>
      </c>
      <c r="AA145">
        <v>108956.83</v>
      </c>
      <c r="AB145">
        <v>0</v>
      </c>
      <c r="AC145">
        <v>0</v>
      </c>
      <c r="AD145">
        <v>0</v>
      </c>
      <c r="AE145">
        <v>97282.880000000005</v>
      </c>
      <c r="AF145">
        <v>0</v>
      </c>
      <c r="AG145">
        <v>0</v>
      </c>
      <c r="AH145">
        <v>0</v>
      </c>
      <c r="AI145">
        <v>1.1200000000000001</v>
      </c>
      <c r="AJ145">
        <v>1</v>
      </c>
      <c r="AK145">
        <v>1</v>
      </c>
      <c r="AL145">
        <v>1</v>
      </c>
      <c r="AM145">
        <v>2</v>
      </c>
      <c r="AN145">
        <v>0</v>
      </c>
      <c r="AO145">
        <v>0</v>
      </c>
      <c r="AP145">
        <v>0</v>
      </c>
      <c r="AQ145">
        <v>1</v>
      </c>
      <c r="AR145">
        <v>0</v>
      </c>
      <c r="AS145" t="s">
        <v>3</v>
      </c>
      <c r="AT145">
        <v>4.0000000000000002E-4</v>
      </c>
      <c r="AU145" t="s">
        <v>3</v>
      </c>
      <c r="AV145">
        <v>0</v>
      </c>
      <c r="AW145">
        <v>2</v>
      </c>
      <c r="AX145">
        <v>80308797</v>
      </c>
      <c r="AY145">
        <v>1</v>
      </c>
      <c r="AZ145">
        <v>0</v>
      </c>
      <c r="BA145">
        <v>139</v>
      </c>
      <c r="BB145">
        <v>1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38.913152000000004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</v>
      </c>
      <c r="BQ145">
        <v>38.913152000000004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1</v>
      </c>
      <c r="CV145">
        <v>0</v>
      </c>
      <c r="CW145">
        <v>0</v>
      </c>
      <c r="CX145">
        <f>ROUND(Y145*Source!I141,7)</f>
        <v>4.8000000000000001E-5</v>
      </c>
      <c r="CY145">
        <f t="shared" si="63"/>
        <v>108956.83</v>
      </c>
      <c r="CZ145">
        <f t="shared" si="64"/>
        <v>97282.880000000005</v>
      </c>
      <c r="DA145">
        <f t="shared" si="65"/>
        <v>1.1200000000000001</v>
      </c>
      <c r="DB145">
        <f t="shared" si="59"/>
        <v>38.909999999999997</v>
      </c>
      <c r="DC145">
        <f t="shared" si="60"/>
        <v>0</v>
      </c>
      <c r="DD145" t="s">
        <v>3</v>
      </c>
      <c r="DE145" t="s">
        <v>3</v>
      </c>
      <c r="DF145">
        <f t="shared" si="66"/>
        <v>5.23</v>
      </c>
      <c r="DG145">
        <f t="shared" si="62"/>
        <v>0</v>
      </c>
      <c r="DH145">
        <f t="shared" si="56"/>
        <v>0</v>
      </c>
      <c r="DI145">
        <f t="shared" si="57"/>
        <v>0</v>
      </c>
      <c r="DJ145">
        <f t="shared" si="67"/>
        <v>5.23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ROW(Source!A141)</f>
        <v>141</v>
      </c>
      <c r="B146">
        <v>80308166</v>
      </c>
      <c r="C146">
        <v>80308772</v>
      </c>
      <c r="D146">
        <v>72923110</v>
      </c>
      <c r="E146">
        <v>1</v>
      </c>
      <c r="F146">
        <v>1</v>
      </c>
      <c r="G146">
        <v>1</v>
      </c>
      <c r="H146">
        <v>3</v>
      </c>
      <c r="I146" t="s">
        <v>480</v>
      </c>
      <c r="J146" t="s">
        <v>481</v>
      </c>
      <c r="K146" t="s">
        <v>482</v>
      </c>
      <c r="L146">
        <v>1346</v>
      </c>
      <c r="N146">
        <v>1009</v>
      </c>
      <c r="O146" t="s">
        <v>295</v>
      </c>
      <c r="P146" t="s">
        <v>295</v>
      </c>
      <c r="Q146">
        <v>1</v>
      </c>
      <c r="W146">
        <v>0</v>
      </c>
      <c r="X146">
        <v>212334824</v>
      </c>
      <c r="Y146">
        <f t="shared" si="58"/>
        <v>1.9</v>
      </c>
      <c r="AA146">
        <v>121.39</v>
      </c>
      <c r="AB146">
        <v>0</v>
      </c>
      <c r="AC146">
        <v>0</v>
      </c>
      <c r="AD146">
        <v>0</v>
      </c>
      <c r="AE146">
        <v>155.63</v>
      </c>
      <c r="AF146">
        <v>0</v>
      </c>
      <c r="AG146">
        <v>0</v>
      </c>
      <c r="AH146">
        <v>0</v>
      </c>
      <c r="AI146">
        <v>0.78</v>
      </c>
      <c r="AJ146">
        <v>1</v>
      </c>
      <c r="AK146">
        <v>1</v>
      </c>
      <c r="AL146">
        <v>1</v>
      </c>
      <c r="AM146">
        <v>2</v>
      </c>
      <c r="AN146">
        <v>0</v>
      </c>
      <c r="AO146">
        <v>0</v>
      </c>
      <c r="AP146">
        <v>0</v>
      </c>
      <c r="AQ146">
        <v>1</v>
      </c>
      <c r="AR146">
        <v>0</v>
      </c>
      <c r="AS146" t="s">
        <v>3</v>
      </c>
      <c r="AT146">
        <v>1.9</v>
      </c>
      <c r="AU146" t="s">
        <v>3</v>
      </c>
      <c r="AV146">
        <v>0</v>
      </c>
      <c r="AW146">
        <v>2</v>
      </c>
      <c r="AX146">
        <v>80308798</v>
      </c>
      <c r="AY146">
        <v>1</v>
      </c>
      <c r="AZ146">
        <v>0</v>
      </c>
      <c r="BA146">
        <v>140</v>
      </c>
      <c r="BB146">
        <v>1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295.697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</v>
      </c>
      <c r="BQ146">
        <v>295.697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1</v>
      </c>
      <c r="CV146">
        <v>0</v>
      </c>
      <c r="CW146">
        <v>0</v>
      </c>
      <c r="CX146">
        <f>ROUND(Y146*Source!I141,7)</f>
        <v>0.22800000000000001</v>
      </c>
      <c r="CY146">
        <f t="shared" si="63"/>
        <v>121.39</v>
      </c>
      <c r="CZ146">
        <f t="shared" si="64"/>
        <v>155.63</v>
      </c>
      <c r="DA146">
        <f t="shared" si="65"/>
        <v>0.78</v>
      </c>
      <c r="DB146">
        <f t="shared" si="59"/>
        <v>295.7</v>
      </c>
      <c r="DC146">
        <f t="shared" si="60"/>
        <v>0</v>
      </c>
      <c r="DD146" t="s">
        <v>3</v>
      </c>
      <c r="DE146" t="s">
        <v>3</v>
      </c>
      <c r="DF146">
        <f t="shared" si="66"/>
        <v>27.68</v>
      </c>
      <c r="DG146">
        <f t="shared" si="62"/>
        <v>0</v>
      </c>
      <c r="DH146">
        <f t="shared" si="56"/>
        <v>0</v>
      </c>
      <c r="DI146">
        <f t="shared" si="57"/>
        <v>0</v>
      </c>
      <c r="DJ146">
        <f t="shared" si="67"/>
        <v>27.68</v>
      </c>
      <c r="DK146">
        <v>0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ROW(Source!A141)</f>
        <v>141</v>
      </c>
      <c r="B147">
        <v>80308166</v>
      </c>
      <c r="C147">
        <v>80308772</v>
      </c>
      <c r="D147">
        <v>72941506</v>
      </c>
      <c r="E147">
        <v>1</v>
      </c>
      <c r="F147">
        <v>1</v>
      </c>
      <c r="G147">
        <v>1</v>
      </c>
      <c r="H147">
        <v>3</v>
      </c>
      <c r="I147" t="s">
        <v>511</v>
      </c>
      <c r="J147" t="s">
        <v>512</v>
      </c>
      <c r="K147" t="s">
        <v>513</v>
      </c>
      <c r="L147">
        <v>1346</v>
      </c>
      <c r="N147">
        <v>1009</v>
      </c>
      <c r="O147" t="s">
        <v>295</v>
      </c>
      <c r="P147" t="s">
        <v>295</v>
      </c>
      <c r="Q147">
        <v>1</v>
      </c>
      <c r="W147">
        <v>0</v>
      </c>
      <c r="X147">
        <v>790403873</v>
      </c>
      <c r="Y147">
        <f t="shared" si="58"/>
        <v>0.11</v>
      </c>
      <c r="AA147">
        <v>111.83</v>
      </c>
      <c r="AB147">
        <v>0</v>
      </c>
      <c r="AC147">
        <v>0</v>
      </c>
      <c r="AD147">
        <v>0</v>
      </c>
      <c r="AE147">
        <v>79.88</v>
      </c>
      <c r="AF147">
        <v>0</v>
      </c>
      <c r="AG147">
        <v>0</v>
      </c>
      <c r="AH147">
        <v>0</v>
      </c>
      <c r="AI147">
        <v>1.4</v>
      </c>
      <c r="AJ147">
        <v>1</v>
      </c>
      <c r="AK147">
        <v>1</v>
      </c>
      <c r="AL147">
        <v>1</v>
      </c>
      <c r="AM147">
        <v>2</v>
      </c>
      <c r="AN147">
        <v>0</v>
      </c>
      <c r="AO147">
        <v>0</v>
      </c>
      <c r="AP147">
        <v>0</v>
      </c>
      <c r="AQ147">
        <v>1</v>
      </c>
      <c r="AR147">
        <v>0</v>
      </c>
      <c r="AS147" t="s">
        <v>3</v>
      </c>
      <c r="AT147">
        <v>0.11</v>
      </c>
      <c r="AU147" t="s">
        <v>3</v>
      </c>
      <c r="AV147">
        <v>0</v>
      </c>
      <c r="AW147">
        <v>2</v>
      </c>
      <c r="AX147">
        <v>80308799</v>
      </c>
      <c r="AY147">
        <v>1</v>
      </c>
      <c r="AZ147">
        <v>0</v>
      </c>
      <c r="BA147">
        <v>141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8.7867999999999995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1</v>
      </c>
      <c r="BQ147">
        <v>8.7867999999999995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1</v>
      </c>
      <c r="CV147">
        <v>0</v>
      </c>
      <c r="CW147">
        <v>0</v>
      </c>
      <c r="CX147">
        <f>ROUND(Y147*Source!I141,7)</f>
        <v>1.32E-2</v>
      </c>
      <c r="CY147">
        <f t="shared" si="63"/>
        <v>111.83</v>
      </c>
      <c r="CZ147">
        <f t="shared" si="64"/>
        <v>79.88</v>
      </c>
      <c r="DA147">
        <f t="shared" si="65"/>
        <v>1.4</v>
      </c>
      <c r="DB147">
        <f t="shared" si="59"/>
        <v>8.7899999999999991</v>
      </c>
      <c r="DC147">
        <f t="shared" si="60"/>
        <v>0</v>
      </c>
      <c r="DD147" t="s">
        <v>3</v>
      </c>
      <c r="DE147" t="s">
        <v>3</v>
      </c>
      <c r="DF147">
        <f t="shared" si="66"/>
        <v>1.48</v>
      </c>
      <c r="DG147">
        <f t="shared" si="62"/>
        <v>0</v>
      </c>
      <c r="DH147">
        <f t="shared" si="56"/>
        <v>0</v>
      </c>
      <c r="DI147">
        <f t="shared" si="57"/>
        <v>0</v>
      </c>
      <c r="DJ147">
        <f t="shared" si="67"/>
        <v>1.48</v>
      </c>
      <c r="DK147">
        <v>0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ROW(Source!A141)</f>
        <v>141</v>
      </c>
      <c r="B148">
        <v>80308166</v>
      </c>
      <c r="C148">
        <v>80308772</v>
      </c>
      <c r="D148">
        <v>72941800</v>
      </c>
      <c r="E148">
        <v>1</v>
      </c>
      <c r="F148">
        <v>1</v>
      </c>
      <c r="G148">
        <v>1</v>
      </c>
      <c r="H148">
        <v>3</v>
      </c>
      <c r="I148" t="s">
        <v>514</v>
      </c>
      <c r="J148" t="s">
        <v>515</v>
      </c>
      <c r="K148" t="s">
        <v>516</v>
      </c>
      <c r="L148">
        <v>1348</v>
      </c>
      <c r="N148">
        <v>1009</v>
      </c>
      <c r="O148" t="s">
        <v>35</v>
      </c>
      <c r="P148" t="s">
        <v>35</v>
      </c>
      <c r="Q148">
        <v>1000</v>
      </c>
      <c r="W148">
        <v>0</v>
      </c>
      <c r="X148">
        <v>-638797071</v>
      </c>
      <c r="Y148">
        <f t="shared" si="58"/>
        <v>5.0000000000000002E-5</v>
      </c>
      <c r="AA148">
        <v>72836.649999999994</v>
      </c>
      <c r="AB148">
        <v>0</v>
      </c>
      <c r="AC148">
        <v>0</v>
      </c>
      <c r="AD148">
        <v>0</v>
      </c>
      <c r="AE148">
        <v>60697.21</v>
      </c>
      <c r="AF148">
        <v>0</v>
      </c>
      <c r="AG148">
        <v>0</v>
      </c>
      <c r="AH148">
        <v>0</v>
      </c>
      <c r="AI148">
        <v>1.2</v>
      </c>
      <c r="AJ148">
        <v>1</v>
      </c>
      <c r="AK148">
        <v>1</v>
      </c>
      <c r="AL148">
        <v>1</v>
      </c>
      <c r="AM148">
        <v>2</v>
      </c>
      <c r="AN148">
        <v>0</v>
      </c>
      <c r="AO148">
        <v>0</v>
      </c>
      <c r="AP148">
        <v>0</v>
      </c>
      <c r="AQ148">
        <v>1</v>
      </c>
      <c r="AR148">
        <v>0</v>
      </c>
      <c r="AS148" t="s">
        <v>3</v>
      </c>
      <c r="AT148">
        <v>5.0000000000000002E-5</v>
      </c>
      <c r="AU148" t="s">
        <v>3</v>
      </c>
      <c r="AV148">
        <v>0</v>
      </c>
      <c r="AW148">
        <v>2</v>
      </c>
      <c r="AX148">
        <v>80308800</v>
      </c>
      <c r="AY148">
        <v>1</v>
      </c>
      <c r="AZ148">
        <v>0</v>
      </c>
      <c r="BA148">
        <v>142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3.0348605000000002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3.0348605000000002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1</v>
      </c>
      <c r="CV148">
        <v>0</v>
      </c>
      <c r="CW148">
        <v>0</v>
      </c>
      <c r="CX148">
        <f>ROUND(Y148*Source!I141,7)</f>
        <v>6.0000000000000002E-6</v>
      </c>
      <c r="CY148">
        <f t="shared" si="63"/>
        <v>72836.649999999994</v>
      </c>
      <c r="CZ148">
        <f t="shared" si="64"/>
        <v>60697.21</v>
      </c>
      <c r="DA148">
        <f t="shared" si="65"/>
        <v>1.2</v>
      </c>
      <c r="DB148">
        <f t="shared" si="59"/>
        <v>3.03</v>
      </c>
      <c r="DC148">
        <f t="shared" si="60"/>
        <v>0</v>
      </c>
      <c r="DD148" t="s">
        <v>3</v>
      </c>
      <c r="DE148" t="s">
        <v>3</v>
      </c>
      <c r="DF148">
        <f t="shared" si="66"/>
        <v>0.44</v>
      </c>
      <c r="DG148">
        <f t="shared" si="62"/>
        <v>0</v>
      </c>
      <c r="DH148">
        <f t="shared" si="56"/>
        <v>0</v>
      </c>
      <c r="DI148">
        <f t="shared" si="57"/>
        <v>0</v>
      </c>
      <c r="DJ148">
        <f t="shared" si="67"/>
        <v>0.44</v>
      </c>
      <c r="DK148">
        <v>0</v>
      </c>
      <c r="DL148" t="s">
        <v>3</v>
      </c>
      <c r="DM148">
        <v>0</v>
      </c>
      <c r="DN148" t="s">
        <v>3</v>
      </c>
      <c r="DO148">
        <v>0</v>
      </c>
    </row>
    <row r="149" spans="1:119" x14ac:dyDescent="0.2">
      <c r="A149">
        <f>ROW(Source!A141)</f>
        <v>141</v>
      </c>
      <c r="B149">
        <v>80308166</v>
      </c>
      <c r="C149">
        <v>80308772</v>
      </c>
      <c r="D149">
        <v>77534658</v>
      </c>
      <c r="E149">
        <v>1</v>
      </c>
      <c r="F149">
        <v>1</v>
      </c>
      <c r="G149">
        <v>1</v>
      </c>
      <c r="H149">
        <v>3</v>
      </c>
      <c r="I149" t="s">
        <v>251</v>
      </c>
      <c r="J149" t="s">
        <v>254</v>
      </c>
      <c r="K149" t="s">
        <v>252</v>
      </c>
      <c r="L149">
        <v>1301</v>
      </c>
      <c r="N149">
        <v>1003</v>
      </c>
      <c r="O149" t="s">
        <v>253</v>
      </c>
      <c r="P149" t="s">
        <v>253</v>
      </c>
      <c r="Q149">
        <v>1</v>
      </c>
      <c r="W149">
        <v>0</v>
      </c>
      <c r="X149">
        <v>-660025337</v>
      </c>
      <c r="Y149">
        <f t="shared" si="58"/>
        <v>100</v>
      </c>
      <c r="AA149">
        <v>190.48</v>
      </c>
      <c r="AB149">
        <v>0</v>
      </c>
      <c r="AC149">
        <v>0</v>
      </c>
      <c r="AD149">
        <v>0</v>
      </c>
      <c r="AE149">
        <v>238.1</v>
      </c>
      <c r="AF149">
        <v>0</v>
      </c>
      <c r="AG149">
        <v>0</v>
      </c>
      <c r="AH149">
        <v>0</v>
      </c>
      <c r="AI149">
        <v>0.8</v>
      </c>
      <c r="AJ149">
        <v>1</v>
      </c>
      <c r="AK149">
        <v>1</v>
      </c>
      <c r="AL149">
        <v>1</v>
      </c>
      <c r="AM149">
        <v>2</v>
      </c>
      <c r="AN149">
        <v>0</v>
      </c>
      <c r="AO149">
        <v>0</v>
      </c>
      <c r="AP149">
        <v>1</v>
      </c>
      <c r="AQ149">
        <v>0</v>
      </c>
      <c r="AR149">
        <v>0</v>
      </c>
      <c r="AS149" t="s">
        <v>3</v>
      </c>
      <c r="AT149">
        <v>100</v>
      </c>
      <c r="AU149" t="s">
        <v>3</v>
      </c>
      <c r="AV149">
        <v>0</v>
      </c>
      <c r="AW149">
        <v>1</v>
      </c>
      <c r="AX149">
        <v>-1</v>
      </c>
      <c r="AY149">
        <v>0</v>
      </c>
      <c r="AZ149">
        <v>0</v>
      </c>
      <c r="BA149" t="s">
        <v>3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V149">
        <v>0</v>
      </c>
      <c r="CW149">
        <v>0</v>
      </c>
      <c r="CX149">
        <f>ROUND(Y149*Source!I141,7)</f>
        <v>12</v>
      </c>
      <c r="CY149">
        <f t="shared" si="63"/>
        <v>190.48</v>
      </c>
      <c r="CZ149">
        <f t="shared" si="64"/>
        <v>238.1</v>
      </c>
      <c r="DA149">
        <f t="shared" si="65"/>
        <v>0.8</v>
      </c>
      <c r="DB149">
        <f t="shared" si="59"/>
        <v>23810</v>
      </c>
      <c r="DC149">
        <f t="shared" si="60"/>
        <v>0</v>
      </c>
      <c r="DD149" t="s">
        <v>3</v>
      </c>
      <c r="DE149" t="s">
        <v>3</v>
      </c>
      <c r="DF149">
        <f t="shared" si="66"/>
        <v>2285.7600000000002</v>
      </c>
      <c r="DG149">
        <f t="shared" si="62"/>
        <v>0</v>
      </c>
      <c r="DH149">
        <f t="shared" si="56"/>
        <v>0</v>
      </c>
      <c r="DI149">
        <f t="shared" si="57"/>
        <v>0</v>
      </c>
      <c r="DJ149">
        <f t="shared" si="67"/>
        <v>2285.7600000000002</v>
      </c>
      <c r="DK149">
        <v>0</v>
      </c>
      <c r="DL149" t="s">
        <v>3</v>
      </c>
      <c r="DM149">
        <v>0</v>
      </c>
      <c r="DN149" t="s">
        <v>3</v>
      </c>
      <c r="DO149">
        <v>0</v>
      </c>
    </row>
    <row r="150" spans="1:119" x14ac:dyDescent="0.2">
      <c r="A150">
        <f>ROW(Source!A141)</f>
        <v>141</v>
      </c>
      <c r="B150">
        <v>80308166</v>
      </c>
      <c r="C150">
        <v>80308772</v>
      </c>
      <c r="D150">
        <v>77538707</v>
      </c>
      <c r="E150">
        <v>1</v>
      </c>
      <c r="F150">
        <v>1</v>
      </c>
      <c r="G150">
        <v>1</v>
      </c>
      <c r="H150">
        <v>3</v>
      </c>
      <c r="I150" t="s">
        <v>256</v>
      </c>
      <c r="J150" t="s">
        <v>258</v>
      </c>
      <c r="K150" t="s">
        <v>257</v>
      </c>
      <c r="L150">
        <v>1371</v>
      </c>
      <c r="N150">
        <v>1013</v>
      </c>
      <c r="O150" t="s">
        <v>30</v>
      </c>
      <c r="P150" t="s">
        <v>30</v>
      </c>
      <c r="Q150">
        <v>1</v>
      </c>
      <c r="W150">
        <v>0</v>
      </c>
      <c r="X150">
        <v>-1838620483</v>
      </c>
      <c r="Y150">
        <f t="shared" si="58"/>
        <v>100</v>
      </c>
      <c r="AA150">
        <v>69.69</v>
      </c>
      <c r="AB150">
        <v>0</v>
      </c>
      <c r="AC150">
        <v>0</v>
      </c>
      <c r="AD150">
        <v>0</v>
      </c>
      <c r="AE150">
        <v>56.2</v>
      </c>
      <c r="AF150">
        <v>0</v>
      </c>
      <c r="AG150">
        <v>0</v>
      </c>
      <c r="AH150">
        <v>0</v>
      </c>
      <c r="AI150">
        <v>1.24</v>
      </c>
      <c r="AJ150">
        <v>1</v>
      </c>
      <c r="AK150">
        <v>1</v>
      </c>
      <c r="AL150">
        <v>1</v>
      </c>
      <c r="AM150">
        <v>2</v>
      </c>
      <c r="AN150">
        <v>0</v>
      </c>
      <c r="AO150">
        <v>0</v>
      </c>
      <c r="AP150">
        <v>1</v>
      </c>
      <c r="AQ150">
        <v>0</v>
      </c>
      <c r="AR150">
        <v>0</v>
      </c>
      <c r="AS150" t="s">
        <v>3</v>
      </c>
      <c r="AT150">
        <v>100</v>
      </c>
      <c r="AU150" t="s">
        <v>3</v>
      </c>
      <c r="AV150">
        <v>0</v>
      </c>
      <c r="AW150">
        <v>1</v>
      </c>
      <c r="AX150">
        <v>-1</v>
      </c>
      <c r="AY150">
        <v>0</v>
      </c>
      <c r="AZ150">
        <v>0</v>
      </c>
      <c r="BA150" t="s">
        <v>3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V150">
        <v>0</v>
      </c>
      <c r="CW150">
        <v>0</v>
      </c>
      <c r="CX150">
        <f>ROUND(Y150*Source!I141,7)</f>
        <v>12</v>
      </c>
      <c r="CY150">
        <f t="shared" si="63"/>
        <v>69.69</v>
      </c>
      <c r="CZ150">
        <f t="shared" si="64"/>
        <v>56.2</v>
      </c>
      <c r="DA150">
        <f t="shared" si="65"/>
        <v>1.24</v>
      </c>
      <c r="DB150">
        <f t="shared" si="59"/>
        <v>5620</v>
      </c>
      <c r="DC150">
        <f t="shared" si="60"/>
        <v>0</v>
      </c>
      <c r="DD150" t="s">
        <v>3</v>
      </c>
      <c r="DE150" t="s">
        <v>3</v>
      </c>
      <c r="DF150">
        <f t="shared" si="66"/>
        <v>836.28</v>
      </c>
      <c r="DG150">
        <f t="shared" si="62"/>
        <v>0</v>
      </c>
      <c r="DH150">
        <f t="shared" si="56"/>
        <v>0</v>
      </c>
      <c r="DI150">
        <f t="shared" si="57"/>
        <v>0</v>
      </c>
      <c r="DJ150">
        <f t="shared" si="67"/>
        <v>836.28</v>
      </c>
      <c r="DK150">
        <v>0</v>
      </c>
      <c r="DL150" t="s">
        <v>3</v>
      </c>
      <c r="DM150">
        <v>0</v>
      </c>
      <c r="DN150" t="s">
        <v>3</v>
      </c>
      <c r="DO150">
        <v>0</v>
      </c>
    </row>
    <row r="151" spans="1:119" x14ac:dyDescent="0.2">
      <c r="A151">
        <f>ROW(Source!A144)</f>
        <v>144</v>
      </c>
      <c r="B151">
        <v>80308166</v>
      </c>
      <c r="C151">
        <v>80308806</v>
      </c>
      <c r="D151">
        <v>72850651</v>
      </c>
      <c r="E151">
        <v>114</v>
      </c>
      <c r="F151">
        <v>1</v>
      </c>
      <c r="G151">
        <v>1</v>
      </c>
      <c r="H151">
        <v>1</v>
      </c>
      <c r="I151" t="s">
        <v>486</v>
      </c>
      <c r="J151" t="s">
        <v>3</v>
      </c>
      <c r="K151" t="s">
        <v>487</v>
      </c>
      <c r="L151">
        <v>1191</v>
      </c>
      <c r="N151">
        <v>1013</v>
      </c>
      <c r="O151" t="s">
        <v>449</v>
      </c>
      <c r="P151" t="s">
        <v>449</v>
      </c>
      <c r="Q151">
        <v>1</v>
      </c>
      <c r="W151">
        <v>0</v>
      </c>
      <c r="X151">
        <v>888410196</v>
      </c>
      <c r="Y151">
        <f t="shared" si="58"/>
        <v>220.4</v>
      </c>
      <c r="AA151">
        <v>0</v>
      </c>
      <c r="AB151">
        <v>0</v>
      </c>
      <c r="AC151">
        <v>0</v>
      </c>
      <c r="AD151">
        <v>722.05</v>
      </c>
      <c r="AE151">
        <v>0</v>
      </c>
      <c r="AF151">
        <v>0</v>
      </c>
      <c r="AG151">
        <v>0</v>
      </c>
      <c r="AH151">
        <v>722.05</v>
      </c>
      <c r="AI151">
        <v>1</v>
      </c>
      <c r="AJ151">
        <v>1</v>
      </c>
      <c r="AK151">
        <v>1</v>
      </c>
      <c r="AL151">
        <v>1</v>
      </c>
      <c r="AM151">
        <v>-2</v>
      </c>
      <c r="AN151">
        <v>0</v>
      </c>
      <c r="AO151">
        <v>0</v>
      </c>
      <c r="AP151">
        <v>0</v>
      </c>
      <c r="AQ151">
        <v>1</v>
      </c>
      <c r="AR151">
        <v>0</v>
      </c>
      <c r="AS151" t="s">
        <v>3</v>
      </c>
      <c r="AT151">
        <v>220.4</v>
      </c>
      <c r="AU151" t="s">
        <v>3</v>
      </c>
      <c r="AV151">
        <v>1</v>
      </c>
      <c r="AW151">
        <v>2</v>
      </c>
      <c r="AX151">
        <v>80308819</v>
      </c>
      <c r="AY151">
        <v>1</v>
      </c>
      <c r="AZ151">
        <v>0</v>
      </c>
      <c r="BA151">
        <v>146</v>
      </c>
      <c r="BB151">
        <v>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159139.82</v>
      </c>
      <c r="BN151">
        <v>220.4</v>
      </c>
      <c r="BO151">
        <v>0</v>
      </c>
      <c r="BP151">
        <v>1</v>
      </c>
      <c r="BQ151">
        <v>0</v>
      </c>
      <c r="BR151">
        <v>0</v>
      </c>
      <c r="BS151">
        <v>0</v>
      </c>
      <c r="BT151">
        <v>159139.82</v>
      </c>
      <c r="BU151">
        <v>220.4</v>
      </c>
      <c r="BV151">
        <v>0</v>
      </c>
      <c r="BW151">
        <v>1</v>
      </c>
      <c r="CU151">
        <f>ROUND(AT151*Source!I144*AH151*AL151,2)</f>
        <v>14322.58</v>
      </c>
      <c r="CV151">
        <f>ROUND(Y151*Source!I144,7)</f>
        <v>19.835999999999999</v>
      </c>
      <c r="CW151">
        <v>0</v>
      </c>
      <c r="CX151">
        <f>ROUND(Y151*Source!I144,7)</f>
        <v>19.835999999999999</v>
      </c>
      <c r="CY151">
        <f>AD151</f>
        <v>722.05</v>
      </c>
      <c r="CZ151">
        <f>AH151</f>
        <v>722.05</v>
      </c>
      <c r="DA151">
        <f>AL151</f>
        <v>1</v>
      </c>
      <c r="DB151">
        <f t="shared" si="59"/>
        <v>159139.82</v>
      </c>
      <c r="DC151">
        <f t="shared" si="60"/>
        <v>0</v>
      </c>
      <c r="DD151" t="s">
        <v>3</v>
      </c>
      <c r="DE151" t="s">
        <v>3</v>
      </c>
      <c r="DF151">
        <f t="shared" ref="DF151:DF156" si="68">ROUND(ROUND(AE151,2)*CX151,2)</f>
        <v>0</v>
      </c>
      <c r="DG151">
        <f t="shared" si="62"/>
        <v>0</v>
      </c>
      <c r="DH151">
        <f t="shared" si="56"/>
        <v>0</v>
      </c>
      <c r="DI151">
        <f t="shared" si="57"/>
        <v>14322.58</v>
      </c>
      <c r="DJ151">
        <f>DI151</f>
        <v>14322.58</v>
      </c>
      <c r="DK151">
        <v>1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ROW(Source!A144)</f>
        <v>144</v>
      </c>
      <c r="B152">
        <v>80308166</v>
      </c>
      <c r="C152">
        <v>80308806</v>
      </c>
      <c r="D152">
        <v>72850822</v>
      </c>
      <c r="E152">
        <v>114</v>
      </c>
      <c r="F152">
        <v>1</v>
      </c>
      <c r="G152">
        <v>1</v>
      </c>
      <c r="H152">
        <v>1</v>
      </c>
      <c r="I152" t="s">
        <v>450</v>
      </c>
      <c r="J152" t="s">
        <v>3</v>
      </c>
      <c r="K152" t="s">
        <v>451</v>
      </c>
      <c r="L152">
        <v>1191</v>
      </c>
      <c r="N152">
        <v>1013</v>
      </c>
      <c r="O152" t="s">
        <v>449</v>
      </c>
      <c r="P152" t="s">
        <v>449</v>
      </c>
      <c r="Q152">
        <v>1</v>
      </c>
      <c r="W152">
        <v>0</v>
      </c>
      <c r="X152">
        <v>-1417349443</v>
      </c>
      <c r="Y152">
        <f t="shared" si="58"/>
        <v>1.34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M152">
        <v>-2</v>
      </c>
      <c r="AN152">
        <v>0</v>
      </c>
      <c r="AO152">
        <v>0</v>
      </c>
      <c r="AP152">
        <v>0</v>
      </c>
      <c r="AQ152">
        <v>1</v>
      </c>
      <c r="AR152">
        <v>0</v>
      </c>
      <c r="AS152" t="s">
        <v>3</v>
      </c>
      <c r="AT152">
        <v>1.34</v>
      </c>
      <c r="AU152" t="s">
        <v>3</v>
      </c>
      <c r="AV152">
        <v>2</v>
      </c>
      <c r="AW152">
        <v>2</v>
      </c>
      <c r="AX152">
        <v>80308820</v>
      </c>
      <c r="AY152">
        <v>1</v>
      </c>
      <c r="AZ152">
        <v>0</v>
      </c>
      <c r="BA152">
        <v>147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V152">
        <v>0</v>
      </c>
      <c r="CW152">
        <v>0</v>
      </c>
      <c r="CX152">
        <f>ROUND(Y152*Source!I144,7)</f>
        <v>0.1206</v>
      </c>
      <c r="CY152">
        <f>AD152</f>
        <v>0</v>
      </c>
      <c r="CZ152">
        <f>AH152</f>
        <v>0</v>
      </c>
      <c r="DA152">
        <f>AL152</f>
        <v>1</v>
      </c>
      <c r="DB152">
        <f t="shared" si="59"/>
        <v>0</v>
      </c>
      <c r="DC152">
        <f t="shared" si="60"/>
        <v>0</v>
      </c>
      <c r="DD152" t="s">
        <v>3</v>
      </c>
      <c r="DE152" t="s">
        <v>3</v>
      </c>
      <c r="DF152">
        <f t="shared" si="68"/>
        <v>0</v>
      </c>
      <c r="DG152">
        <f t="shared" si="62"/>
        <v>0</v>
      </c>
      <c r="DH152">
        <f t="shared" si="56"/>
        <v>0</v>
      </c>
      <c r="DI152">
        <f t="shared" si="57"/>
        <v>0</v>
      </c>
      <c r="DJ152">
        <f>DI152</f>
        <v>0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ROW(Source!A144)</f>
        <v>144</v>
      </c>
      <c r="B153">
        <v>80308166</v>
      </c>
      <c r="C153">
        <v>80308806</v>
      </c>
      <c r="D153">
        <v>72975454</v>
      </c>
      <c r="E153">
        <v>1</v>
      </c>
      <c r="F153">
        <v>1</v>
      </c>
      <c r="G153">
        <v>1</v>
      </c>
      <c r="H153">
        <v>2</v>
      </c>
      <c r="I153" t="s">
        <v>466</v>
      </c>
      <c r="J153" t="s">
        <v>467</v>
      </c>
      <c r="K153" t="s">
        <v>468</v>
      </c>
      <c r="L153">
        <v>1368</v>
      </c>
      <c r="N153">
        <v>1011</v>
      </c>
      <c r="O153" t="s">
        <v>455</v>
      </c>
      <c r="P153" t="s">
        <v>455</v>
      </c>
      <c r="Q153">
        <v>1</v>
      </c>
      <c r="W153">
        <v>0</v>
      </c>
      <c r="X153">
        <v>-92307625</v>
      </c>
      <c r="Y153">
        <f t="shared" si="58"/>
        <v>0.67</v>
      </c>
      <c r="AA153">
        <v>0</v>
      </c>
      <c r="AB153">
        <v>57.47</v>
      </c>
      <c r="AC153">
        <v>641.22</v>
      </c>
      <c r="AD153">
        <v>0</v>
      </c>
      <c r="AE153">
        <v>0</v>
      </c>
      <c r="AF153">
        <v>37.32</v>
      </c>
      <c r="AG153">
        <v>641.22</v>
      </c>
      <c r="AH153">
        <v>0</v>
      </c>
      <c r="AI153">
        <v>1</v>
      </c>
      <c r="AJ153">
        <v>1.54</v>
      </c>
      <c r="AK153">
        <v>1</v>
      </c>
      <c r="AL153">
        <v>1</v>
      </c>
      <c r="AM153">
        <v>2</v>
      </c>
      <c r="AN153">
        <v>0</v>
      </c>
      <c r="AO153">
        <v>0</v>
      </c>
      <c r="AP153">
        <v>0</v>
      </c>
      <c r="AQ153">
        <v>1</v>
      </c>
      <c r="AR153">
        <v>0</v>
      </c>
      <c r="AS153" t="s">
        <v>3</v>
      </c>
      <c r="AT153">
        <v>0.67</v>
      </c>
      <c r="AU153" t="s">
        <v>3</v>
      </c>
      <c r="AV153">
        <v>1</v>
      </c>
      <c r="AW153">
        <v>2</v>
      </c>
      <c r="AX153">
        <v>80308821</v>
      </c>
      <c r="AY153">
        <v>1</v>
      </c>
      <c r="AZ153">
        <v>0</v>
      </c>
      <c r="BA153">
        <v>148</v>
      </c>
      <c r="BB153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25.0044</v>
      </c>
      <c r="BL153">
        <v>429.61740000000003</v>
      </c>
      <c r="BM153">
        <v>0</v>
      </c>
      <c r="BN153">
        <v>0</v>
      </c>
      <c r="BO153">
        <v>0.67</v>
      </c>
      <c r="BP153">
        <v>1</v>
      </c>
      <c r="BQ153">
        <v>0</v>
      </c>
      <c r="BR153">
        <v>25.0044</v>
      </c>
      <c r="BS153">
        <v>429.61740000000003</v>
      </c>
      <c r="BT153">
        <v>0</v>
      </c>
      <c r="BU153">
        <v>0</v>
      </c>
      <c r="BV153">
        <v>0.67</v>
      </c>
      <c r="BW153">
        <v>1</v>
      </c>
      <c r="CV153">
        <v>0</v>
      </c>
      <c r="CW153">
        <f>ROUND(Y153*Source!I144*DO153,7)</f>
        <v>6.0299999999999999E-2</v>
      </c>
      <c r="CX153">
        <f>ROUND(Y153*Source!I144,7)</f>
        <v>6.0299999999999999E-2</v>
      </c>
      <c r="CY153">
        <f>AB153</f>
        <v>57.47</v>
      </c>
      <c r="CZ153">
        <f>AF153</f>
        <v>37.32</v>
      </c>
      <c r="DA153">
        <f>AJ153</f>
        <v>1.54</v>
      </c>
      <c r="DB153">
        <f t="shared" si="59"/>
        <v>25</v>
      </c>
      <c r="DC153">
        <f t="shared" si="60"/>
        <v>429.62</v>
      </c>
      <c r="DD153" t="s">
        <v>3</v>
      </c>
      <c r="DE153" t="s">
        <v>3</v>
      </c>
      <c r="DF153">
        <f t="shared" si="68"/>
        <v>0</v>
      </c>
      <c r="DG153">
        <f>ROUND(ROUND(AF153*AJ153,2)*CX153,2)</f>
        <v>3.47</v>
      </c>
      <c r="DH153">
        <f t="shared" si="56"/>
        <v>38.67</v>
      </c>
      <c r="DI153">
        <f t="shared" si="57"/>
        <v>0</v>
      </c>
      <c r="DJ153">
        <f>DG153+DH153</f>
        <v>42.14</v>
      </c>
      <c r="DK153">
        <v>0</v>
      </c>
      <c r="DL153" t="s">
        <v>469</v>
      </c>
      <c r="DM153">
        <v>3</v>
      </c>
      <c r="DN153" t="s">
        <v>449</v>
      </c>
      <c r="DO153">
        <v>1</v>
      </c>
    </row>
    <row r="154" spans="1:119" x14ac:dyDescent="0.2">
      <c r="A154">
        <f>ROW(Source!A144)</f>
        <v>144</v>
      </c>
      <c r="B154">
        <v>80308166</v>
      </c>
      <c r="C154">
        <v>80308806</v>
      </c>
      <c r="D154">
        <v>72976159</v>
      </c>
      <c r="E154">
        <v>1</v>
      </c>
      <c r="F154">
        <v>1</v>
      </c>
      <c r="G154">
        <v>1</v>
      </c>
      <c r="H154">
        <v>2</v>
      </c>
      <c r="I154" t="s">
        <v>452</v>
      </c>
      <c r="J154" t="s">
        <v>453</v>
      </c>
      <c r="K154" t="s">
        <v>454</v>
      </c>
      <c r="L154">
        <v>1368</v>
      </c>
      <c r="N154">
        <v>1011</v>
      </c>
      <c r="O154" t="s">
        <v>455</v>
      </c>
      <c r="P154" t="s">
        <v>455</v>
      </c>
      <c r="Q154">
        <v>1</v>
      </c>
      <c r="W154">
        <v>0</v>
      </c>
      <c r="X154">
        <v>-1152394969</v>
      </c>
      <c r="Y154">
        <f t="shared" si="58"/>
        <v>0.67</v>
      </c>
      <c r="AA154">
        <v>0</v>
      </c>
      <c r="AB154">
        <v>643.29</v>
      </c>
      <c r="AC154">
        <v>722.05</v>
      </c>
      <c r="AD154">
        <v>0</v>
      </c>
      <c r="AE154">
        <v>0</v>
      </c>
      <c r="AF154">
        <v>643.29</v>
      </c>
      <c r="AG154">
        <v>722.05</v>
      </c>
      <c r="AH154">
        <v>0</v>
      </c>
      <c r="AI154">
        <v>1</v>
      </c>
      <c r="AJ154">
        <v>1</v>
      </c>
      <c r="AK154">
        <v>1</v>
      </c>
      <c r="AL154">
        <v>1</v>
      </c>
      <c r="AM154">
        <v>-2</v>
      </c>
      <c r="AN154">
        <v>0</v>
      </c>
      <c r="AO154">
        <v>0</v>
      </c>
      <c r="AP154">
        <v>0</v>
      </c>
      <c r="AQ154">
        <v>1</v>
      </c>
      <c r="AR154">
        <v>0</v>
      </c>
      <c r="AS154" t="s">
        <v>3</v>
      </c>
      <c r="AT154">
        <v>0.67</v>
      </c>
      <c r="AU154" t="s">
        <v>3</v>
      </c>
      <c r="AV154">
        <v>1</v>
      </c>
      <c r="AW154">
        <v>2</v>
      </c>
      <c r="AX154">
        <v>80308822</v>
      </c>
      <c r="AY154">
        <v>1</v>
      </c>
      <c r="AZ154">
        <v>0</v>
      </c>
      <c r="BA154">
        <v>149</v>
      </c>
      <c r="BB154">
        <v>1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431.0043</v>
      </c>
      <c r="BL154">
        <v>483.77350000000001</v>
      </c>
      <c r="BM154">
        <v>0</v>
      </c>
      <c r="BN154">
        <v>0</v>
      </c>
      <c r="BO154">
        <v>0.67</v>
      </c>
      <c r="BP154">
        <v>1</v>
      </c>
      <c r="BQ154">
        <v>0</v>
      </c>
      <c r="BR154">
        <v>431.0043</v>
      </c>
      <c r="BS154">
        <v>483.77350000000001</v>
      </c>
      <c r="BT154">
        <v>0</v>
      </c>
      <c r="BU154">
        <v>0</v>
      </c>
      <c r="BV154">
        <v>0.67</v>
      </c>
      <c r="BW154">
        <v>1</v>
      </c>
      <c r="CV154">
        <v>0</v>
      </c>
      <c r="CW154">
        <f>ROUND(Y154*Source!I144*DO154,7)</f>
        <v>6.0299999999999999E-2</v>
      </c>
      <c r="CX154">
        <f>ROUND(Y154*Source!I144,7)</f>
        <v>6.0299999999999999E-2</v>
      </c>
      <c r="CY154">
        <f>AB154</f>
        <v>643.29</v>
      </c>
      <c r="CZ154">
        <f>AF154</f>
        <v>643.29</v>
      </c>
      <c r="DA154">
        <f>AJ154</f>
        <v>1</v>
      </c>
      <c r="DB154">
        <f t="shared" si="59"/>
        <v>431</v>
      </c>
      <c r="DC154">
        <f t="shared" si="60"/>
        <v>483.77</v>
      </c>
      <c r="DD154" t="s">
        <v>3</v>
      </c>
      <c r="DE154" t="s">
        <v>3</v>
      </c>
      <c r="DF154">
        <f t="shared" si="68"/>
        <v>0</v>
      </c>
      <c r="DG154">
        <f>ROUND(ROUND(AF154,2)*CX154,2)</f>
        <v>38.79</v>
      </c>
      <c r="DH154">
        <f t="shared" si="56"/>
        <v>43.54</v>
      </c>
      <c r="DI154">
        <f t="shared" si="57"/>
        <v>0</v>
      </c>
      <c r="DJ154">
        <f>DG154+DH154</f>
        <v>82.33</v>
      </c>
      <c r="DK154">
        <v>1</v>
      </c>
      <c r="DL154" t="s">
        <v>456</v>
      </c>
      <c r="DM154">
        <v>4</v>
      </c>
      <c r="DN154" t="s">
        <v>449</v>
      </c>
      <c r="DO154">
        <v>1</v>
      </c>
    </row>
    <row r="155" spans="1:119" x14ac:dyDescent="0.2">
      <c r="A155">
        <f>ROW(Source!A144)</f>
        <v>144</v>
      </c>
      <c r="B155">
        <v>80308166</v>
      </c>
      <c r="C155">
        <v>80308806</v>
      </c>
      <c r="D155">
        <v>72976316</v>
      </c>
      <c r="E155">
        <v>1</v>
      </c>
      <c r="F155">
        <v>1</v>
      </c>
      <c r="G155">
        <v>1</v>
      </c>
      <c r="H155">
        <v>2</v>
      </c>
      <c r="I155" t="s">
        <v>553</v>
      </c>
      <c r="J155" t="s">
        <v>554</v>
      </c>
      <c r="K155" t="s">
        <v>555</v>
      </c>
      <c r="L155">
        <v>1368</v>
      </c>
      <c r="N155">
        <v>1011</v>
      </c>
      <c r="O155" t="s">
        <v>455</v>
      </c>
      <c r="P155" t="s">
        <v>455</v>
      </c>
      <c r="Q155">
        <v>1</v>
      </c>
      <c r="W155">
        <v>0</v>
      </c>
      <c r="X155">
        <v>10777318</v>
      </c>
      <c r="Y155">
        <f t="shared" si="58"/>
        <v>12.8</v>
      </c>
      <c r="AA155">
        <v>0</v>
      </c>
      <c r="AB155">
        <v>5.35</v>
      </c>
      <c r="AC155">
        <v>0</v>
      </c>
      <c r="AD155">
        <v>0</v>
      </c>
      <c r="AE155">
        <v>0</v>
      </c>
      <c r="AF155">
        <v>4.3499999999999996</v>
      </c>
      <c r="AG155">
        <v>0</v>
      </c>
      <c r="AH155">
        <v>0</v>
      </c>
      <c r="AI155">
        <v>1</v>
      </c>
      <c r="AJ155">
        <v>1.23</v>
      </c>
      <c r="AK155">
        <v>1</v>
      </c>
      <c r="AL155">
        <v>1</v>
      </c>
      <c r="AM155">
        <v>2</v>
      </c>
      <c r="AN155">
        <v>0</v>
      </c>
      <c r="AO155">
        <v>0</v>
      </c>
      <c r="AP155">
        <v>0</v>
      </c>
      <c r="AQ155">
        <v>1</v>
      </c>
      <c r="AR155">
        <v>0</v>
      </c>
      <c r="AS155" t="s">
        <v>3</v>
      </c>
      <c r="AT155">
        <v>12.8</v>
      </c>
      <c r="AU155" t="s">
        <v>3</v>
      </c>
      <c r="AV155">
        <v>1</v>
      </c>
      <c r="AW155">
        <v>2</v>
      </c>
      <c r="AX155">
        <v>80308823</v>
      </c>
      <c r="AY155">
        <v>1</v>
      </c>
      <c r="AZ155">
        <v>0</v>
      </c>
      <c r="BA155">
        <v>150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55.68</v>
      </c>
      <c r="BL155">
        <v>0</v>
      </c>
      <c r="BM155">
        <v>0</v>
      </c>
      <c r="BN155">
        <v>0</v>
      </c>
      <c r="BO155">
        <v>0</v>
      </c>
      <c r="BP155">
        <v>1</v>
      </c>
      <c r="BQ155">
        <v>0</v>
      </c>
      <c r="BR155">
        <v>55.68</v>
      </c>
      <c r="BS155">
        <v>0</v>
      </c>
      <c r="BT155">
        <v>0</v>
      </c>
      <c r="BU155">
        <v>0</v>
      </c>
      <c r="BV155">
        <v>0</v>
      </c>
      <c r="BW155">
        <v>1</v>
      </c>
      <c r="CV155">
        <v>0</v>
      </c>
      <c r="CW155">
        <f>ROUND(Y155*Source!I144*DO155,7)</f>
        <v>0</v>
      </c>
      <c r="CX155">
        <f>ROUND(Y155*Source!I144,7)</f>
        <v>1.1519999999999999</v>
      </c>
      <c r="CY155">
        <f>AB155</f>
        <v>5.35</v>
      </c>
      <c r="CZ155">
        <f>AF155</f>
        <v>4.3499999999999996</v>
      </c>
      <c r="DA155">
        <f>AJ155</f>
        <v>1.23</v>
      </c>
      <c r="DB155">
        <f t="shared" si="59"/>
        <v>55.68</v>
      </c>
      <c r="DC155">
        <f t="shared" si="60"/>
        <v>0</v>
      </c>
      <c r="DD155" t="s">
        <v>3</v>
      </c>
      <c r="DE155" t="s">
        <v>3</v>
      </c>
      <c r="DF155">
        <f t="shared" si="68"/>
        <v>0</v>
      </c>
      <c r="DG155">
        <f>ROUND(ROUND(AF155*AJ155,2)*CX155,2)</f>
        <v>6.16</v>
      </c>
      <c r="DH155">
        <f t="shared" si="56"/>
        <v>0</v>
      </c>
      <c r="DI155">
        <f t="shared" si="57"/>
        <v>0</v>
      </c>
      <c r="DJ155">
        <f>DG155+DH155</f>
        <v>6.16</v>
      </c>
      <c r="DK155">
        <v>0</v>
      </c>
      <c r="DL155" t="s">
        <v>3</v>
      </c>
      <c r="DM155">
        <v>0</v>
      </c>
      <c r="DN155" t="s">
        <v>3</v>
      </c>
      <c r="DO155">
        <v>0</v>
      </c>
    </row>
    <row r="156" spans="1:119" x14ac:dyDescent="0.2">
      <c r="A156">
        <f>ROW(Source!A144)</f>
        <v>144</v>
      </c>
      <c r="B156">
        <v>80308166</v>
      </c>
      <c r="C156">
        <v>80308806</v>
      </c>
      <c r="D156">
        <v>72976354</v>
      </c>
      <c r="E156">
        <v>1</v>
      </c>
      <c r="F156">
        <v>1</v>
      </c>
      <c r="G156">
        <v>1</v>
      </c>
      <c r="H156">
        <v>2</v>
      </c>
      <c r="I156" t="s">
        <v>477</v>
      </c>
      <c r="J156" t="s">
        <v>478</v>
      </c>
      <c r="K156" t="s">
        <v>479</v>
      </c>
      <c r="L156">
        <v>1368</v>
      </c>
      <c r="N156">
        <v>1011</v>
      </c>
      <c r="O156" t="s">
        <v>455</v>
      </c>
      <c r="P156" t="s">
        <v>455</v>
      </c>
      <c r="Q156">
        <v>1</v>
      </c>
      <c r="W156">
        <v>0</v>
      </c>
      <c r="X156">
        <v>-334821386</v>
      </c>
      <c r="Y156">
        <f t="shared" si="58"/>
        <v>30.1</v>
      </c>
      <c r="AA156">
        <v>0</v>
      </c>
      <c r="AB156">
        <v>32.26</v>
      </c>
      <c r="AC156">
        <v>0</v>
      </c>
      <c r="AD156">
        <v>0</v>
      </c>
      <c r="AE156">
        <v>0</v>
      </c>
      <c r="AF156">
        <v>32.26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M156">
        <v>-2</v>
      </c>
      <c r="AN156">
        <v>0</v>
      </c>
      <c r="AO156">
        <v>0</v>
      </c>
      <c r="AP156">
        <v>0</v>
      </c>
      <c r="AQ156">
        <v>1</v>
      </c>
      <c r="AR156">
        <v>0</v>
      </c>
      <c r="AS156" t="s">
        <v>3</v>
      </c>
      <c r="AT156">
        <v>30.1</v>
      </c>
      <c r="AU156" t="s">
        <v>3</v>
      </c>
      <c r="AV156">
        <v>1</v>
      </c>
      <c r="AW156">
        <v>2</v>
      </c>
      <c r="AX156">
        <v>80308824</v>
      </c>
      <c r="AY156">
        <v>1</v>
      </c>
      <c r="AZ156">
        <v>0</v>
      </c>
      <c r="BA156">
        <v>151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971.02599999999995</v>
      </c>
      <c r="BL156">
        <v>0</v>
      </c>
      <c r="BM156">
        <v>0</v>
      </c>
      <c r="BN156">
        <v>0</v>
      </c>
      <c r="BO156">
        <v>0</v>
      </c>
      <c r="BP156">
        <v>1</v>
      </c>
      <c r="BQ156">
        <v>0</v>
      </c>
      <c r="BR156">
        <v>971.02599999999995</v>
      </c>
      <c r="BS156">
        <v>0</v>
      </c>
      <c r="BT156">
        <v>0</v>
      </c>
      <c r="BU156">
        <v>0</v>
      </c>
      <c r="BV156">
        <v>0</v>
      </c>
      <c r="BW156">
        <v>1</v>
      </c>
      <c r="CV156">
        <v>0</v>
      </c>
      <c r="CW156">
        <f>ROUND(Y156*Source!I144*DO156,7)</f>
        <v>0</v>
      </c>
      <c r="CX156">
        <f>ROUND(Y156*Source!I144,7)</f>
        <v>2.7090000000000001</v>
      </c>
      <c r="CY156">
        <f>AB156</f>
        <v>32.26</v>
      </c>
      <c r="CZ156">
        <f>AF156</f>
        <v>32.26</v>
      </c>
      <c r="DA156">
        <f>AJ156</f>
        <v>1</v>
      </c>
      <c r="DB156">
        <f t="shared" si="59"/>
        <v>971.03</v>
      </c>
      <c r="DC156">
        <f t="shared" si="60"/>
        <v>0</v>
      </c>
      <c r="DD156" t="s">
        <v>3</v>
      </c>
      <c r="DE156" t="s">
        <v>3</v>
      </c>
      <c r="DF156">
        <f t="shared" si="68"/>
        <v>0</v>
      </c>
      <c r="DG156">
        <f t="shared" ref="DG156:DG164" si="69">ROUND(ROUND(AF156,2)*CX156,2)</f>
        <v>87.39</v>
      </c>
      <c r="DH156">
        <f t="shared" si="56"/>
        <v>0</v>
      </c>
      <c r="DI156">
        <f t="shared" si="57"/>
        <v>0</v>
      </c>
      <c r="DJ156">
        <f>DG156+DH156</f>
        <v>87.39</v>
      </c>
      <c r="DK156">
        <v>1</v>
      </c>
      <c r="DL156" t="s">
        <v>3</v>
      </c>
      <c r="DM156">
        <v>0</v>
      </c>
      <c r="DN156" t="s">
        <v>3</v>
      </c>
      <c r="DO156">
        <v>0</v>
      </c>
    </row>
    <row r="157" spans="1:119" x14ac:dyDescent="0.2">
      <c r="A157">
        <f>ROW(Source!A144)</f>
        <v>144</v>
      </c>
      <c r="B157">
        <v>80308166</v>
      </c>
      <c r="C157">
        <v>80308806</v>
      </c>
      <c r="D157">
        <v>72920216</v>
      </c>
      <c r="E157">
        <v>1</v>
      </c>
      <c r="F157">
        <v>1</v>
      </c>
      <c r="G157">
        <v>1</v>
      </c>
      <c r="H157">
        <v>3</v>
      </c>
      <c r="I157" t="s">
        <v>488</v>
      </c>
      <c r="J157" t="s">
        <v>489</v>
      </c>
      <c r="K157" t="s">
        <v>490</v>
      </c>
      <c r="L157">
        <v>1339</v>
      </c>
      <c r="N157">
        <v>1007</v>
      </c>
      <c r="O157" t="s">
        <v>309</v>
      </c>
      <c r="P157" t="s">
        <v>309</v>
      </c>
      <c r="Q157">
        <v>1</v>
      </c>
      <c r="W157">
        <v>0</v>
      </c>
      <c r="X157">
        <v>1997520280</v>
      </c>
      <c r="Y157">
        <f t="shared" si="58"/>
        <v>2.79</v>
      </c>
      <c r="AA157">
        <v>510.62</v>
      </c>
      <c r="AB157">
        <v>0</v>
      </c>
      <c r="AC157">
        <v>0</v>
      </c>
      <c r="AD157">
        <v>0</v>
      </c>
      <c r="AE157">
        <v>340.41</v>
      </c>
      <c r="AF157">
        <v>0</v>
      </c>
      <c r="AG157">
        <v>0</v>
      </c>
      <c r="AH157">
        <v>0</v>
      </c>
      <c r="AI157">
        <v>1.5</v>
      </c>
      <c r="AJ157">
        <v>1</v>
      </c>
      <c r="AK157">
        <v>1</v>
      </c>
      <c r="AL157">
        <v>1</v>
      </c>
      <c r="AM157">
        <v>2</v>
      </c>
      <c r="AN157">
        <v>0</v>
      </c>
      <c r="AO157">
        <v>0</v>
      </c>
      <c r="AP157">
        <v>0</v>
      </c>
      <c r="AQ157">
        <v>1</v>
      </c>
      <c r="AR157">
        <v>0</v>
      </c>
      <c r="AS157" t="s">
        <v>3</v>
      </c>
      <c r="AT157">
        <v>2.79</v>
      </c>
      <c r="AU157" t="s">
        <v>3</v>
      </c>
      <c r="AV157">
        <v>0</v>
      </c>
      <c r="AW157">
        <v>2</v>
      </c>
      <c r="AX157">
        <v>80308825</v>
      </c>
      <c r="AY157">
        <v>1</v>
      </c>
      <c r="AZ157">
        <v>0</v>
      </c>
      <c r="BA157">
        <v>152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949.74390000000005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</v>
      </c>
      <c r="BQ157">
        <v>949.74390000000005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1</v>
      </c>
      <c r="CV157">
        <v>0</v>
      </c>
      <c r="CW157">
        <v>0</v>
      </c>
      <c r="CX157">
        <f>ROUND(Y157*Source!I144,7)</f>
        <v>0.25109999999999999</v>
      </c>
      <c r="CY157">
        <f t="shared" ref="CY157:CY162" si="70">AA157</f>
        <v>510.62</v>
      </c>
      <c r="CZ157">
        <f t="shared" ref="CZ157:CZ162" si="71">AE157</f>
        <v>340.41</v>
      </c>
      <c r="DA157">
        <f t="shared" ref="DA157:DA162" si="72">AI157</f>
        <v>1.5</v>
      </c>
      <c r="DB157">
        <f t="shared" si="59"/>
        <v>949.74</v>
      </c>
      <c r="DC157">
        <f t="shared" si="60"/>
        <v>0</v>
      </c>
      <c r="DD157" t="s">
        <v>3</v>
      </c>
      <c r="DE157" t="s">
        <v>3</v>
      </c>
      <c r="DF157">
        <f t="shared" ref="DF157:DF162" si="73">ROUND(ROUND(AE157*AI157,2)*CX157,2)</f>
        <v>128.22</v>
      </c>
      <c r="DG157">
        <f t="shared" si="69"/>
        <v>0</v>
      </c>
      <c r="DH157">
        <f t="shared" si="56"/>
        <v>0</v>
      </c>
      <c r="DI157">
        <f t="shared" si="57"/>
        <v>0</v>
      </c>
      <c r="DJ157">
        <f t="shared" ref="DJ157:DJ162" si="74">DF157</f>
        <v>128.22</v>
      </c>
      <c r="DK157">
        <v>0</v>
      </c>
      <c r="DL157" t="s">
        <v>3</v>
      </c>
      <c r="DM157">
        <v>0</v>
      </c>
      <c r="DN157" t="s">
        <v>3</v>
      </c>
      <c r="DO157">
        <v>0</v>
      </c>
    </row>
    <row r="158" spans="1:119" x14ac:dyDescent="0.2">
      <c r="A158">
        <f>ROW(Source!A144)</f>
        <v>144</v>
      </c>
      <c r="B158">
        <v>80308166</v>
      </c>
      <c r="C158">
        <v>80308806</v>
      </c>
      <c r="D158">
        <v>72920232</v>
      </c>
      <c r="E158">
        <v>1</v>
      </c>
      <c r="F158">
        <v>1</v>
      </c>
      <c r="G158">
        <v>1</v>
      </c>
      <c r="H158">
        <v>3</v>
      </c>
      <c r="I158" t="s">
        <v>491</v>
      </c>
      <c r="J158" t="s">
        <v>492</v>
      </c>
      <c r="K158" t="s">
        <v>493</v>
      </c>
      <c r="L158">
        <v>1339</v>
      </c>
      <c r="N158">
        <v>1007</v>
      </c>
      <c r="O158" t="s">
        <v>309</v>
      </c>
      <c r="P158" t="s">
        <v>309</v>
      </c>
      <c r="Q158">
        <v>1</v>
      </c>
      <c r="W158">
        <v>0</v>
      </c>
      <c r="X158">
        <v>245356557</v>
      </c>
      <c r="Y158">
        <f t="shared" si="58"/>
        <v>3.37</v>
      </c>
      <c r="AA158">
        <v>97.44</v>
      </c>
      <c r="AB158">
        <v>0</v>
      </c>
      <c r="AC158">
        <v>0</v>
      </c>
      <c r="AD158">
        <v>0</v>
      </c>
      <c r="AE158">
        <v>114.64</v>
      </c>
      <c r="AF158">
        <v>0</v>
      </c>
      <c r="AG158">
        <v>0</v>
      </c>
      <c r="AH158">
        <v>0</v>
      </c>
      <c r="AI158">
        <v>0.85</v>
      </c>
      <c r="AJ158">
        <v>1</v>
      </c>
      <c r="AK158">
        <v>1</v>
      </c>
      <c r="AL158">
        <v>1</v>
      </c>
      <c r="AM158">
        <v>2</v>
      </c>
      <c r="AN158">
        <v>0</v>
      </c>
      <c r="AO158">
        <v>0</v>
      </c>
      <c r="AP158">
        <v>0</v>
      </c>
      <c r="AQ158">
        <v>1</v>
      </c>
      <c r="AR158">
        <v>0</v>
      </c>
      <c r="AS158" t="s">
        <v>3</v>
      </c>
      <c r="AT158">
        <v>3.37</v>
      </c>
      <c r="AU158" t="s">
        <v>3</v>
      </c>
      <c r="AV158">
        <v>0</v>
      </c>
      <c r="AW158">
        <v>2</v>
      </c>
      <c r="AX158">
        <v>80308826</v>
      </c>
      <c r="AY158">
        <v>1</v>
      </c>
      <c r="AZ158">
        <v>0</v>
      </c>
      <c r="BA158">
        <v>153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386.33680000000004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1</v>
      </c>
      <c r="BQ158">
        <v>386.33680000000004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1</v>
      </c>
      <c r="CV158">
        <v>0</v>
      </c>
      <c r="CW158">
        <v>0</v>
      </c>
      <c r="CX158">
        <f>ROUND(Y158*Source!I144,7)</f>
        <v>0.30330000000000001</v>
      </c>
      <c r="CY158">
        <f t="shared" si="70"/>
        <v>97.44</v>
      </c>
      <c r="CZ158">
        <f t="shared" si="71"/>
        <v>114.64</v>
      </c>
      <c r="DA158">
        <f t="shared" si="72"/>
        <v>0.85</v>
      </c>
      <c r="DB158">
        <f t="shared" si="59"/>
        <v>386.34</v>
      </c>
      <c r="DC158">
        <f t="shared" si="60"/>
        <v>0</v>
      </c>
      <c r="DD158" t="s">
        <v>3</v>
      </c>
      <c r="DE158" t="s">
        <v>3</v>
      </c>
      <c r="DF158">
        <f t="shared" si="73"/>
        <v>29.55</v>
      </c>
      <c r="DG158">
        <f t="shared" si="69"/>
        <v>0</v>
      </c>
      <c r="DH158">
        <f t="shared" si="56"/>
        <v>0</v>
      </c>
      <c r="DI158">
        <f t="shared" si="57"/>
        <v>0</v>
      </c>
      <c r="DJ158">
        <f t="shared" si="74"/>
        <v>29.55</v>
      </c>
      <c r="DK158">
        <v>0</v>
      </c>
      <c r="DL158" t="s">
        <v>3</v>
      </c>
      <c r="DM158">
        <v>0</v>
      </c>
      <c r="DN158" t="s">
        <v>3</v>
      </c>
      <c r="DO158">
        <v>0</v>
      </c>
    </row>
    <row r="159" spans="1:119" x14ac:dyDescent="0.2">
      <c r="A159">
        <f>ROW(Source!A144)</f>
        <v>144</v>
      </c>
      <c r="B159">
        <v>80308166</v>
      </c>
      <c r="C159">
        <v>80308806</v>
      </c>
      <c r="D159">
        <v>72922985</v>
      </c>
      <c r="E159">
        <v>1</v>
      </c>
      <c r="F159">
        <v>1</v>
      </c>
      <c r="G159">
        <v>1</v>
      </c>
      <c r="H159">
        <v>3</v>
      </c>
      <c r="I159" t="s">
        <v>556</v>
      </c>
      <c r="J159" t="s">
        <v>557</v>
      </c>
      <c r="K159" t="s">
        <v>558</v>
      </c>
      <c r="L159">
        <v>1348</v>
      </c>
      <c r="N159">
        <v>1009</v>
      </c>
      <c r="O159" t="s">
        <v>35</v>
      </c>
      <c r="P159" t="s">
        <v>35</v>
      </c>
      <c r="Q159">
        <v>1000</v>
      </c>
      <c r="W159">
        <v>0</v>
      </c>
      <c r="X159">
        <v>-892373753</v>
      </c>
      <c r="Y159">
        <f t="shared" si="58"/>
        <v>1.2999999999999999E-3</v>
      </c>
      <c r="AA159">
        <v>108956.83</v>
      </c>
      <c r="AB159">
        <v>0</v>
      </c>
      <c r="AC159">
        <v>0</v>
      </c>
      <c r="AD159">
        <v>0</v>
      </c>
      <c r="AE159">
        <v>97282.880000000005</v>
      </c>
      <c r="AF159">
        <v>0</v>
      </c>
      <c r="AG159">
        <v>0</v>
      </c>
      <c r="AH159">
        <v>0</v>
      </c>
      <c r="AI159">
        <v>1.1200000000000001</v>
      </c>
      <c r="AJ159">
        <v>1</v>
      </c>
      <c r="AK159">
        <v>1</v>
      </c>
      <c r="AL159">
        <v>1</v>
      </c>
      <c r="AM159">
        <v>2</v>
      </c>
      <c r="AN159">
        <v>0</v>
      </c>
      <c r="AO159">
        <v>0</v>
      </c>
      <c r="AP159">
        <v>0</v>
      </c>
      <c r="AQ159">
        <v>1</v>
      </c>
      <c r="AR159">
        <v>0</v>
      </c>
      <c r="AS159" t="s">
        <v>3</v>
      </c>
      <c r="AT159">
        <v>1.2999999999999999E-3</v>
      </c>
      <c r="AU159" t="s">
        <v>3</v>
      </c>
      <c r="AV159">
        <v>0</v>
      </c>
      <c r="AW159">
        <v>2</v>
      </c>
      <c r="AX159">
        <v>80308827</v>
      </c>
      <c r="AY159">
        <v>1</v>
      </c>
      <c r="AZ159">
        <v>0</v>
      </c>
      <c r="BA159">
        <v>154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126.467744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1</v>
      </c>
      <c r="BQ159">
        <v>126.467744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1</v>
      </c>
      <c r="CV159">
        <v>0</v>
      </c>
      <c r="CW159">
        <v>0</v>
      </c>
      <c r="CX159">
        <f>ROUND(Y159*Source!I144,7)</f>
        <v>1.17E-4</v>
      </c>
      <c r="CY159">
        <f t="shared" si="70"/>
        <v>108956.83</v>
      </c>
      <c r="CZ159">
        <f t="shared" si="71"/>
        <v>97282.880000000005</v>
      </c>
      <c r="DA159">
        <f t="shared" si="72"/>
        <v>1.1200000000000001</v>
      </c>
      <c r="DB159">
        <f t="shared" si="59"/>
        <v>126.47</v>
      </c>
      <c r="DC159">
        <f t="shared" si="60"/>
        <v>0</v>
      </c>
      <c r="DD159" t="s">
        <v>3</v>
      </c>
      <c r="DE159" t="s">
        <v>3</v>
      </c>
      <c r="DF159">
        <f t="shared" si="73"/>
        <v>12.75</v>
      </c>
      <c r="DG159">
        <f t="shared" si="69"/>
        <v>0</v>
      </c>
      <c r="DH159">
        <f t="shared" si="56"/>
        <v>0</v>
      </c>
      <c r="DI159">
        <f t="shared" si="57"/>
        <v>0</v>
      </c>
      <c r="DJ159">
        <f t="shared" si="74"/>
        <v>12.75</v>
      </c>
      <c r="DK159">
        <v>0</v>
      </c>
      <c r="DL159" t="s">
        <v>3</v>
      </c>
      <c r="DM159">
        <v>0</v>
      </c>
      <c r="DN159" t="s">
        <v>3</v>
      </c>
      <c r="DO159">
        <v>0</v>
      </c>
    </row>
    <row r="160" spans="1:119" x14ac:dyDescent="0.2">
      <c r="A160">
        <f>ROW(Source!A144)</f>
        <v>144</v>
      </c>
      <c r="B160">
        <v>80308166</v>
      </c>
      <c r="C160">
        <v>80308806</v>
      </c>
      <c r="D160">
        <v>72923110</v>
      </c>
      <c r="E160">
        <v>1</v>
      </c>
      <c r="F160">
        <v>1</v>
      </c>
      <c r="G160">
        <v>1</v>
      </c>
      <c r="H160">
        <v>3</v>
      </c>
      <c r="I160" t="s">
        <v>480</v>
      </c>
      <c r="J160" t="s">
        <v>481</v>
      </c>
      <c r="K160" t="s">
        <v>482</v>
      </c>
      <c r="L160">
        <v>1346</v>
      </c>
      <c r="N160">
        <v>1009</v>
      </c>
      <c r="O160" t="s">
        <v>295</v>
      </c>
      <c r="P160" t="s">
        <v>295</v>
      </c>
      <c r="Q160">
        <v>1</v>
      </c>
      <c r="W160">
        <v>0</v>
      </c>
      <c r="X160">
        <v>212334824</v>
      </c>
      <c r="Y160">
        <f t="shared" si="58"/>
        <v>7</v>
      </c>
      <c r="AA160">
        <v>121.39</v>
      </c>
      <c r="AB160">
        <v>0</v>
      </c>
      <c r="AC160">
        <v>0</v>
      </c>
      <c r="AD160">
        <v>0</v>
      </c>
      <c r="AE160">
        <v>155.63</v>
      </c>
      <c r="AF160">
        <v>0</v>
      </c>
      <c r="AG160">
        <v>0</v>
      </c>
      <c r="AH160">
        <v>0</v>
      </c>
      <c r="AI160">
        <v>0.78</v>
      </c>
      <c r="AJ160">
        <v>1</v>
      </c>
      <c r="AK160">
        <v>1</v>
      </c>
      <c r="AL160">
        <v>1</v>
      </c>
      <c r="AM160">
        <v>2</v>
      </c>
      <c r="AN160">
        <v>0</v>
      </c>
      <c r="AO160">
        <v>0</v>
      </c>
      <c r="AP160">
        <v>0</v>
      </c>
      <c r="AQ160">
        <v>1</v>
      </c>
      <c r="AR160">
        <v>0</v>
      </c>
      <c r="AS160" t="s">
        <v>3</v>
      </c>
      <c r="AT160">
        <v>7</v>
      </c>
      <c r="AU160" t="s">
        <v>3</v>
      </c>
      <c r="AV160">
        <v>0</v>
      </c>
      <c r="AW160">
        <v>2</v>
      </c>
      <c r="AX160">
        <v>80308828</v>
      </c>
      <c r="AY160">
        <v>1</v>
      </c>
      <c r="AZ160">
        <v>0</v>
      </c>
      <c r="BA160">
        <v>155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1089.4099999999999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</v>
      </c>
      <c r="BQ160">
        <v>1089.4099999999999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1</v>
      </c>
      <c r="CV160">
        <v>0</v>
      </c>
      <c r="CW160">
        <v>0</v>
      </c>
      <c r="CX160">
        <f>ROUND(Y160*Source!I144,7)</f>
        <v>0.63</v>
      </c>
      <c r="CY160">
        <f t="shared" si="70"/>
        <v>121.39</v>
      </c>
      <c r="CZ160">
        <f t="shared" si="71"/>
        <v>155.63</v>
      </c>
      <c r="DA160">
        <f t="shared" si="72"/>
        <v>0.78</v>
      </c>
      <c r="DB160">
        <f t="shared" si="59"/>
        <v>1089.4100000000001</v>
      </c>
      <c r="DC160">
        <f t="shared" si="60"/>
        <v>0</v>
      </c>
      <c r="DD160" t="s">
        <v>3</v>
      </c>
      <c r="DE160" t="s">
        <v>3</v>
      </c>
      <c r="DF160">
        <f t="shared" si="73"/>
        <v>76.48</v>
      </c>
      <c r="DG160">
        <f t="shared" si="69"/>
        <v>0</v>
      </c>
      <c r="DH160">
        <f t="shared" si="56"/>
        <v>0</v>
      </c>
      <c r="DI160">
        <f t="shared" si="57"/>
        <v>0</v>
      </c>
      <c r="DJ160">
        <f t="shared" si="74"/>
        <v>76.48</v>
      </c>
      <c r="DK160">
        <v>0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ROW(Source!A144)</f>
        <v>144</v>
      </c>
      <c r="B161">
        <v>80308166</v>
      </c>
      <c r="C161">
        <v>80308806</v>
      </c>
      <c r="D161">
        <v>77534639</v>
      </c>
      <c r="E161">
        <v>1</v>
      </c>
      <c r="F161">
        <v>1</v>
      </c>
      <c r="G161">
        <v>1</v>
      </c>
      <c r="H161">
        <v>3</v>
      </c>
      <c r="I161" t="s">
        <v>264</v>
      </c>
      <c r="J161" t="s">
        <v>266</v>
      </c>
      <c r="K161" t="s">
        <v>265</v>
      </c>
      <c r="L161">
        <v>1301</v>
      </c>
      <c r="N161">
        <v>1003</v>
      </c>
      <c r="O161" t="s">
        <v>253</v>
      </c>
      <c r="P161" t="s">
        <v>253</v>
      </c>
      <c r="Q161">
        <v>1</v>
      </c>
      <c r="W161">
        <v>0</v>
      </c>
      <c r="X161">
        <v>-1964333642</v>
      </c>
      <c r="Y161">
        <f t="shared" si="58"/>
        <v>100</v>
      </c>
      <c r="AA161">
        <v>575.09</v>
      </c>
      <c r="AB161">
        <v>0</v>
      </c>
      <c r="AC161">
        <v>0</v>
      </c>
      <c r="AD161">
        <v>0</v>
      </c>
      <c r="AE161">
        <v>718.86</v>
      </c>
      <c r="AF161">
        <v>0</v>
      </c>
      <c r="AG161">
        <v>0</v>
      </c>
      <c r="AH161">
        <v>0</v>
      </c>
      <c r="AI161">
        <v>0.8</v>
      </c>
      <c r="AJ161">
        <v>1</v>
      </c>
      <c r="AK161">
        <v>1</v>
      </c>
      <c r="AL161">
        <v>1</v>
      </c>
      <c r="AM161">
        <v>2</v>
      </c>
      <c r="AN161">
        <v>0</v>
      </c>
      <c r="AO161">
        <v>0</v>
      </c>
      <c r="AP161">
        <v>1</v>
      </c>
      <c r="AQ161">
        <v>0</v>
      </c>
      <c r="AR161">
        <v>0</v>
      </c>
      <c r="AS161" t="s">
        <v>3</v>
      </c>
      <c r="AT161">
        <v>100</v>
      </c>
      <c r="AU161" t="s">
        <v>3</v>
      </c>
      <c r="AV161">
        <v>0</v>
      </c>
      <c r="AW161">
        <v>1</v>
      </c>
      <c r="AX161">
        <v>-1</v>
      </c>
      <c r="AY161">
        <v>0</v>
      </c>
      <c r="AZ161">
        <v>0</v>
      </c>
      <c r="BA161" t="s">
        <v>3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V161">
        <v>0</v>
      </c>
      <c r="CW161">
        <v>0</v>
      </c>
      <c r="CX161">
        <f>ROUND(Y161*Source!I144,7)</f>
        <v>9</v>
      </c>
      <c r="CY161">
        <f t="shared" si="70"/>
        <v>575.09</v>
      </c>
      <c r="CZ161">
        <f t="shared" si="71"/>
        <v>718.86</v>
      </c>
      <c r="DA161">
        <f t="shared" si="72"/>
        <v>0.8</v>
      </c>
      <c r="DB161">
        <f t="shared" si="59"/>
        <v>71886</v>
      </c>
      <c r="DC161">
        <f t="shared" si="60"/>
        <v>0</v>
      </c>
      <c r="DD161" t="s">
        <v>3</v>
      </c>
      <c r="DE161" t="s">
        <v>3</v>
      </c>
      <c r="DF161">
        <f t="shared" si="73"/>
        <v>5175.8100000000004</v>
      </c>
      <c r="DG161">
        <f t="shared" si="69"/>
        <v>0</v>
      </c>
      <c r="DH161">
        <f t="shared" si="56"/>
        <v>0</v>
      </c>
      <c r="DI161">
        <f t="shared" si="57"/>
        <v>0</v>
      </c>
      <c r="DJ161">
        <f t="shared" si="74"/>
        <v>5175.8100000000004</v>
      </c>
      <c r="DK161">
        <v>0</v>
      </c>
      <c r="DL161" t="s">
        <v>3</v>
      </c>
      <c r="DM161">
        <v>0</v>
      </c>
      <c r="DN161" t="s">
        <v>3</v>
      </c>
      <c r="DO161">
        <v>0</v>
      </c>
    </row>
    <row r="162" spans="1:119" x14ac:dyDescent="0.2">
      <c r="A162">
        <f>ROW(Source!A144)</f>
        <v>144</v>
      </c>
      <c r="B162">
        <v>80308166</v>
      </c>
      <c r="C162">
        <v>80308806</v>
      </c>
      <c r="D162">
        <v>77538721</v>
      </c>
      <c r="E162">
        <v>1</v>
      </c>
      <c r="F162">
        <v>1</v>
      </c>
      <c r="G162">
        <v>1</v>
      </c>
      <c r="H162">
        <v>3</v>
      </c>
      <c r="I162" t="s">
        <v>268</v>
      </c>
      <c r="J162" t="s">
        <v>270</v>
      </c>
      <c r="K162" t="s">
        <v>269</v>
      </c>
      <c r="L162">
        <v>1371</v>
      </c>
      <c r="N162">
        <v>1013</v>
      </c>
      <c r="O162" t="s">
        <v>30</v>
      </c>
      <c r="P162" t="s">
        <v>30</v>
      </c>
      <c r="Q162">
        <v>1</v>
      </c>
      <c r="W162">
        <v>0</v>
      </c>
      <c r="X162">
        <v>-2097274236</v>
      </c>
      <c r="Y162">
        <f t="shared" si="58"/>
        <v>100</v>
      </c>
      <c r="AA162">
        <v>179.86</v>
      </c>
      <c r="AB162">
        <v>0</v>
      </c>
      <c r="AC162">
        <v>0</v>
      </c>
      <c r="AD162">
        <v>0</v>
      </c>
      <c r="AE162">
        <v>145.05000000000001</v>
      </c>
      <c r="AF162">
        <v>0</v>
      </c>
      <c r="AG162">
        <v>0</v>
      </c>
      <c r="AH162">
        <v>0</v>
      </c>
      <c r="AI162">
        <v>1.24</v>
      </c>
      <c r="AJ162">
        <v>1</v>
      </c>
      <c r="AK162">
        <v>1</v>
      </c>
      <c r="AL162">
        <v>1</v>
      </c>
      <c r="AM162">
        <v>2</v>
      </c>
      <c r="AN162">
        <v>0</v>
      </c>
      <c r="AO162">
        <v>0</v>
      </c>
      <c r="AP162">
        <v>1</v>
      </c>
      <c r="AQ162">
        <v>0</v>
      </c>
      <c r="AR162">
        <v>0</v>
      </c>
      <c r="AS162" t="s">
        <v>3</v>
      </c>
      <c r="AT162">
        <v>100</v>
      </c>
      <c r="AU162" t="s">
        <v>3</v>
      </c>
      <c r="AV162">
        <v>0</v>
      </c>
      <c r="AW162">
        <v>1</v>
      </c>
      <c r="AX162">
        <v>-1</v>
      </c>
      <c r="AY162">
        <v>0</v>
      </c>
      <c r="AZ162">
        <v>0</v>
      </c>
      <c r="BA162" t="s">
        <v>3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V162">
        <v>0</v>
      </c>
      <c r="CW162">
        <v>0</v>
      </c>
      <c r="CX162">
        <f>ROUND(Y162*Source!I144,7)</f>
        <v>9</v>
      </c>
      <c r="CY162">
        <f t="shared" si="70"/>
        <v>179.86</v>
      </c>
      <c r="CZ162">
        <f t="shared" si="71"/>
        <v>145.05000000000001</v>
      </c>
      <c r="DA162">
        <f t="shared" si="72"/>
        <v>1.24</v>
      </c>
      <c r="DB162">
        <f t="shared" si="59"/>
        <v>14505</v>
      </c>
      <c r="DC162">
        <f t="shared" si="60"/>
        <v>0</v>
      </c>
      <c r="DD162" t="s">
        <v>3</v>
      </c>
      <c r="DE162" t="s">
        <v>3</v>
      </c>
      <c r="DF162">
        <f t="shared" si="73"/>
        <v>1618.74</v>
      </c>
      <c r="DG162">
        <f t="shared" si="69"/>
        <v>0</v>
      </c>
      <c r="DH162">
        <f t="shared" si="56"/>
        <v>0</v>
      </c>
      <c r="DI162">
        <f t="shared" si="57"/>
        <v>0</v>
      </c>
      <c r="DJ162">
        <f t="shared" si="74"/>
        <v>1618.74</v>
      </c>
      <c r="DK162">
        <v>0</v>
      </c>
      <c r="DL162" t="s">
        <v>3</v>
      </c>
      <c r="DM162">
        <v>0</v>
      </c>
      <c r="DN162" t="s">
        <v>3</v>
      </c>
      <c r="DO162">
        <v>0</v>
      </c>
    </row>
    <row r="163" spans="1:119" x14ac:dyDescent="0.2">
      <c r="A163">
        <f>ROW(Source!A147)</f>
        <v>147</v>
      </c>
      <c r="B163">
        <v>80308166</v>
      </c>
      <c r="C163">
        <v>80308834</v>
      </c>
      <c r="D163">
        <v>72850673</v>
      </c>
      <c r="E163">
        <v>114</v>
      </c>
      <c r="F163">
        <v>1</v>
      </c>
      <c r="G163">
        <v>1</v>
      </c>
      <c r="H163">
        <v>1</v>
      </c>
      <c r="I163" t="s">
        <v>559</v>
      </c>
      <c r="J163" t="s">
        <v>3</v>
      </c>
      <c r="K163" t="s">
        <v>560</v>
      </c>
      <c r="L163">
        <v>1191</v>
      </c>
      <c r="N163">
        <v>1013</v>
      </c>
      <c r="O163" t="s">
        <v>449</v>
      </c>
      <c r="P163" t="s">
        <v>449</v>
      </c>
      <c r="Q163">
        <v>1</v>
      </c>
      <c r="W163">
        <v>0</v>
      </c>
      <c r="X163">
        <v>1521243167</v>
      </c>
      <c r="Y163">
        <f>(AT163*ROUND((1.15*2),7))</f>
        <v>12.212999999999997</v>
      </c>
      <c r="AA163">
        <v>0</v>
      </c>
      <c r="AB163">
        <v>0</v>
      </c>
      <c r="AC163">
        <v>0</v>
      </c>
      <c r="AD163">
        <v>797.48</v>
      </c>
      <c r="AE163">
        <v>0</v>
      </c>
      <c r="AF163">
        <v>0</v>
      </c>
      <c r="AG163">
        <v>0</v>
      </c>
      <c r="AH163">
        <v>797.48</v>
      </c>
      <c r="AI163">
        <v>1</v>
      </c>
      <c r="AJ163">
        <v>1</v>
      </c>
      <c r="AK163">
        <v>1</v>
      </c>
      <c r="AL163">
        <v>1</v>
      </c>
      <c r="AM163">
        <v>-2</v>
      </c>
      <c r="AN163">
        <v>0</v>
      </c>
      <c r="AO163">
        <v>0</v>
      </c>
      <c r="AP163">
        <v>1</v>
      </c>
      <c r="AQ163">
        <v>1</v>
      </c>
      <c r="AR163">
        <v>0</v>
      </c>
      <c r="AS163" t="s">
        <v>3</v>
      </c>
      <c r="AT163">
        <v>5.31</v>
      </c>
      <c r="AU163" t="s">
        <v>278</v>
      </c>
      <c r="AV163">
        <v>1</v>
      </c>
      <c r="AW163">
        <v>2</v>
      </c>
      <c r="AX163">
        <v>80308843</v>
      </c>
      <c r="AY163">
        <v>1</v>
      </c>
      <c r="AZ163">
        <v>0</v>
      </c>
      <c r="BA163">
        <v>159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4234.6188000000002</v>
      </c>
      <c r="BN163">
        <v>5.31</v>
      </c>
      <c r="BO163">
        <v>0</v>
      </c>
      <c r="BP163">
        <v>1</v>
      </c>
      <c r="BQ163">
        <v>0</v>
      </c>
      <c r="BR163">
        <v>0</v>
      </c>
      <c r="BS163">
        <v>0</v>
      </c>
      <c r="BT163">
        <v>9739.623239999999</v>
      </c>
      <c r="BU163">
        <v>12.212999999999997</v>
      </c>
      <c r="BV163">
        <v>0</v>
      </c>
      <c r="BW163">
        <v>1</v>
      </c>
      <c r="CU163">
        <f>ROUND(AT163*Source!I147*AH163*AL163,2)</f>
        <v>183.78</v>
      </c>
      <c r="CV163">
        <f>ROUND(Y163*Source!I147,7)</f>
        <v>0.53004419999999997</v>
      </c>
      <c r="CW163">
        <v>0</v>
      </c>
      <c r="CX163">
        <f>ROUND(Y163*Source!I147,7)</f>
        <v>0.53004419999999997</v>
      </c>
      <c r="CY163">
        <f>AD163</f>
        <v>797.48</v>
      </c>
      <c r="CZ163">
        <f>AH163</f>
        <v>797.48</v>
      </c>
      <c r="DA163">
        <f>AL163</f>
        <v>1</v>
      </c>
      <c r="DB163">
        <f>ROUND((ROUND(AT163*CZ163,2)*ROUND((1.15*2),7)),6)</f>
        <v>9739.6260000000002</v>
      </c>
      <c r="DC163">
        <f>ROUND((ROUND(AT163*AG163,2)*ROUND((1.15*2),7)),6)</f>
        <v>0</v>
      </c>
      <c r="DD163" t="s">
        <v>3</v>
      </c>
      <c r="DE163" t="s">
        <v>3</v>
      </c>
      <c r="DF163">
        <f t="shared" ref="DF163:DF168" si="75">ROUND(ROUND(AE163,2)*CX163,2)</f>
        <v>0</v>
      </c>
      <c r="DG163">
        <f t="shared" si="69"/>
        <v>0</v>
      </c>
      <c r="DH163">
        <f t="shared" si="56"/>
        <v>0</v>
      </c>
      <c r="DI163">
        <f t="shared" si="57"/>
        <v>422.7</v>
      </c>
      <c r="DJ163">
        <f>DI163</f>
        <v>422.7</v>
      </c>
      <c r="DK163">
        <v>1</v>
      </c>
      <c r="DL163" t="s">
        <v>3</v>
      </c>
      <c r="DM163">
        <v>0</v>
      </c>
      <c r="DN163" t="s">
        <v>3</v>
      </c>
      <c r="DO163">
        <v>0</v>
      </c>
    </row>
    <row r="164" spans="1:119" x14ac:dyDescent="0.2">
      <c r="A164">
        <f>ROW(Source!A147)</f>
        <v>147</v>
      </c>
      <c r="B164">
        <v>80308166</v>
      </c>
      <c r="C164">
        <v>80308834</v>
      </c>
      <c r="D164">
        <v>72850822</v>
      </c>
      <c r="E164">
        <v>114</v>
      </c>
      <c r="F164">
        <v>1</v>
      </c>
      <c r="G164">
        <v>1</v>
      </c>
      <c r="H164">
        <v>1</v>
      </c>
      <c r="I164" t="s">
        <v>450</v>
      </c>
      <c r="J164" t="s">
        <v>3</v>
      </c>
      <c r="K164" t="s">
        <v>451</v>
      </c>
      <c r="L164">
        <v>1191</v>
      </c>
      <c r="N164">
        <v>1013</v>
      </c>
      <c r="O164" t="s">
        <v>449</v>
      </c>
      <c r="P164" t="s">
        <v>449</v>
      </c>
      <c r="Q164">
        <v>1</v>
      </c>
      <c r="W164">
        <v>0</v>
      </c>
      <c r="X164">
        <v>-1417349443</v>
      </c>
      <c r="Y164">
        <f>(AT164*ROUND((1.25*2),7))</f>
        <v>0.05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M164">
        <v>-2</v>
      </c>
      <c r="AN164">
        <v>0</v>
      </c>
      <c r="AO164">
        <v>0</v>
      </c>
      <c r="AP164">
        <v>1</v>
      </c>
      <c r="AQ164">
        <v>1</v>
      </c>
      <c r="AR164">
        <v>0</v>
      </c>
      <c r="AS164" t="s">
        <v>3</v>
      </c>
      <c r="AT164">
        <v>0.02</v>
      </c>
      <c r="AU164" t="s">
        <v>277</v>
      </c>
      <c r="AV164">
        <v>2</v>
      </c>
      <c r="AW164">
        <v>2</v>
      </c>
      <c r="AX164">
        <v>80308844</v>
      </c>
      <c r="AY164">
        <v>1</v>
      </c>
      <c r="AZ164">
        <v>0</v>
      </c>
      <c r="BA164">
        <v>160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V164">
        <v>0</v>
      </c>
      <c r="CW164">
        <v>0</v>
      </c>
      <c r="CX164">
        <f>ROUND(Y164*Source!I147,7)</f>
        <v>2.1700000000000001E-3</v>
      </c>
      <c r="CY164">
        <f>AD164</f>
        <v>0</v>
      </c>
      <c r="CZ164">
        <f>AH164</f>
        <v>0</v>
      </c>
      <c r="DA164">
        <f>AL164</f>
        <v>1</v>
      </c>
      <c r="DB164">
        <f>ROUND((ROUND(AT164*CZ164,2)*ROUND((1.25*2),7)),6)</f>
        <v>0</v>
      </c>
      <c r="DC164">
        <f>ROUND((ROUND(AT164*AG164,2)*ROUND((1.25*2),7)),6)</f>
        <v>0</v>
      </c>
      <c r="DD164" t="s">
        <v>3</v>
      </c>
      <c r="DE164" t="s">
        <v>3</v>
      </c>
      <c r="DF164">
        <f t="shared" si="75"/>
        <v>0</v>
      </c>
      <c r="DG164">
        <f t="shared" si="69"/>
        <v>0</v>
      </c>
      <c r="DH164">
        <f t="shared" si="56"/>
        <v>0</v>
      </c>
      <c r="DI164">
        <f t="shared" si="57"/>
        <v>0</v>
      </c>
      <c r="DJ164">
        <f>DI164</f>
        <v>0</v>
      </c>
      <c r="DK164">
        <v>0</v>
      </c>
      <c r="DL164" t="s">
        <v>3</v>
      </c>
      <c r="DM164">
        <v>0</v>
      </c>
      <c r="DN164" t="s">
        <v>3</v>
      </c>
      <c r="DO164">
        <v>0</v>
      </c>
    </row>
    <row r="165" spans="1:119" x14ac:dyDescent="0.2">
      <c r="A165">
        <f>ROW(Source!A147)</f>
        <v>147</v>
      </c>
      <c r="B165">
        <v>80308166</v>
      </c>
      <c r="C165">
        <v>80308834</v>
      </c>
      <c r="D165">
        <v>72975407</v>
      </c>
      <c r="E165">
        <v>1</v>
      </c>
      <c r="F165">
        <v>1</v>
      </c>
      <c r="G165">
        <v>1</v>
      </c>
      <c r="H165">
        <v>2</v>
      </c>
      <c r="I165" t="s">
        <v>561</v>
      </c>
      <c r="J165" t="s">
        <v>562</v>
      </c>
      <c r="K165" t="s">
        <v>563</v>
      </c>
      <c r="L165">
        <v>1368</v>
      </c>
      <c r="N165">
        <v>1011</v>
      </c>
      <c r="O165" t="s">
        <v>455</v>
      </c>
      <c r="P165" t="s">
        <v>455</v>
      </c>
      <c r="Q165">
        <v>1</v>
      </c>
      <c r="W165">
        <v>0</v>
      </c>
      <c r="X165">
        <v>-651536190</v>
      </c>
      <c r="Y165">
        <f>(AT165*ROUND((1.25*2),7))</f>
        <v>2.5000000000000001E-2</v>
      </c>
      <c r="AA165">
        <v>0</v>
      </c>
      <c r="AB165">
        <v>9.8000000000000007</v>
      </c>
      <c r="AC165">
        <v>0</v>
      </c>
      <c r="AD165">
        <v>0</v>
      </c>
      <c r="AE165">
        <v>0</v>
      </c>
      <c r="AF165">
        <v>6.62</v>
      </c>
      <c r="AG165">
        <v>0</v>
      </c>
      <c r="AH165">
        <v>0</v>
      </c>
      <c r="AI165">
        <v>1</v>
      </c>
      <c r="AJ165">
        <v>1.48</v>
      </c>
      <c r="AK165">
        <v>1</v>
      </c>
      <c r="AL165">
        <v>1</v>
      </c>
      <c r="AM165">
        <v>2</v>
      </c>
      <c r="AN165">
        <v>0</v>
      </c>
      <c r="AO165">
        <v>0</v>
      </c>
      <c r="AP165">
        <v>1</v>
      </c>
      <c r="AQ165">
        <v>1</v>
      </c>
      <c r="AR165">
        <v>0</v>
      </c>
      <c r="AS165" t="s">
        <v>3</v>
      </c>
      <c r="AT165">
        <v>0.01</v>
      </c>
      <c r="AU165" t="s">
        <v>277</v>
      </c>
      <c r="AV165">
        <v>1</v>
      </c>
      <c r="AW165">
        <v>2</v>
      </c>
      <c r="AX165">
        <v>80308845</v>
      </c>
      <c r="AY165">
        <v>1</v>
      </c>
      <c r="AZ165">
        <v>0</v>
      </c>
      <c r="BA165">
        <v>161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6.6200000000000009E-2</v>
      </c>
      <c r="BL165">
        <v>0</v>
      </c>
      <c r="BM165">
        <v>0</v>
      </c>
      <c r="BN165">
        <v>0</v>
      </c>
      <c r="BO165">
        <v>0</v>
      </c>
      <c r="BP165">
        <v>1</v>
      </c>
      <c r="BQ165">
        <v>0</v>
      </c>
      <c r="BR165">
        <v>0.16550000000000001</v>
      </c>
      <c r="BS165">
        <v>0</v>
      </c>
      <c r="BT165">
        <v>0</v>
      </c>
      <c r="BU165">
        <v>0</v>
      </c>
      <c r="BV165">
        <v>0</v>
      </c>
      <c r="BW165">
        <v>1</v>
      </c>
      <c r="CV165">
        <v>0</v>
      </c>
      <c r="CW165">
        <f>ROUND(Y165*Source!I147*DO165,7)</f>
        <v>0</v>
      </c>
      <c r="CX165">
        <f>ROUND(Y165*Source!I147,7)</f>
        <v>1.085E-3</v>
      </c>
      <c r="CY165">
        <f>AB165</f>
        <v>9.8000000000000007</v>
      </c>
      <c r="CZ165">
        <f>AF165</f>
        <v>6.62</v>
      </c>
      <c r="DA165">
        <f>AJ165</f>
        <v>1.48</v>
      </c>
      <c r="DB165">
        <f>ROUND((ROUND(AT165*CZ165,2)*ROUND((1.25*2),7)),6)</f>
        <v>0.17499999999999999</v>
      </c>
      <c r="DC165">
        <f>ROUND((ROUND(AT165*AG165,2)*ROUND((1.25*2),7)),6)</f>
        <v>0</v>
      </c>
      <c r="DD165" t="s">
        <v>3</v>
      </c>
      <c r="DE165" t="s">
        <v>3</v>
      </c>
      <c r="DF165">
        <f t="shared" si="75"/>
        <v>0</v>
      </c>
      <c r="DG165">
        <f>ROUND(ROUND(AF165*AJ165,2)*CX165,2)</f>
        <v>0.01</v>
      </c>
      <c r="DH165">
        <f t="shared" si="56"/>
        <v>0</v>
      </c>
      <c r="DI165">
        <f t="shared" si="57"/>
        <v>0</v>
      </c>
      <c r="DJ165">
        <f>DG165+DH165</f>
        <v>0.01</v>
      </c>
      <c r="DK165">
        <v>0</v>
      </c>
      <c r="DL165" t="s">
        <v>3</v>
      </c>
      <c r="DM165">
        <v>0</v>
      </c>
      <c r="DN165" t="s">
        <v>3</v>
      </c>
      <c r="DO165">
        <v>0</v>
      </c>
    </row>
    <row r="166" spans="1:119" x14ac:dyDescent="0.2">
      <c r="A166">
        <f>ROW(Source!A147)</f>
        <v>147</v>
      </c>
      <c r="B166">
        <v>80308166</v>
      </c>
      <c r="C166">
        <v>80308834</v>
      </c>
      <c r="D166">
        <v>72975424</v>
      </c>
      <c r="E166">
        <v>1</v>
      </c>
      <c r="F166">
        <v>1</v>
      </c>
      <c r="G166">
        <v>1</v>
      </c>
      <c r="H166">
        <v>2</v>
      </c>
      <c r="I166" t="s">
        <v>564</v>
      </c>
      <c r="J166" t="s">
        <v>565</v>
      </c>
      <c r="K166" t="s">
        <v>566</v>
      </c>
      <c r="L166">
        <v>1368</v>
      </c>
      <c r="N166">
        <v>1011</v>
      </c>
      <c r="O166" t="s">
        <v>455</v>
      </c>
      <c r="P166" t="s">
        <v>455</v>
      </c>
      <c r="Q166">
        <v>1</v>
      </c>
      <c r="W166">
        <v>0</v>
      </c>
      <c r="X166">
        <v>645920724</v>
      </c>
      <c r="Y166">
        <f>(AT166*ROUND((1.25*2),7))</f>
        <v>2.5000000000000001E-2</v>
      </c>
      <c r="AA166">
        <v>0</v>
      </c>
      <c r="AB166">
        <v>1593.71</v>
      </c>
      <c r="AC166">
        <v>829.81</v>
      </c>
      <c r="AD166">
        <v>0</v>
      </c>
      <c r="AE166">
        <v>0</v>
      </c>
      <c r="AF166">
        <v>1593.71</v>
      </c>
      <c r="AG166">
        <v>829.81</v>
      </c>
      <c r="AH166">
        <v>0</v>
      </c>
      <c r="AI166">
        <v>1</v>
      </c>
      <c r="AJ166">
        <v>1</v>
      </c>
      <c r="AK166">
        <v>1</v>
      </c>
      <c r="AL166">
        <v>1</v>
      </c>
      <c r="AM166">
        <v>-2</v>
      </c>
      <c r="AN166">
        <v>0</v>
      </c>
      <c r="AO166">
        <v>0</v>
      </c>
      <c r="AP166">
        <v>1</v>
      </c>
      <c r="AQ166">
        <v>1</v>
      </c>
      <c r="AR166">
        <v>0</v>
      </c>
      <c r="AS166" t="s">
        <v>3</v>
      </c>
      <c r="AT166">
        <v>0.01</v>
      </c>
      <c r="AU166" t="s">
        <v>277</v>
      </c>
      <c r="AV166">
        <v>1</v>
      </c>
      <c r="AW166">
        <v>2</v>
      </c>
      <c r="AX166">
        <v>80308846</v>
      </c>
      <c r="AY166">
        <v>1</v>
      </c>
      <c r="AZ166">
        <v>0</v>
      </c>
      <c r="BA166">
        <v>162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15.937100000000001</v>
      </c>
      <c r="BL166">
        <v>8.2980999999999998</v>
      </c>
      <c r="BM166">
        <v>0</v>
      </c>
      <c r="BN166">
        <v>0</v>
      </c>
      <c r="BO166">
        <v>0.01</v>
      </c>
      <c r="BP166">
        <v>1</v>
      </c>
      <c r="BQ166">
        <v>0</v>
      </c>
      <c r="BR166">
        <v>39.842750000000002</v>
      </c>
      <c r="BS166">
        <v>20.745249999999999</v>
      </c>
      <c r="BT166">
        <v>0</v>
      </c>
      <c r="BU166">
        <v>0</v>
      </c>
      <c r="BV166">
        <v>2.5000000000000001E-2</v>
      </c>
      <c r="BW166">
        <v>1</v>
      </c>
      <c r="CV166">
        <v>0</v>
      </c>
      <c r="CW166">
        <f>ROUND(Y166*Source!I147*DO166,7)</f>
        <v>1.085E-3</v>
      </c>
      <c r="CX166">
        <f>ROUND(Y166*Source!I147,7)</f>
        <v>1.085E-3</v>
      </c>
      <c r="CY166">
        <f>AB166</f>
        <v>1593.71</v>
      </c>
      <c r="CZ166">
        <f>AF166</f>
        <v>1593.71</v>
      </c>
      <c r="DA166">
        <f>AJ166</f>
        <v>1</v>
      </c>
      <c r="DB166">
        <f>ROUND((ROUND(AT166*CZ166,2)*ROUND((1.25*2),7)),6)</f>
        <v>39.85</v>
      </c>
      <c r="DC166">
        <f>ROUND((ROUND(AT166*AG166,2)*ROUND((1.25*2),7)),6)</f>
        <v>20.75</v>
      </c>
      <c r="DD166" t="s">
        <v>3</v>
      </c>
      <c r="DE166" t="s">
        <v>3</v>
      </c>
      <c r="DF166">
        <f t="shared" si="75"/>
        <v>0</v>
      </c>
      <c r="DG166">
        <f>ROUND(ROUND(AF166,2)*CX166,2)</f>
        <v>1.73</v>
      </c>
      <c r="DH166">
        <f t="shared" si="56"/>
        <v>0.9</v>
      </c>
      <c r="DI166">
        <f t="shared" si="57"/>
        <v>0</v>
      </c>
      <c r="DJ166">
        <f>DG166+DH166</f>
        <v>2.63</v>
      </c>
      <c r="DK166">
        <v>1</v>
      </c>
      <c r="DL166" t="s">
        <v>567</v>
      </c>
      <c r="DM166">
        <v>5</v>
      </c>
      <c r="DN166" t="s">
        <v>449</v>
      </c>
      <c r="DO166">
        <v>1</v>
      </c>
    </row>
    <row r="167" spans="1:119" x14ac:dyDescent="0.2">
      <c r="A167">
        <f>ROW(Source!A147)</f>
        <v>147</v>
      </c>
      <c r="B167">
        <v>80308166</v>
      </c>
      <c r="C167">
        <v>80308834</v>
      </c>
      <c r="D167">
        <v>72976159</v>
      </c>
      <c r="E167">
        <v>1</v>
      </c>
      <c r="F167">
        <v>1</v>
      </c>
      <c r="G167">
        <v>1</v>
      </c>
      <c r="H167">
        <v>2</v>
      </c>
      <c r="I167" t="s">
        <v>452</v>
      </c>
      <c r="J167" t="s">
        <v>453</v>
      </c>
      <c r="K167" t="s">
        <v>454</v>
      </c>
      <c r="L167">
        <v>1368</v>
      </c>
      <c r="N167">
        <v>1011</v>
      </c>
      <c r="O167" t="s">
        <v>455</v>
      </c>
      <c r="P167" t="s">
        <v>455</v>
      </c>
      <c r="Q167">
        <v>1</v>
      </c>
      <c r="W167">
        <v>0</v>
      </c>
      <c r="X167">
        <v>-1152394969</v>
      </c>
      <c r="Y167">
        <f>(AT167*ROUND((1.25*2),7))</f>
        <v>2.5000000000000001E-2</v>
      </c>
      <c r="AA167">
        <v>0</v>
      </c>
      <c r="AB167">
        <v>643.29</v>
      </c>
      <c r="AC167">
        <v>722.05</v>
      </c>
      <c r="AD167">
        <v>0</v>
      </c>
      <c r="AE167">
        <v>0</v>
      </c>
      <c r="AF167">
        <v>643.29</v>
      </c>
      <c r="AG167">
        <v>722.05</v>
      </c>
      <c r="AH167">
        <v>0</v>
      </c>
      <c r="AI167">
        <v>1</v>
      </c>
      <c r="AJ167">
        <v>1</v>
      </c>
      <c r="AK167">
        <v>1</v>
      </c>
      <c r="AL167">
        <v>1</v>
      </c>
      <c r="AM167">
        <v>-2</v>
      </c>
      <c r="AN167">
        <v>0</v>
      </c>
      <c r="AO167">
        <v>0</v>
      </c>
      <c r="AP167">
        <v>1</v>
      </c>
      <c r="AQ167">
        <v>1</v>
      </c>
      <c r="AR167">
        <v>0</v>
      </c>
      <c r="AS167" t="s">
        <v>3</v>
      </c>
      <c r="AT167">
        <v>0.01</v>
      </c>
      <c r="AU167" t="s">
        <v>277</v>
      </c>
      <c r="AV167">
        <v>1</v>
      </c>
      <c r="AW167">
        <v>2</v>
      </c>
      <c r="AX167">
        <v>80308847</v>
      </c>
      <c r="AY167">
        <v>1</v>
      </c>
      <c r="AZ167">
        <v>0</v>
      </c>
      <c r="BA167">
        <v>163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6.4329000000000001</v>
      </c>
      <c r="BL167">
        <v>7.2204999999999995</v>
      </c>
      <c r="BM167">
        <v>0</v>
      </c>
      <c r="BN167">
        <v>0</v>
      </c>
      <c r="BO167">
        <v>0.01</v>
      </c>
      <c r="BP167">
        <v>1</v>
      </c>
      <c r="BQ167">
        <v>0</v>
      </c>
      <c r="BR167">
        <v>16.082249999999998</v>
      </c>
      <c r="BS167">
        <v>18.05125</v>
      </c>
      <c r="BT167">
        <v>0</v>
      </c>
      <c r="BU167">
        <v>0</v>
      </c>
      <c r="BV167">
        <v>2.5000000000000001E-2</v>
      </c>
      <c r="BW167">
        <v>1</v>
      </c>
      <c r="CV167">
        <v>0</v>
      </c>
      <c r="CW167">
        <f>ROUND(Y167*Source!I147*DO167,7)</f>
        <v>1.085E-3</v>
      </c>
      <c r="CX167">
        <f>ROUND(Y167*Source!I147,7)</f>
        <v>1.085E-3</v>
      </c>
      <c r="CY167">
        <f>AB167</f>
        <v>643.29</v>
      </c>
      <c r="CZ167">
        <f>AF167</f>
        <v>643.29</v>
      </c>
      <c r="DA167">
        <f>AJ167</f>
        <v>1</v>
      </c>
      <c r="DB167">
        <f>ROUND((ROUND(AT167*CZ167,2)*ROUND((1.25*2),7)),6)</f>
        <v>16.074999999999999</v>
      </c>
      <c r="DC167">
        <f>ROUND((ROUND(AT167*AG167,2)*ROUND((1.25*2),7)),6)</f>
        <v>18.05</v>
      </c>
      <c r="DD167" t="s">
        <v>3</v>
      </c>
      <c r="DE167" t="s">
        <v>3</v>
      </c>
      <c r="DF167">
        <f t="shared" si="75"/>
        <v>0</v>
      </c>
      <c r="DG167">
        <f>ROUND(ROUND(AF167,2)*CX167,2)</f>
        <v>0.7</v>
      </c>
      <c r="DH167">
        <f t="shared" si="56"/>
        <v>0.78</v>
      </c>
      <c r="DI167">
        <f t="shared" si="57"/>
        <v>0</v>
      </c>
      <c r="DJ167">
        <f>DG167+DH167</f>
        <v>1.48</v>
      </c>
      <c r="DK167">
        <v>1</v>
      </c>
      <c r="DL167" t="s">
        <v>456</v>
      </c>
      <c r="DM167">
        <v>4</v>
      </c>
      <c r="DN167" t="s">
        <v>449</v>
      </c>
      <c r="DO167">
        <v>1</v>
      </c>
    </row>
    <row r="168" spans="1:119" x14ac:dyDescent="0.2">
      <c r="A168">
        <f>ROW(Source!A147)</f>
        <v>147</v>
      </c>
      <c r="B168">
        <v>80308166</v>
      </c>
      <c r="C168">
        <v>80308834</v>
      </c>
      <c r="D168">
        <v>72976715</v>
      </c>
      <c r="E168">
        <v>1</v>
      </c>
      <c r="F168">
        <v>1</v>
      </c>
      <c r="G168">
        <v>1</v>
      </c>
      <c r="H168">
        <v>2</v>
      </c>
      <c r="I168" t="s">
        <v>568</v>
      </c>
      <c r="J168" t="s">
        <v>569</v>
      </c>
      <c r="K168" t="s">
        <v>570</v>
      </c>
      <c r="L168">
        <v>1368</v>
      </c>
      <c r="N168">
        <v>1011</v>
      </c>
      <c r="O168" t="s">
        <v>455</v>
      </c>
      <c r="P168" t="s">
        <v>455</v>
      </c>
      <c r="Q168">
        <v>1</v>
      </c>
      <c r="W168">
        <v>0</v>
      </c>
      <c r="X168">
        <v>1093807191</v>
      </c>
      <c r="Y168">
        <f>(AT168*ROUND((1.25*2),7))</f>
        <v>2.8000000000000003</v>
      </c>
      <c r="AA168">
        <v>0</v>
      </c>
      <c r="AB168">
        <v>5.83</v>
      </c>
      <c r="AC168">
        <v>0</v>
      </c>
      <c r="AD168">
        <v>0</v>
      </c>
      <c r="AE168">
        <v>0</v>
      </c>
      <c r="AF168">
        <v>4.5199999999999996</v>
      </c>
      <c r="AG168">
        <v>0</v>
      </c>
      <c r="AH168">
        <v>0</v>
      </c>
      <c r="AI168">
        <v>1</v>
      </c>
      <c r="AJ168">
        <v>1.29</v>
      </c>
      <c r="AK168">
        <v>1</v>
      </c>
      <c r="AL168">
        <v>1</v>
      </c>
      <c r="AM168">
        <v>2</v>
      </c>
      <c r="AN168">
        <v>0</v>
      </c>
      <c r="AO168">
        <v>0</v>
      </c>
      <c r="AP168">
        <v>1</v>
      </c>
      <c r="AQ168">
        <v>1</v>
      </c>
      <c r="AR168">
        <v>0</v>
      </c>
      <c r="AS168" t="s">
        <v>3</v>
      </c>
      <c r="AT168">
        <v>1.1200000000000001</v>
      </c>
      <c r="AU168" t="s">
        <v>277</v>
      </c>
      <c r="AV168">
        <v>1</v>
      </c>
      <c r="AW168">
        <v>2</v>
      </c>
      <c r="AX168">
        <v>80308848</v>
      </c>
      <c r="AY168">
        <v>1</v>
      </c>
      <c r="AZ168">
        <v>0</v>
      </c>
      <c r="BA168">
        <v>164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5.0624000000000002</v>
      </c>
      <c r="BL168">
        <v>0</v>
      </c>
      <c r="BM168">
        <v>0</v>
      </c>
      <c r="BN168">
        <v>0</v>
      </c>
      <c r="BO168">
        <v>0</v>
      </c>
      <c r="BP168">
        <v>1</v>
      </c>
      <c r="BQ168">
        <v>0</v>
      </c>
      <c r="BR168">
        <v>12.656000000000001</v>
      </c>
      <c r="BS168">
        <v>0</v>
      </c>
      <c r="BT168">
        <v>0</v>
      </c>
      <c r="BU168">
        <v>0</v>
      </c>
      <c r="BV168">
        <v>0</v>
      </c>
      <c r="BW168">
        <v>1</v>
      </c>
      <c r="CV168">
        <v>0</v>
      </c>
      <c r="CW168">
        <f>ROUND(Y168*Source!I147*DO168,7)</f>
        <v>0</v>
      </c>
      <c r="CX168">
        <f>ROUND(Y168*Source!I147,7)</f>
        <v>0.12152</v>
      </c>
      <c r="CY168">
        <f>AB168</f>
        <v>5.83</v>
      </c>
      <c r="CZ168">
        <f>AF168</f>
        <v>4.5199999999999996</v>
      </c>
      <c r="DA168">
        <f>AJ168</f>
        <v>1.29</v>
      </c>
      <c r="DB168">
        <f>ROUND((ROUND(AT168*CZ168,2)*ROUND((1.25*2),7)),6)</f>
        <v>12.65</v>
      </c>
      <c r="DC168">
        <f>ROUND((ROUND(AT168*AG168,2)*ROUND((1.25*2),7)),6)</f>
        <v>0</v>
      </c>
      <c r="DD168" t="s">
        <v>3</v>
      </c>
      <c r="DE168" t="s">
        <v>3</v>
      </c>
      <c r="DF168">
        <f t="shared" si="75"/>
        <v>0</v>
      </c>
      <c r="DG168">
        <f>ROUND(ROUND(AF168*AJ168,2)*CX168,2)</f>
        <v>0.71</v>
      </c>
      <c r="DH168">
        <f t="shared" si="56"/>
        <v>0</v>
      </c>
      <c r="DI168">
        <f t="shared" si="57"/>
        <v>0</v>
      </c>
      <c r="DJ168">
        <f>DG168+DH168</f>
        <v>0.71</v>
      </c>
      <c r="DK168">
        <v>0</v>
      </c>
      <c r="DL168" t="s">
        <v>3</v>
      </c>
      <c r="DM168">
        <v>0</v>
      </c>
      <c r="DN168" t="s">
        <v>3</v>
      </c>
      <c r="DO168">
        <v>0</v>
      </c>
    </row>
    <row r="169" spans="1:119" x14ac:dyDescent="0.2">
      <c r="A169">
        <f>ROW(Source!A147)</f>
        <v>147</v>
      </c>
      <c r="B169">
        <v>80308166</v>
      </c>
      <c r="C169">
        <v>80308834</v>
      </c>
      <c r="D169">
        <v>72941413</v>
      </c>
      <c r="E169">
        <v>1</v>
      </c>
      <c r="F169">
        <v>1</v>
      </c>
      <c r="G169">
        <v>1</v>
      </c>
      <c r="H169">
        <v>3</v>
      </c>
      <c r="I169" t="s">
        <v>571</v>
      </c>
      <c r="J169" t="s">
        <v>572</v>
      </c>
      <c r="K169" t="s">
        <v>573</v>
      </c>
      <c r="L169">
        <v>1348</v>
      </c>
      <c r="N169">
        <v>1009</v>
      </c>
      <c r="O169" t="s">
        <v>35</v>
      </c>
      <c r="P169" t="s">
        <v>35</v>
      </c>
      <c r="Q169">
        <v>1000</v>
      </c>
      <c r="W169">
        <v>0</v>
      </c>
      <c r="X169">
        <v>588404598</v>
      </c>
      <c r="Y169">
        <f>(AT169*ROUND(2,7))</f>
        <v>1.7999999999999999E-2</v>
      </c>
      <c r="AA169">
        <v>78971.429999999993</v>
      </c>
      <c r="AB169">
        <v>0</v>
      </c>
      <c r="AC169">
        <v>0</v>
      </c>
      <c r="AD169">
        <v>0</v>
      </c>
      <c r="AE169">
        <v>51280.15</v>
      </c>
      <c r="AF169">
        <v>0</v>
      </c>
      <c r="AG169">
        <v>0</v>
      </c>
      <c r="AH169">
        <v>0</v>
      </c>
      <c r="AI169">
        <v>1.54</v>
      </c>
      <c r="AJ169">
        <v>1</v>
      </c>
      <c r="AK169">
        <v>1</v>
      </c>
      <c r="AL169">
        <v>1</v>
      </c>
      <c r="AM169">
        <v>2</v>
      </c>
      <c r="AN169">
        <v>0</v>
      </c>
      <c r="AO169">
        <v>0</v>
      </c>
      <c r="AP169">
        <v>1</v>
      </c>
      <c r="AQ169">
        <v>1</v>
      </c>
      <c r="AR169">
        <v>0</v>
      </c>
      <c r="AS169" t="s">
        <v>3</v>
      </c>
      <c r="AT169">
        <v>8.9999999999999993E-3</v>
      </c>
      <c r="AU169" t="s">
        <v>276</v>
      </c>
      <c r="AV169">
        <v>0</v>
      </c>
      <c r="AW169">
        <v>2</v>
      </c>
      <c r="AX169">
        <v>80308849</v>
      </c>
      <c r="AY169">
        <v>1</v>
      </c>
      <c r="AZ169">
        <v>0</v>
      </c>
      <c r="BA169">
        <v>165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461.52134999999998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1</v>
      </c>
      <c r="BQ169">
        <v>923.04269999999997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1</v>
      </c>
      <c r="CV169">
        <v>0</v>
      </c>
      <c r="CW169">
        <v>0</v>
      </c>
      <c r="CX169">
        <f>ROUND(Y169*Source!I147,7)</f>
        <v>7.8120000000000002E-4</v>
      </c>
      <c r="CY169">
        <f>AA169</f>
        <v>78971.429999999993</v>
      </c>
      <c r="CZ169">
        <f>AE169</f>
        <v>51280.15</v>
      </c>
      <c r="DA169">
        <f>AI169</f>
        <v>1.54</v>
      </c>
      <c r="DB169">
        <f>ROUND((ROUND(AT169*CZ169,2)*ROUND(2,7)),6)</f>
        <v>923.04</v>
      </c>
      <c r="DC169">
        <f>ROUND((ROUND(AT169*AG169,2)*ROUND(2,7)),6)</f>
        <v>0</v>
      </c>
      <c r="DD169" t="s">
        <v>3</v>
      </c>
      <c r="DE169" t="s">
        <v>3</v>
      </c>
      <c r="DF169">
        <f>ROUND(ROUND(AE169*AI169,2)*CX169,2)</f>
        <v>61.69</v>
      </c>
      <c r="DG169">
        <f>ROUND(ROUND(AF169,2)*CX169,2)</f>
        <v>0</v>
      </c>
      <c r="DH169">
        <f t="shared" si="56"/>
        <v>0</v>
      </c>
      <c r="DI169">
        <f t="shared" si="57"/>
        <v>0</v>
      </c>
      <c r="DJ169">
        <f>DF169</f>
        <v>61.69</v>
      </c>
      <c r="DK169">
        <v>0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ROW(Source!A147)</f>
        <v>147</v>
      </c>
      <c r="B170">
        <v>80308166</v>
      </c>
      <c r="C170">
        <v>80308834</v>
      </c>
      <c r="D170">
        <v>72941884</v>
      </c>
      <c r="E170">
        <v>1</v>
      </c>
      <c r="F170">
        <v>1</v>
      </c>
      <c r="G170">
        <v>1</v>
      </c>
      <c r="H170">
        <v>3</v>
      </c>
      <c r="I170" t="s">
        <v>574</v>
      </c>
      <c r="J170" t="s">
        <v>575</v>
      </c>
      <c r="K170" t="s">
        <v>576</v>
      </c>
      <c r="L170">
        <v>1348</v>
      </c>
      <c r="N170">
        <v>1009</v>
      </c>
      <c r="O170" t="s">
        <v>35</v>
      </c>
      <c r="P170" t="s">
        <v>35</v>
      </c>
      <c r="Q170">
        <v>1000</v>
      </c>
      <c r="W170">
        <v>0</v>
      </c>
      <c r="X170">
        <v>-1034502300</v>
      </c>
      <c r="Y170">
        <f>(AT170*ROUND(2,7))</f>
        <v>3.0000000000000001E-3</v>
      </c>
      <c r="AA170">
        <v>109275.31</v>
      </c>
      <c r="AB170">
        <v>0</v>
      </c>
      <c r="AC170">
        <v>0</v>
      </c>
      <c r="AD170">
        <v>0</v>
      </c>
      <c r="AE170">
        <v>75885.63</v>
      </c>
      <c r="AF170">
        <v>0</v>
      </c>
      <c r="AG170">
        <v>0</v>
      </c>
      <c r="AH170">
        <v>0</v>
      </c>
      <c r="AI170">
        <v>1.44</v>
      </c>
      <c r="AJ170">
        <v>1</v>
      </c>
      <c r="AK170">
        <v>1</v>
      </c>
      <c r="AL170">
        <v>1</v>
      </c>
      <c r="AM170">
        <v>2</v>
      </c>
      <c r="AN170">
        <v>0</v>
      </c>
      <c r="AO170">
        <v>0</v>
      </c>
      <c r="AP170">
        <v>1</v>
      </c>
      <c r="AQ170">
        <v>1</v>
      </c>
      <c r="AR170">
        <v>0</v>
      </c>
      <c r="AS170" t="s">
        <v>3</v>
      </c>
      <c r="AT170">
        <v>1.5E-3</v>
      </c>
      <c r="AU170" t="s">
        <v>276</v>
      </c>
      <c r="AV170">
        <v>0</v>
      </c>
      <c r="AW170">
        <v>2</v>
      </c>
      <c r="AX170">
        <v>80308850</v>
      </c>
      <c r="AY170">
        <v>1</v>
      </c>
      <c r="AZ170">
        <v>0</v>
      </c>
      <c r="BA170">
        <v>166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113.82844500000002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</v>
      </c>
      <c r="BQ170">
        <v>227.65689000000003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1</v>
      </c>
      <c r="CV170">
        <v>0</v>
      </c>
      <c r="CW170">
        <v>0</v>
      </c>
      <c r="CX170">
        <f>ROUND(Y170*Source!I147,7)</f>
        <v>1.3019999999999999E-4</v>
      </c>
      <c r="CY170">
        <f>AA170</f>
        <v>109275.31</v>
      </c>
      <c r="CZ170">
        <f>AE170</f>
        <v>75885.63</v>
      </c>
      <c r="DA170">
        <f>AI170</f>
        <v>1.44</v>
      </c>
      <c r="DB170">
        <f>ROUND((ROUND(AT170*CZ170,2)*ROUND(2,7)),6)</f>
        <v>227.66</v>
      </c>
      <c r="DC170">
        <f>ROUND((ROUND(AT170*AG170,2)*ROUND(2,7)),6)</f>
        <v>0</v>
      </c>
      <c r="DD170" t="s">
        <v>3</v>
      </c>
      <c r="DE170" t="s">
        <v>3</v>
      </c>
      <c r="DF170">
        <f>ROUND(ROUND(AE170*AI170,2)*CX170,2)</f>
        <v>14.23</v>
      </c>
      <c r="DG170">
        <f>ROUND(ROUND(AF170,2)*CX170,2)</f>
        <v>0</v>
      </c>
      <c r="DH170">
        <f t="shared" si="56"/>
        <v>0</v>
      </c>
      <c r="DI170">
        <f t="shared" si="57"/>
        <v>0</v>
      </c>
      <c r="DJ170">
        <f>DF170</f>
        <v>14.23</v>
      </c>
      <c r="DK170">
        <v>0</v>
      </c>
      <c r="DL170" t="s">
        <v>3</v>
      </c>
      <c r="DM170">
        <v>0</v>
      </c>
      <c r="DN170" t="s">
        <v>3</v>
      </c>
      <c r="DO170">
        <v>0</v>
      </c>
    </row>
    <row r="171" spans="1:119" x14ac:dyDescent="0.2">
      <c r="A171">
        <f>ROW(Source!A148)</f>
        <v>148</v>
      </c>
      <c r="B171">
        <v>80308166</v>
      </c>
      <c r="C171">
        <v>80308851</v>
      </c>
      <c r="D171">
        <v>72850633</v>
      </c>
      <c r="E171">
        <v>114</v>
      </c>
      <c r="F171">
        <v>1</v>
      </c>
      <c r="G171">
        <v>1</v>
      </c>
      <c r="H171">
        <v>1</v>
      </c>
      <c r="I171" t="s">
        <v>577</v>
      </c>
      <c r="J171" t="s">
        <v>3</v>
      </c>
      <c r="K171" t="s">
        <v>578</v>
      </c>
      <c r="L171">
        <v>1191</v>
      </c>
      <c r="N171">
        <v>1013</v>
      </c>
      <c r="O171" t="s">
        <v>449</v>
      </c>
      <c r="P171" t="s">
        <v>449</v>
      </c>
      <c r="Q171">
        <v>1</v>
      </c>
      <c r="W171">
        <v>0</v>
      </c>
      <c r="X171">
        <v>32079103</v>
      </c>
      <c r="Y171">
        <f>(AT171*ROUND(1.15,7))</f>
        <v>42.434999999999995</v>
      </c>
      <c r="AA171">
        <v>0</v>
      </c>
      <c r="AB171">
        <v>0</v>
      </c>
      <c r="AC171">
        <v>0</v>
      </c>
      <c r="AD171">
        <v>665.47</v>
      </c>
      <c r="AE171">
        <v>0</v>
      </c>
      <c r="AF171">
        <v>0</v>
      </c>
      <c r="AG171">
        <v>0</v>
      </c>
      <c r="AH171">
        <v>665.47</v>
      </c>
      <c r="AI171">
        <v>1</v>
      </c>
      <c r="AJ171">
        <v>1</v>
      </c>
      <c r="AK171">
        <v>1</v>
      </c>
      <c r="AL171">
        <v>1</v>
      </c>
      <c r="AM171">
        <v>-2</v>
      </c>
      <c r="AN171">
        <v>0</v>
      </c>
      <c r="AO171">
        <v>0</v>
      </c>
      <c r="AP171">
        <v>1</v>
      </c>
      <c r="AQ171">
        <v>1</v>
      </c>
      <c r="AR171">
        <v>0</v>
      </c>
      <c r="AS171" t="s">
        <v>3</v>
      </c>
      <c r="AT171">
        <v>36.9</v>
      </c>
      <c r="AU171" t="s">
        <v>49</v>
      </c>
      <c r="AV171">
        <v>1</v>
      </c>
      <c r="AW171">
        <v>2</v>
      </c>
      <c r="AX171">
        <v>80308859</v>
      </c>
      <c r="AY171">
        <v>1</v>
      </c>
      <c r="AZ171">
        <v>0</v>
      </c>
      <c r="BA171">
        <v>167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24555.843000000001</v>
      </c>
      <c r="BN171">
        <v>36.9</v>
      </c>
      <c r="BO171">
        <v>0</v>
      </c>
      <c r="BP171">
        <v>1</v>
      </c>
      <c r="BQ171">
        <v>0</v>
      </c>
      <c r="BR171">
        <v>0</v>
      </c>
      <c r="BS171">
        <v>0</v>
      </c>
      <c r="BT171">
        <v>28239.219449999997</v>
      </c>
      <c r="BU171">
        <v>42.434999999999995</v>
      </c>
      <c r="BV171">
        <v>0</v>
      </c>
      <c r="BW171">
        <v>1</v>
      </c>
      <c r="CU171">
        <f>ROUND(AT171*Source!I148*AH171*AL171,2)</f>
        <v>1065.72</v>
      </c>
      <c r="CV171">
        <f>ROUND(Y171*Source!I148,7)</f>
        <v>1.8416790000000001</v>
      </c>
      <c r="CW171">
        <v>0</v>
      </c>
      <c r="CX171">
        <f>ROUND(Y171*Source!I148,7)</f>
        <v>1.8416790000000001</v>
      </c>
      <c r="CY171">
        <f>AD171</f>
        <v>665.47</v>
      </c>
      <c r="CZ171">
        <f>AH171</f>
        <v>665.47</v>
      </c>
      <c r="DA171">
        <f>AL171</f>
        <v>1</v>
      </c>
      <c r="DB171">
        <f>ROUND((ROUND(AT171*CZ171,2)*ROUND(1.15,7)),6)</f>
        <v>28239.216</v>
      </c>
      <c r="DC171">
        <f>ROUND((ROUND(AT171*AG171,2)*ROUND(1.15,7)),6)</f>
        <v>0</v>
      </c>
      <c r="DD171" t="s">
        <v>3</v>
      </c>
      <c r="DE171" t="s">
        <v>3</v>
      </c>
      <c r="DF171">
        <f>ROUND(ROUND(AE171,2)*CX171,2)</f>
        <v>0</v>
      </c>
      <c r="DG171">
        <f>ROUND(ROUND(AF171,2)*CX171,2)</f>
        <v>0</v>
      </c>
      <c r="DH171">
        <f t="shared" si="56"/>
        <v>0</v>
      </c>
      <c r="DI171">
        <f t="shared" si="57"/>
        <v>1225.58</v>
      </c>
      <c r="DJ171">
        <f>DI171</f>
        <v>1225.58</v>
      </c>
      <c r="DK171">
        <v>1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ROW(Source!A148)</f>
        <v>148</v>
      </c>
      <c r="B172">
        <v>80308166</v>
      </c>
      <c r="C172">
        <v>80308851</v>
      </c>
      <c r="D172">
        <v>72850822</v>
      </c>
      <c r="E172">
        <v>114</v>
      </c>
      <c r="F172">
        <v>1</v>
      </c>
      <c r="G172">
        <v>1</v>
      </c>
      <c r="H172">
        <v>1</v>
      </c>
      <c r="I172" t="s">
        <v>450</v>
      </c>
      <c r="J172" t="s">
        <v>3</v>
      </c>
      <c r="K172" t="s">
        <v>451</v>
      </c>
      <c r="L172">
        <v>1191</v>
      </c>
      <c r="N172">
        <v>1013</v>
      </c>
      <c r="O172" t="s">
        <v>449</v>
      </c>
      <c r="P172" t="s">
        <v>449</v>
      </c>
      <c r="Q172">
        <v>1</v>
      </c>
      <c r="W172">
        <v>0</v>
      </c>
      <c r="X172">
        <v>-1417349443</v>
      </c>
      <c r="Y172">
        <f>(AT172*ROUND(1.25,7))</f>
        <v>0.05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M172">
        <v>-2</v>
      </c>
      <c r="AN172">
        <v>0</v>
      </c>
      <c r="AO172">
        <v>0</v>
      </c>
      <c r="AP172">
        <v>1</v>
      </c>
      <c r="AQ172">
        <v>1</v>
      </c>
      <c r="AR172">
        <v>0</v>
      </c>
      <c r="AS172" t="s">
        <v>3</v>
      </c>
      <c r="AT172">
        <v>0.04</v>
      </c>
      <c r="AU172" t="s">
        <v>48</v>
      </c>
      <c r="AV172">
        <v>2</v>
      </c>
      <c r="AW172">
        <v>2</v>
      </c>
      <c r="AX172">
        <v>80308860</v>
      </c>
      <c r="AY172">
        <v>1</v>
      </c>
      <c r="AZ172">
        <v>0</v>
      </c>
      <c r="BA172">
        <v>168</v>
      </c>
      <c r="BB172">
        <v>1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V172">
        <v>0</v>
      </c>
      <c r="CW172">
        <v>0</v>
      </c>
      <c r="CX172">
        <f>ROUND(Y172*Source!I148,7)</f>
        <v>2.1700000000000001E-3</v>
      </c>
      <c r="CY172">
        <f>AD172</f>
        <v>0</v>
      </c>
      <c r="CZ172">
        <f>AH172</f>
        <v>0</v>
      </c>
      <c r="DA172">
        <f>AL172</f>
        <v>1</v>
      </c>
      <c r="DB172">
        <f>ROUND((ROUND(AT172*CZ172,2)*ROUND(1.25,7)),6)</f>
        <v>0</v>
      </c>
      <c r="DC172">
        <f>ROUND((ROUND(AT172*AG172,2)*ROUND(1.25,7)),6)</f>
        <v>0</v>
      </c>
      <c r="DD172" t="s">
        <v>3</v>
      </c>
      <c r="DE172" t="s">
        <v>3</v>
      </c>
      <c r="DF172">
        <f>ROUND(ROUND(AE172,2)*CX172,2)</f>
        <v>0</v>
      </c>
      <c r="DG172">
        <f>ROUND(ROUND(AF172,2)*CX172,2)</f>
        <v>0</v>
      </c>
      <c r="DH172">
        <f t="shared" si="56"/>
        <v>0</v>
      </c>
      <c r="DI172">
        <f t="shared" si="57"/>
        <v>0</v>
      </c>
      <c r="DJ172">
        <f>DI172</f>
        <v>0</v>
      </c>
      <c r="DK172">
        <v>0</v>
      </c>
      <c r="DL172" t="s">
        <v>3</v>
      </c>
      <c r="DM172">
        <v>0</v>
      </c>
      <c r="DN172" t="s">
        <v>3</v>
      </c>
      <c r="DO172">
        <v>0</v>
      </c>
    </row>
    <row r="173" spans="1:119" x14ac:dyDescent="0.2">
      <c r="A173">
        <f>ROW(Source!A148)</f>
        <v>148</v>
      </c>
      <c r="B173">
        <v>80308166</v>
      </c>
      <c r="C173">
        <v>80308851</v>
      </c>
      <c r="D173">
        <v>72975454</v>
      </c>
      <c r="E173">
        <v>1</v>
      </c>
      <c r="F173">
        <v>1</v>
      </c>
      <c r="G173">
        <v>1</v>
      </c>
      <c r="H173">
        <v>2</v>
      </c>
      <c r="I173" t="s">
        <v>466</v>
      </c>
      <c r="J173" t="s">
        <v>467</v>
      </c>
      <c r="K173" t="s">
        <v>468</v>
      </c>
      <c r="L173">
        <v>1368</v>
      </c>
      <c r="N173">
        <v>1011</v>
      </c>
      <c r="O173" t="s">
        <v>455</v>
      </c>
      <c r="P173" t="s">
        <v>455</v>
      </c>
      <c r="Q173">
        <v>1</v>
      </c>
      <c r="W173">
        <v>0</v>
      </c>
      <c r="X173">
        <v>-92307625</v>
      </c>
      <c r="Y173">
        <f>(AT173*ROUND(1.25,7))</f>
        <v>1.2500000000000001E-2</v>
      </c>
      <c r="AA173">
        <v>0</v>
      </c>
      <c r="AB173">
        <v>57.47</v>
      </c>
      <c r="AC173">
        <v>641.22</v>
      </c>
      <c r="AD173">
        <v>0</v>
      </c>
      <c r="AE173">
        <v>0</v>
      </c>
      <c r="AF173">
        <v>37.32</v>
      </c>
      <c r="AG173">
        <v>641.22</v>
      </c>
      <c r="AH173">
        <v>0</v>
      </c>
      <c r="AI173">
        <v>1</v>
      </c>
      <c r="AJ173">
        <v>1.54</v>
      </c>
      <c r="AK173">
        <v>1</v>
      </c>
      <c r="AL173">
        <v>1</v>
      </c>
      <c r="AM173">
        <v>2</v>
      </c>
      <c r="AN173">
        <v>0</v>
      </c>
      <c r="AO173">
        <v>0</v>
      </c>
      <c r="AP173">
        <v>1</v>
      </c>
      <c r="AQ173">
        <v>1</v>
      </c>
      <c r="AR173">
        <v>0</v>
      </c>
      <c r="AS173" t="s">
        <v>3</v>
      </c>
      <c r="AT173">
        <v>0.01</v>
      </c>
      <c r="AU173" t="s">
        <v>48</v>
      </c>
      <c r="AV173">
        <v>1</v>
      </c>
      <c r="AW173">
        <v>2</v>
      </c>
      <c r="AX173">
        <v>80308861</v>
      </c>
      <c r="AY173">
        <v>1</v>
      </c>
      <c r="AZ173">
        <v>0</v>
      </c>
      <c r="BA173">
        <v>169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0.37320000000000003</v>
      </c>
      <c r="BL173">
        <v>6.4122000000000003</v>
      </c>
      <c r="BM173">
        <v>0</v>
      </c>
      <c r="BN173">
        <v>0</v>
      </c>
      <c r="BO173">
        <v>0.01</v>
      </c>
      <c r="BP173">
        <v>1</v>
      </c>
      <c r="BQ173">
        <v>0</v>
      </c>
      <c r="BR173">
        <v>0.46650000000000003</v>
      </c>
      <c r="BS173">
        <v>8.01525</v>
      </c>
      <c r="BT173">
        <v>0</v>
      </c>
      <c r="BU173">
        <v>0</v>
      </c>
      <c r="BV173">
        <v>1.2500000000000001E-2</v>
      </c>
      <c r="BW173">
        <v>1</v>
      </c>
      <c r="CV173">
        <v>0</v>
      </c>
      <c r="CW173">
        <f>ROUND(Y173*Source!I148*DO173,7)</f>
        <v>5.4250000000000001E-4</v>
      </c>
      <c r="CX173">
        <f>ROUND(Y173*Source!I148,7)</f>
        <v>5.4250000000000001E-4</v>
      </c>
      <c r="CY173">
        <f>AB173</f>
        <v>57.47</v>
      </c>
      <c r="CZ173">
        <f>AF173</f>
        <v>37.32</v>
      </c>
      <c r="DA173">
        <f>AJ173</f>
        <v>1.54</v>
      </c>
      <c r="DB173">
        <f>ROUND((ROUND(AT173*CZ173,2)*ROUND(1.25,7)),6)</f>
        <v>0.46250000000000002</v>
      </c>
      <c r="DC173">
        <f>ROUND((ROUND(AT173*AG173,2)*ROUND(1.25,7)),6)</f>
        <v>8.0124999999999993</v>
      </c>
      <c r="DD173" t="s">
        <v>3</v>
      </c>
      <c r="DE173" t="s">
        <v>3</v>
      </c>
      <c r="DF173">
        <f>ROUND(ROUND(AE173,2)*CX173,2)</f>
        <v>0</v>
      </c>
      <c r="DG173">
        <f>ROUND(ROUND(AF173*AJ173,2)*CX173,2)</f>
        <v>0.03</v>
      </c>
      <c r="DH173">
        <f t="shared" si="56"/>
        <v>0.35</v>
      </c>
      <c r="DI173">
        <f t="shared" si="57"/>
        <v>0</v>
      </c>
      <c r="DJ173">
        <f>DG173+DH173</f>
        <v>0.38</v>
      </c>
      <c r="DK173">
        <v>0</v>
      </c>
      <c r="DL173" t="s">
        <v>469</v>
      </c>
      <c r="DM173">
        <v>3</v>
      </c>
      <c r="DN173" t="s">
        <v>449</v>
      </c>
      <c r="DO173">
        <v>1</v>
      </c>
    </row>
    <row r="174" spans="1:119" x14ac:dyDescent="0.2">
      <c r="A174">
        <f>ROW(Source!A148)</f>
        <v>148</v>
      </c>
      <c r="B174">
        <v>80308166</v>
      </c>
      <c r="C174">
        <v>80308851</v>
      </c>
      <c r="D174">
        <v>72976159</v>
      </c>
      <c r="E174">
        <v>1</v>
      </c>
      <c r="F174">
        <v>1</v>
      </c>
      <c r="G174">
        <v>1</v>
      </c>
      <c r="H174">
        <v>2</v>
      </c>
      <c r="I174" t="s">
        <v>452</v>
      </c>
      <c r="J174" t="s">
        <v>453</v>
      </c>
      <c r="K174" t="s">
        <v>454</v>
      </c>
      <c r="L174">
        <v>1368</v>
      </c>
      <c r="N174">
        <v>1011</v>
      </c>
      <c r="O174" t="s">
        <v>455</v>
      </c>
      <c r="P174" t="s">
        <v>455</v>
      </c>
      <c r="Q174">
        <v>1</v>
      </c>
      <c r="W174">
        <v>0</v>
      </c>
      <c r="X174">
        <v>-1152394969</v>
      </c>
      <c r="Y174">
        <f>(AT174*ROUND(1.25,7))</f>
        <v>3.7499999999999999E-2</v>
      </c>
      <c r="AA174">
        <v>0</v>
      </c>
      <c r="AB174">
        <v>643.29</v>
      </c>
      <c r="AC174">
        <v>722.05</v>
      </c>
      <c r="AD174">
        <v>0</v>
      </c>
      <c r="AE174">
        <v>0</v>
      </c>
      <c r="AF174">
        <v>643.29</v>
      </c>
      <c r="AG174">
        <v>722.05</v>
      </c>
      <c r="AH174">
        <v>0</v>
      </c>
      <c r="AI174">
        <v>1</v>
      </c>
      <c r="AJ174">
        <v>1</v>
      </c>
      <c r="AK174">
        <v>1</v>
      </c>
      <c r="AL174">
        <v>1</v>
      </c>
      <c r="AM174">
        <v>-2</v>
      </c>
      <c r="AN174">
        <v>0</v>
      </c>
      <c r="AO174">
        <v>0</v>
      </c>
      <c r="AP174">
        <v>1</v>
      </c>
      <c r="AQ174">
        <v>1</v>
      </c>
      <c r="AR174">
        <v>0</v>
      </c>
      <c r="AS174" t="s">
        <v>3</v>
      </c>
      <c r="AT174">
        <v>0.03</v>
      </c>
      <c r="AU174" t="s">
        <v>48</v>
      </c>
      <c r="AV174">
        <v>1</v>
      </c>
      <c r="AW174">
        <v>2</v>
      </c>
      <c r="AX174">
        <v>80308862</v>
      </c>
      <c r="AY174">
        <v>1</v>
      </c>
      <c r="AZ174">
        <v>0</v>
      </c>
      <c r="BA174">
        <v>170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19.298699999999997</v>
      </c>
      <c r="BL174">
        <v>21.661499999999997</v>
      </c>
      <c r="BM174">
        <v>0</v>
      </c>
      <c r="BN174">
        <v>0</v>
      </c>
      <c r="BO174">
        <v>0.03</v>
      </c>
      <c r="BP174">
        <v>1</v>
      </c>
      <c r="BQ174">
        <v>0</v>
      </c>
      <c r="BR174">
        <v>24.123374999999999</v>
      </c>
      <c r="BS174">
        <v>27.076874999999998</v>
      </c>
      <c r="BT174">
        <v>0</v>
      </c>
      <c r="BU174">
        <v>0</v>
      </c>
      <c r="BV174">
        <v>3.7499999999999999E-2</v>
      </c>
      <c r="BW174">
        <v>1</v>
      </c>
      <c r="CV174">
        <v>0</v>
      </c>
      <c r="CW174">
        <f>ROUND(Y174*Source!I148*DO174,7)</f>
        <v>1.6275E-3</v>
      </c>
      <c r="CX174">
        <f>ROUND(Y174*Source!I148,7)</f>
        <v>1.6275E-3</v>
      </c>
      <c r="CY174">
        <f>AB174</f>
        <v>643.29</v>
      </c>
      <c r="CZ174">
        <f>AF174</f>
        <v>643.29</v>
      </c>
      <c r="DA174">
        <f>AJ174</f>
        <v>1</v>
      </c>
      <c r="DB174">
        <f>ROUND((ROUND(AT174*CZ174,2)*ROUND(1.25,7)),6)</f>
        <v>24.125</v>
      </c>
      <c r="DC174">
        <f>ROUND((ROUND(AT174*AG174,2)*ROUND(1.25,7)),6)</f>
        <v>27.074999999999999</v>
      </c>
      <c r="DD174" t="s">
        <v>3</v>
      </c>
      <c r="DE174" t="s">
        <v>3</v>
      </c>
      <c r="DF174">
        <f>ROUND(ROUND(AE174,2)*CX174,2)</f>
        <v>0</v>
      </c>
      <c r="DG174">
        <f t="shared" ref="DG174:DG181" si="76">ROUND(ROUND(AF174,2)*CX174,2)</f>
        <v>1.05</v>
      </c>
      <c r="DH174">
        <f t="shared" si="56"/>
        <v>1.18</v>
      </c>
      <c r="DI174">
        <f t="shared" si="57"/>
        <v>0</v>
      </c>
      <c r="DJ174">
        <f>DG174+DH174</f>
        <v>2.23</v>
      </c>
      <c r="DK174">
        <v>1</v>
      </c>
      <c r="DL174" t="s">
        <v>456</v>
      </c>
      <c r="DM174">
        <v>4</v>
      </c>
      <c r="DN174" t="s">
        <v>449</v>
      </c>
      <c r="DO174">
        <v>1</v>
      </c>
    </row>
    <row r="175" spans="1:119" x14ac:dyDescent="0.2">
      <c r="A175">
        <f>ROW(Source!A148)</f>
        <v>148</v>
      </c>
      <c r="B175">
        <v>80308166</v>
      </c>
      <c r="C175">
        <v>80308851</v>
      </c>
      <c r="D175">
        <v>72924971</v>
      </c>
      <c r="E175">
        <v>1</v>
      </c>
      <c r="F175">
        <v>1</v>
      </c>
      <c r="G175">
        <v>1</v>
      </c>
      <c r="H175">
        <v>3</v>
      </c>
      <c r="I175" t="s">
        <v>579</v>
      </c>
      <c r="J175" t="s">
        <v>580</v>
      </c>
      <c r="K175" t="s">
        <v>581</v>
      </c>
      <c r="L175">
        <v>1346</v>
      </c>
      <c r="N175">
        <v>1009</v>
      </c>
      <c r="O175" t="s">
        <v>295</v>
      </c>
      <c r="P175" t="s">
        <v>295</v>
      </c>
      <c r="Q175">
        <v>1</v>
      </c>
      <c r="W175">
        <v>0</v>
      </c>
      <c r="X175">
        <v>-130701290</v>
      </c>
      <c r="Y175">
        <f>AT175</f>
        <v>0.3</v>
      </c>
      <c r="AA175">
        <v>86.41</v>
      </c>
      <c r="AB175">
        <v>0</v>
      </c>
      <c r="AC175">
        <v>0</v>
      </c>
      <c r="AD175">
        <v>0</v>
      </c>
      <c r="AE175">
        <v>56.11</v>
      </c>
      <c r="AF175">
        <v>0</v>
      </c>
      <c r="AG175">
        <v>0</v>
      </c>
      <c r="AH175">
        <v>0</v>
      </c>
      <c r="AI175">
        <v>1.54</v>
      </c>
      <c r="AJ175">
        <v>1</v>
      </c>
      <c r="AK175">
        <v>1</v>
      </c>
      <c r="AL175">
        <v>1</v>
      </c>
      <c r="AM175">
        <v>2</v>
      </c>
      <c r="AN175">
        <v>0</v>
      </c>
      <c r="AO175">
        <v>0</v>
      </c>
      <c r="AP175">
        <v>1</v>
      </c>
      <c r="AQ175">
        <v>1</v>
      </c>
      <c r="AR175">
        <v>0</v>
      </c>
      <c r="AS175" t="s">
        <v>3</v>
      </c>
      <c r="AT175">
        <v>0.3</v>
      </c>
      <c r="AU175" t="s">
        <v>3</v>
      </c>
      <c r="AV175">
        <v>0</v>
      </c>
      <c r="AW175">
        <v>2</v>
      </c>
      <c r="AX175">
        <v>80308863</v>
      </c>
      <c r="AY175">
        <v>1</v>
      </c>
      <c r="AZ175">
        <v>0</v>
      </c>
      <c r="BA175">
        <v>171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16.832999999999998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16.832999999999998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</v>
      </c>
      <c r="CV175">
        <v>0</v>
      </c>
      <c r="CW175">
        <v>0</v>
      </c>
      <c r="CX175">
        <f>ROUND(Y175*Source!I148,7)</f>
        <v>1.302E-2</v>
      </c>
      <c r="CY175">
        <f>AA175</f>
        <v>86.41</v>
      </c>
      <c r="CZ175">
        <f>AE175</f>
        <v>56.11</v>
      </c>
      <c r="DA175">
        <f>AI175</f>
        <v>1.54</v>
      </c>
      <c r="DB175">
        <f>ROUND(ROUND(AT175*CZ175,2),6)</f>
        <v>16.829999999999998</v>
      </c>
      <c r="DC175">
        <f>ROUND(ROUND(AT175*AG175,2),6)</f>
        <v>0</v>
      </c>
      <c r="DD175" t="s">
        <v>3</v>
      </c>
      <c r="DE175" t="s">
        <v>3</v>
      </c>
      <c r="DF175">
        <f>ROUND(ROUND(AE175*AI175,2)*CX175,2)</f>
        <v>1.1299999999999999</v>
      </c>
      <c r="DG175">
        <f t="shared" si="76"/>
        <v>0</v>
      </c>
      <c r="DH175">
        <f t="shared" si="56"/>
        <v>0</v>
      </c>
      <c r="DI175">
        <f t="shared" si="57"/>
        <v>0</v>
      </c>
      <c r="DJ175">
        <f>DF175</f>
        <v>1.1299999999999999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ROW(Source!A148)</f>
        <v>148</v>
      </c>
      <c r="B176">
        <v>80308166</v>
      </c>
      <c r="C176">
        <v>80308851</v>
      </c>
      <c r="D176">
        <v>77516798</v>
      </c>
      <c r="E176">
        <v>1</v>
      </c>
      <c r="F176">
        <v>1</v>
      </c>
      <c r="G176">
        <v>1</v>
      </c>
      <c r="H176">
        <v>3</v>
      </c>
      <c r="I176" t="s">
        <v>293</v>
      </c>
      <c r="J176" t="s">
        <v>296</v>
      </c>
      <c r="K176" t="s">
        <v>294</v>
      </c>
      <c r="L176">
        <v>1346</v>
      </c>
      <c r="N176">
        <v>1009</v>
      </c>
      <c r="O176" t="s">
        <v>295</v>
      </c>
      <c r="P176" t="s">
        <v>295</v>
      </c>
      <c r="Q176">
        <v>1</v>
      </c>
      <c r="W176">
        <v>0</v>
      </c>
      <c r="X176">
        <v>1612743121</v>
      </c>
      <c r="Y176">
        <f>AT176</f>
        <v>24.6</v>
      </c>
      <c r="AA176">
        <v>86.55</v>
      </c>
      <c r="AB176">
        <v>0</v>
      </c>
      <c r="AC176">
        <v>0</v>
      </c>
      <c r="AD176">
        <v>0</v>
      </c>
      <c r="AE176">
        <v>61.82</v>
      </c>
      <c r="AF176">
        <v>0</v>
      </c>
      <c r="AG176">
        <v>0</v>
      </c>
      <c r="AH176">
        <v>0</v>
      </c>
      <c r="AI176">
        <v>1.4</v>
      </c>
      <c r="AJ176">
        <v>1</v>
      </c>
      <c r="AK176">
        <v>1</v>
      </c>
      <c r="AL176">
        <v>1</v>
      </c>
      <c r="AM176">
        <v>2</v>
      </c>
      <c r="AN176">
        <v>0</v>
      </c>
      <c r="AO176">
        <v>0</v>
      </c>
      <c r="AP176">
        <v>1</v>
      </c>
      <c r="AQ176">
        <v>0</v>
      </c>
      <c r="AR176">
        <v>0</v>
      </c>
      <c r="AS176" t="s">
        <v>3</v>
      </c>
      <c r="AT176">
        <v>24.6</v>
      </c>
      <c r="AU176" t="s">
        <v>3</v>
      </c>
      <c r="AV176">
        <v>0</v>
      </c>
      <c r="AW176">
        <v>1</v>
      </c>
      <c r="AX176">
        <v>-1</v>
      </c>
      <c r="AY176">
        <v>0</v>
      </c>
      <c r="AZ176">
        <v>0</v>
      </c>
      <c r="BA176" t="s">
        <v>3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V176">
        <v>0</v>
      </c>
      <c r="CW176">
        <v>0</v>
      </c>
      <c r="CX176">
        <f>ROUND(Y176*Source!I148,7)</f>
        <v>1.0676399999999999</v>
      </c>
      <c r="CY176">
        <f>AA176</f>
        <v>86.55</v>
      </c>
      <c r="CZ176">
        <f>AE176</f>
        <v>61.82</v>
      </c>
      <c r="DA176">
        <f>AI176</f>
        <v>1.4</v>
      </c>
      <c r="DB176">
        <f>ROUND(ROUND(AT176*CZ176,2),6)</f>
        <v>1520.77</v>
      </c>
      <c r="DC176">
        <f>ROUND(ROUND(AT176*AG176,2),6)</f>
        <v>0</v>
      </c>
      <c r="DD176" t="s">
        <v>3</v>
      </c>
      <c r="DE176" t="s">
        <v>3</v>
      </c>
      <c r="DF176">
        <f>ROUND(ROUND(AE176*AI176,2)*CX176,2)</f>
        <v>92.4</v>
      </c>
      <c r="DG176">
        <f t="shared" si="76"/>
        <v>0</v>
      </c>
      <c r="DH176">
        <f t="shared" si="56"/>
        <v>0</v>
      </c>
      <c r="DI176">
        <f t="shared" si="57"/>
        <v>0</v>
      </c>
      <c r="DJ176">
        <f>DF176</f>
        <v>92.4</v>
      </c>
      <c r="DK176">
        <v>0</v>
      </c>
      <c r="DL176" t="s">
        <v>3</v>
      </c>
      <c r="DM176">
        <v>0</v>
      </c>
      <c r="DN176" t="s">
        <v>3</v>
      </c>
      <c r="DO176">
        <v>0</v>
      </c>
    </row>
    <row r="177" spans="1:119" x14ac:dyDescent="0.2">
      <c r="A177">
        <f>ROW(Source!A148)</f>
        <v>148</v>
      </c>
      <c r="B177">
        <v>80308166</v>
      </c>
      <c r="C177">
        <v>80308851</v>
      </c>
      <c r="D177">
        <v>72941801</v>
      </c>
      <c r="E177">
        <v>1</v>
      </c>
      <c r="F177">
        <v>1</v>
      </c>
      <c r="G177">
        <v>1</v>
      </c>
      <c r="H177">
        <v>3</v>
      </c>
      <c r="I177" t="s">
        <v>582</v>
      </c>
      <c r="J177" t="s">
        <v>583</v>
      </c>
      <c r="K177" t="s">
        <v>584</v>
      </c>
      <c r="L177">
        <v>1346</v>
      </c>
      <c r="N177">
        <v>1009</v>
      </c>
      <c r="O177" t="s">
        <v>295</v>
      </c>
      <c r="P177" t="s">
        <v>295</v>
      </c>
      <c r="Q177">
        <v>1</v>
      </c>
      <c r="W177">
        <v>0</v>
      </c>
      <c r="X177">
        <v>-1144447854</v>
      </c>
      <c r="Y177">
        <f>AT177</f>
        <v>2.7</v>
      </c>
      <c r="AA177">
        <v>159.97</v>
      </c>
      <c r="AB177">
        <v>0</v>
      </c>
      <c r="AC177">
        <v>0</v>
      </c>
      <c r="AD177">
        <v>0</v>
      </c>
      <c r="AE177">
        <v>133.31</v>
      </c>
      <c r="AF177">
        <v>0</v>
      </c>
      <c r="AG177">
        <v>0</v>
      </c>
      <c r="AH177">
        <v>0</v>
      </c>
      <c r="AI177">
        <v>1.2</v>
      </c>
      <c r="AJ177">
        <v>1</v>
      </c>
      <c r="AK177">
        <v>1</v>
      </c>
      <c r="AL177">
        <v>1</v>
      </c>
      <c r="AM177">
        <v>2</v>
      </c>
      <c r="AN177">
        <v>0</v>
      </c>
      <c r="AO177">
        <v>0</v>
      </c>
      <c r="AP177">
        <v>1</v>
      </c>
      <c r="AQ177">
        <v>1</v>
      </c>
      <c r="AR177">
        <v>0</v>
      </c>
      <c r="AS177" t="s">
        <v>3</v>
      </c>
      <c r="AT177">
        <v>2.7</v>
      </c>
      <c r="AU177" t="s">
        <v>3</v>
      </c>
      <c r="AV177">
        <v>0</v>
      </c>
      <c r="AW177">
        <v>2</v>
      </c>
      <c r="AX177">
        <v>80308865</v>
      </c>
      <c r="AY177">
        <v>1</v>
      </c>
      <c r="AZ177">
        <v>0</v>
      </c>
      <c r="BA177">
        <v>173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359.93700000000001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1</v>
      </c>
      <c r="BQ177">
        <v>359.93700000000001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1</v>
      </c>
      <c r="CV177">
        <v>0</v>
      </c>
      <c r="CW177">
        <v>0</v>
      </c>
      <c r="CX177">
        <f>ROUND(Y177*Source!I148,7)</f>
        <v>0.11718000000000001</v>
      </c>
      <c r="CY177">
        <f>AA177</f>
        <v>159.97</v>
      </c>
      <c r="CZ177">
        <f>AE177</f>
        <v>133.31</v>
      </c>
      <c r="DA177">
        <f>AI177</f>
        <v>1.2</v>
      </c>
      <c r="DB177">
        <f>ROUND(ROUND(AT177*CZ177,2),6)</f>
        <v>359.94</v>
      </c>
      <c r="DC177">
        <f>ROUND(ROUND(AT177*AG177,2),6)</f>
        <v>0</v>
      </c>
      <c r="DD177" t="s">
        <v>3</v>
      </c>
      <c r="DE177" t="s">
        <v>3</v>
      </c>
      <c r="DF177">
        <f>ROUND(ROUND(AE177*AI177,2)*CX177,2)</f>
        <v>18.75</v>
      </c>
      <c r="DG177">
        <f t="shared" si="76"/>
        <v>0</v>
      </c>
      <c r="DH177">
        <f t="shared" si="56"/>
        <v>0</v>
      </c>
      <c r="DI177">
        <f t="shared" si="57"/>
        <v>0</v>
      </c>
      <c r="DJ177">
        <f>DF177</f>
        <v>18.75</v>
      </c>
      <c r="DK177">
        <v>0</v>
      </c>
      <c r="DL177" t="s">
        <v>3</v>
      </c>
      <c r="DM177">
        <v>0</v>
      </c>
      <c r="DN177" t="s">
        <v>3</v>
      </c>
      <c r="DO177">
        <v>0</v>
      </c>
    </row>
    <row r="178" spans="1:119" x14ac:dyDescent="0.2">
      <c r="A178">
        <f>ROW(Source!A150)</f>
        <v>150</v>
      </c>
      <c r="B178">
        <v>80308166</v>
      </c>
      <c r="C178">
        <v>80308867</v>
      </c>
      <c r="D178">
        <v>72850617</v>
      </c>
      <c r="E178">
        <v>114</v>
      </c>
      <c r="F178">
        <v>1</v>
      </c>
      <c r="G178">
        <v>1</v>
      </c>
      <c r="H178">
        <v>1</v>
      </c>
      <c r="I178" t="s">
        <v>585</v>
      </c>
      <c r="J178" t="s">
        <v>3</v>
      </c>
      <c r="K178" t="s">
        <v>586</v>
      </c>
      <c r="L178">
        <v>1191</v>
      </c>
      <c r="N178">
        <v>1013</v>
      </c>
      <c r="O178" t="s">
        <v>449</v>
      </c>
      <c r="P178" t="s">
        <v>449</v>
      </c>
      <c r="Q178">
        <v>1</v>
      </c>
      <c r="W178">
        <v>0</v>
      </c>
      <c r="X178">
        <v>1682852000</v>
      </c>
      <c r="Y178">
        <f>AT178</f>
        <v>19.100000000000001</v>
      </c>
      <c r="AA178">
        <v>0</v>
      </c>
      <c r="AB178">
        <v>0</v>
      </c>
      <c r="AC178">
        <v>0</v>
      </c>
      <c r="AD178">
        <v>625.04999999999995</v>
      </c>
      <c r="AE178">
        <v>0</v>
      </c>
      <c r="AF178">
        <v>0</v>
      </c>
      <c r="AG178">
        <v>0</v>
      </c>
      <c r="AH178">
        <v>625.04999999999995</v>
      </c>
      <c r="AI178">
        <v>1</v>
      </c>
      <c r="AJ178">
        <v>1</v>
      </c>
      <c r="AK178">
        <v>1</v>
      </c>
      <c r="AL178">
        <v>1</v>
      </c>
      <c r="AM178">
        <v>-2</v>
      </c>
      <c r="AN178">
        <v>0</v>
      </c>
      <c r="AO178">
        <v>0</v>
      </c>
      <c r="AP178">
        <v>1</v>
      </c>
      <c r="AQ178">
        <v>1</v>
      </c>
      <c r="AR178">
        <v>0</v>
      </c>
      <c r="AS178" t="s">
        <v>3</v>
      </c>
      <c r="AT178">
        <v>19.100000000000001</v>
      </c>
      <c r="AU178" t="s">
        <v>3</v>
      </c>
      <c r="AV178">
        <v>1</v>
      </c>
      <c r="AW178">
        <v>2</v>
      </c>
      <c r="AX178">
        <v>80308869</v>
      </c>
      <c r="AY178">
        <v>1</v>
      </c>
      <c r="AZ178">
        <v>0</v>
      </c>
      <c r="BA178">
        <v>174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11938.455</v>
      </c>
      <c r="BN178">
        <v>19.100000000000001</v>
      </c>
      <c r="BO178">
        <v>0</v>
      </c>
      <c r="BP178">
        <v>1</v>
      </c>
      <c r="BQ178">
        <v>0</v>
      </c>
      <c r="BR178">
        <v>0</v>
      </c>
      <c r="BS178">
        <v>0</v>
      </c>
      <c r="BT178">
        <v>11938.455</v>
      </c>
      <c r="BU178">
        <v>19.100000000000001</v>
      </c>
      <c r="BV178">
        <v>0</v>
      </c>
      <c r="BW178">
        <v>1</v>
      </c>
      <c r="CU178">
        <f>ROUND(AT178*Source!I150*AH178*AL178,2)</f>
        <v>337.86</v>
      </c>
      <c r="CV178">
        <f>ROUND(Y178*Source!I150,7)</f>
        <v>0.54052999999999995</v>
      </c>
      <c r="CW178">
        <v>0</v>
      </c>
      <c r="CX178">
        <f>ROUND(Y178*Source!I150,7)</f>
        <v>0.54052999999999995</v>
      </c>
      <c r="CY178">
        <f>AD178</f>
        <v>625.04999999999995</v>
      </c>
      <c r="CZ178">
        <f>AH178</f>
        <v>625.04999999999995</v>
      </c>
      <c r="DA178">
        <f>AL178</f>
        <v>1</v>
      </c>
      <c r="DB178">
        <f>ROUND(ROUND(AT178*CZ178,2),6)</f>
        <v>11938.46</v>
      </c>
      <c r="DC178">
        <f>ROUND(ROUND(AT178*AG178,2),6)</f>
        <v>0</v>
      </c>
      <c r="DD178" t="s">
        <v>3</v>
      </c>
      <c r="DE178" t="s">
        <v>3</v>
      </c>
      <c r="DF178">
        <f>ROUND(ROUND(AE178,2)*CX178,2)</f>
        <v>0</v>
      </c>
      <c r="DG178">
        <f t="shared" si="76"/>
        <v>0</v>
      </c>
      <c r="DH178">
        <f t="shared" si="56"/>
        <v>0</v>
      </c>
      <c r="DI178">
        <f t="shared" si="57"/>
        <v>337.86</v>
      </c>
      <c r="DJ178">
        <f>DI178</f>
        <v>337.86</v>
      </c>
      <c r="DK178">
        <v>1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ROW(Source!A151)</f>
        <v>151</v>
      </c>
      <c r="B179">
        <v>80308166</v>
      </c>
      <c r="C179">
        <v>80308870</v>
      </c>
      <c r="D179">
        <v>72850639</v>
      </c>
      <c r="E179">
        <v>114</v>
      </c>
      <c r="F179">
        <v>1</v>
      </c>
      <c r="G179">
        <v>1</v>
      </c>
      <c r="H179">
        <v>1</v>
      </c>
      <c r="I179" t="s">
        <v>587</v>
      </c>
      <c r="J179" t="s">
        <v>3</v>
      </c>
      <c r="K179" t="s">
        <v>588</v>
      </c>
      <c r="L179">
        <v>1191</v>
      </c>
      <c r="N179">
        <v>1013</v>
      </c>
      <c r="O179" t="s">
        <v>449</v>
      </c>
      <c r="P179" t="s">
        <v>449</v>
      </c>
      <c r="Q179">
        <v>1</v>
      </c>
      <c r="W179">
        <v>0</v>
      </c>
      <c r="X179">
        <v>1733635447</v>
      </c>
      <c r="Y179">
        <f>(AT179*ROUND(1.15,7))</f>
        <v>21.217499999999998</v>
      </c>
      <c r="AA179">
        <v>0</v>
      </c>
      <c r="AB179">
        <v>0</v>
      </c>
      <c r="AC179">
        <v>0</v>
      </c>
      <c r="AD179">
        <v>689.72</v>
      </c>
      <c r="AE179">
        <v>0</v>
      </c>
      <c r="AF179">
        <v>0</v>
      </c>
      <c r="AG179">
        <v>0</v>
      </c>
      <c r="AH179">
        <v>689.72</v>
      </c>
      <c r="AI179">
        <v>1</v>
      </c>
      <c r="AJ179">
        <v>1</v>
      </c>
      <c r="AK179">
        <v>1</v>
      </c>
      <c r="AL179">
        <v>1</v>
      </c>
      <c r="AM179">
        <v>-2</v>
      </c>
      <c r="AN179">
        <v>0</v>
      </c>
      <c r="AO179">
        <v>0</v>
      </c>
      <c r="AP179">
        <v>1</v>
      </c>
      <c r="AQ179">
        <v>1</v>
      </c>
      <c r="AR179">
        <v>0</v>
      </c>
      <c r="AS179" t="s">
        <v>3</v>
      </c>
      <c r="AT179">
        <v>18.45</v>
      </c>
      <c r="AU179" t="s">
        <v>49</v>
      </c>
      <c r="AV179">
        <v>1</v>
      </c>
      <c r="AW179">
        <v>2</v>
      </c>
      <c r="AX179">
        <v>80308881</v>
      </c>
      <c r="AY179">
        <v>1</v>
      </c>
      <c r="AZ179">
        <v>0</v>
      </c>
      <c r="BA179">
        <v>175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12725.334000000001</v>
      </c>
      <c r="BN179">
        <v>18.45</v>
      </c>
      <c r="BO179">
        <v>0</v>
      </c>
      <c r="BP179">
        <v>1</v>
      </c>
      <c r="BQ179">
        <v>0</v>
      </c>
      <c r="BR179">
        <v>0</v>
      </c>
      <c r="BS179">
        <v>0</v>
      </c>
      <c r="BT179">
        <v>14634.134099999999</v>
      </c>
      <c r="BU179">
        <v>21.217499999999998</v>
      </c>
      <c r="BV179">
        <v>0</v>
      </c>
      <c r="BW179">
        <v>1</v>
      </c>
      <c r="CU179">
        <f>ROUND(AT179*Source!I151*AH179*AL179,2)</f>
        <v>1399.79</v>
      </c>
      <c r="CV179">
        <f>ROUND(Y179*Source!I151,7)</f>
        <v>2.3339249999999998</v>
      </c>
      <c r="CW179">
        <v>0</v>
      </c>
      <c r="CX179">
        <f>ROUND(Y179*Source!I151,7)</f>
        <v>2.3339249999999998</v>
      </c>
      <c r="CY179">
        <f>AD179</f>
        <v>689.72</v>
      </c>
      <c r="CZ179">
        <f>AH179</f>
        <v>689.72</v>
      </c>
      <c r="DA179">
        <f>AL179</f>
        <v>1</v>
      </c>
      <c r="DB179">
        <f>ROUND((ROUND(AT179*CZ179,2)*ROUND(1.15,7)),6)</f>
        <v>14634.129499999999</v>
      </c>
      <c r="DC179">
        <f>ROUND((ROUND(AT179*AG179,2)*ROUND(1.15,7)),6)</f>
        <v>0</v>
      </c>
      <c r="DD179" t="s">
        <v>3</v>
      </c>
      <c r="DE179" t="s">
        <v>3</v>
      </c>
      <c r="DF179">
        <f>ROUND(ROUND(AE179,2)*CX179,2)</f>
        <v>0</v>
      </c>
      <c r="DG179">
        <f t="shared" si="76"/>
        <v>0</v>
      </c>
      <c r="DH179">
        <f t="shared" si="56"/>
        <v>0</v>
      </c>
      <c r="DI179">
        <f t="shared" si="57"/>
        <v>1609.75</v>
      </c>
      <c r="DJ179">
        <f>DI179</f>
        <v>1609.75</v>
      </c>
      <c r="DK179">
        <v>1</v>
      </c>
      <c r="DL179" t="s">
        <v>3</v>
      </c>
      <c r="DM179">
        <v>0</v>
      </c>
      <c r="DN179" t="s">
        <v>3</v>
      </c>
      <c r="DO179">
        <v>0</v>
      </c>
    </row>
    <row r="180" spans="1:119" x14ac:dyDescent="0.2">
      <c r="A180">
        <f>ROW(Source!A151)</f>
        <v>151</v>
      </c>
      <c r="B180">
        <v>80308166</v>
      </c>
      <c r="C180">
        <v>80308870</v>
      </c>
      <c r="D180">
        <v>72850822</v>
      </c>
      <c r="E180">
        <v>114</v>
      </c>
      <c r="F180">
        <v>1</v>
      </c>
      <c r="G180">
        <v>1</v>
      </c>
      <c r="H180">
        <v>1</v>
      </c>
      <c r="I180" t="s">
        <v>450</v>
      </c>
      <c r="J180" t="s">
        <v>3</v>
      </c>
      <c r="K180" t="s">
        <v>451</v>
      </c>
      <c r="L180">
        <v>1191</v>
      </c>
      <c r="N180">
        <v>1013</v>
      </c>
      <c r="O180" t="s">
        <v>449</v>
      </c>
      <c r="P180" t="s">
        <v>449</v>
      </c>
      <c r="Q180">
        <v>1</v>
      </c>
      <c r="W180">
        <v>0</v>
      </c>
      <c r="X180">
        <v>-1417349443</v>
      </c>
      <c r="Y180">
        <f>(AT180*ROUND(1.25,7))</f>
        <v>0.46250000000000002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M180">
        <v>-2</v>
      </c>
      <c r="AN180">
        <v>0</v>
      </c>
      <c r="AO180">
        <v>0</v>
      </c>
      <c r="AP180">
        <v>1</v>
      </c>
      <c r="AQ180">
        <v>1</v>
      </c>
      <c r="AR180">
        <v>0</v>
      </c>
      <c r="AS180" t="s">
        <v>3</v>
      </c>
      <c r="AT180">
        <v>0.37</v>
      </c>
      <c r="AU180" t="s">
        <v>48</v>
      </c>
      <c r="AV180">
        <v>2</v>
      </c>
      <c r="AW180">
        <v>2</v>
      </c>
      <c r="AX180">
        <v>80308882</v>
      </c>
      <c r="AY180">
        <v>1</v>
      </c>
      <c r="AZ180">
        <v>0</v>
      </c>
      <c r="BA180">
        <v>176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V180">
        <v>0</v>
      </c>
      <c r="CW180">
        <v>0</v>
      </c>
      <c r="CX180">
        <f>ROUND(Y180*Source!I151,7)</f>
        <v>5.0874999999999997E-2</v>
      </c>
      <c r="CY180">
        <f>AD180</f>
        <v>0</v>
      </c>
      <c r="CZ180">
        <f>AH180</f>
        <v>0</v>
      </c>
      <c r="DA180">
        <f>AL180</f>
        <v>1</v>
      </c>
      <c r="DB180">
        <f>ROUND((ROUND(AT180*CZ180,2)*ROUND(1.25,7)),6)</f>
        <v>0</v>
      </c>
      <c r="DC180">
        <f>ROUND((ROUND(AT180*AG180,2)*ROUND(1.25,7)),6)</f>
        <v>0</v>
      </c>
      <c r="DD180" t="s">
        <v>3</v>
      </c>
      <c r="DE180" t="s">
        <v>3</v>
      </c>
      <c r="DF180">
        <f>ROUND(ROUND(AE180,2)*CX180,2)</f>
        <v>0</v>
      </c>
      <c r="DG180">
        <f t="shared" si="76"/>
        <v>0</v>
      </c>
      <c r="DH180">
        <f t="shared" si="56"/>
        <v>0</v>
      </c>
      <c r="DI180">
        <f t="shared" si="57"/>
        <v>0</v>
      </c>
      <c r="DJ180">
        <f>DI180</f>
        <v>0</v>
      </c>
      <c r="DK180">
        <v>0</v>
      </c>
      <c r="DL180" t="s">
        <v>3</v>
      </c>
      <c r="DM180">
        <v>0</v>
      </c>
      <c r="DN180" t="s">
        <v>3</v>
      </c>
      <c r="DO180">
        <v>0</v>
      </c>
    </row>
    <row r="181" spans="1:119" x14ac:dyDescent="0.2">
      <c r="A181">
        <f>ROW(Source!A151)</f>
        <v>151</v>
      </c>
      <c r="B181">
        <v>80308166</v>
      </c>
      <c r="C181">
        <v>80308870</v>
      </c>
      <c r="D181">
        <v>72976159</v>
      </c>
      <c r="E181">
        <v>1</v>
      </c>
      <c r="F181">
        <v>1</v>
      </c>
      <c r="G181">
        <v>1</v>
      </c>
      <c r="H181">
        <v>2</v>
      </c>
      <c r="I181" t="s">
        <v>452</v>
      </c>
      <c r="J181" t="s">
        <v>453</v>
      </c>
      <c r="K181" t="s">
        <v>454</v>
      </c>
      <c r="L181">
        <v>1368</v>
      </c>
      <c r="N181">
        <v>1011</v>
      </c>
      <c r="O181" t="s">
        <v>455</v>
      </c>
      <c r="P181" t="s">
        <v>455</v>
      </c>
      <c r="Q181">
        <v>1</v>
      </c>
      <c r="W181">
        <v>0</v>
      </c>
      <c r="X181">
        <v>-1152394969</v>
      </c>
      <c r="Y181">
        <f>(AT181*ROUND(1.25,7))</f>
        <v>0.46250000000000002</v>
      </c>
      <c r="AA181">
        <v>0</v>
      </c>
      <c r="AB181">
        <v>643.29</v>
      </c>
      <c r="AC181">
        <v>722.05</v>
      </c>
      <c r="AD181">
        <v>0</v>
      </c>
      <c r="AE181">
        <v>0</v>
      </c>
      <c r="AF181">
        <v>643.29</v>
      </c>
      <c r="AG181">
        <v>722.05</v>
      </c>
      <c r="AH181">
        <v>0</v>
      </c>
      <c r="AI181">
        <v>1</v>
      </c>
      <c r="AJ181">
        <v>1</v>
      </c>
      <c r="AK181">
        <v>1</v>
      </c>
      <c r="AL181">
        <v>1</v>
      </c>
      <c r="AM181">
        <v>-2</v>
      </c>
      <c r="AN181">
        <v>0</v>
      </c>
      <c r="AO181">
        <v>0</v>
      </c>
      <c r="AP181">
        <v>1</v>
      </c>
      <c r="AQ181">
        <v>1</v>
      </c>
      <c r="AR181">
        <v>0</v>
      </c>
      <c r="AS181" t="s">
        <v>3</v>
      </c>
      <c r="AT181">
        <v>0.37</v>
      </c>
      <c r="AU181" t="s">
        <v>48</v>
      </c>
      <c r="AV181">
        <v>1</v>
      </c>
      <c r="AW181">
        <v>2</v>
      </c>
      <c r="AX181">
        <v>80308883</v>
      </c>
      <c r="AY181">
        <v>1</v>
      </c>
      <c r="AZ181">
        <v>0</v>
      </c>
      <c r="BA181">
        <v>177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238.01729999999998</v>
      </c>
      <c r="BL181">
        <v>267.1585</v>
      </c>
      <c r="BM181">
        <v>0</v>
      </c>
      <c r="BN181">
        <v>0</v>
      </c>
      <c r="BO181">
        <v>0.37</v>
      </c>
      <c r="BP181">
        <v>1</v>
      </c>
      <c r="BQ181">
        <v>0</v>
      </c>
      <c r="BR181">
        <v>297.52162499999997</v>
      </c>
      <c r="BS181">
        <v>333.948125</v>
      </c>
      <c r="BT181">
        <v>0</v>
      </c>
      <c r="BU181">
        <v>0</v>
      </c>
      <c r="BV181">
        <v>0.46250000000000002</v>
      </c>
      <c r="BW181">
        <v>1</v>
      </c>
      <c r="CV181">
        <v>0</v>
      </c>
      <c r="CW181">
        <f>ROUND(Y181*Source!I151*DO181,7)</f>
        <v>5.0874999999999997E-2</v>
      </c>
      <c r="CX181">
        <f>ROUND(Y181*Source!I151,7)</f>
        <v>5.0874999999999997E-2</v>
      </c>
      <c r="CY181">
        <f>AB181</f>
        <v>643.29</v>
      </c>
      <c r="CZ181">
        <f>AF181</f>
        <v>643.29</v>
      </c>
      <c r="DA181">
        <f>AJ181</f>
        <v>1</v>
      </c>
      <c r="DB181">
        <f>ROUND((ROUND(AT181*CZ181,2)*ROUND(1.25,7)),6)</f>
        <v>297.52499999999998</v>
      </c>
      <c r="DC181">
        <f>ROUND((ROUND(AT181*AG181,2)*ROUND(1.25,7)),6)</f>
        <v>333.95</v>
      </c>
      <c r="DD181" t="s">
        <v>3</v>
      </c>
      <c r="DE181" t="s">
        <v>3</v>
      </c>
      <c r="DF181">
        <f>ROUND(ROUND(AE181,2)*CX181,2)</f>
        <v>0</v>
      </c>
      <c r="DG181">
        <f t="shared" si="76"/>
        <v>32.729999999999997</v>
      </c>
      <c r="DH181">
        <f t="shared" si="56"/>
        <v>36.729999999999997</v>
      </c>
      <c r="DI181">
        <f t="shared" si="57"/>
        <v>0</v>
      </c>
      <c r="DJ181">
        <f>DG181+DH181</f>
        <v>69.459999999999994</v>
      </c>
      <c r="DK181">
        <v>1</v>
      </c>
      <c r="DL181" t="s">
        <v>456</v>
      </c>
      <c r="DM181">
        <v>4</v>
      </c>
      <c r="DN181" t="s">
        <v>449</v>
      </c>
      <c r="DO181">
        <v>1</v>
      </c>
    </row>
    <row r="182" spans="1:119" x14ac:dyDescent="0.2">
      <c r="A182">
        <f>ROW(Source!A151)</f>
        <v>151</v>
      </c>
      <c r="B182">
        <v>80308166</v>
      </c>
      <c r="C182">
        <v>80308870</v>
      </c>
      <c r="D182">
        <v>72976908</v>
      </c>
      <c r="E182">
        <v>1</v>
      </c>
      <c r="F182">
        <v>1</v>
      </c>
      <c r="G182">
        <v>1</v>
      </c>
      <c r="H182">
        <v>2</v>
      </c>
      <c r="I182" t="s">
        <v>589</v>
      </c>
      <c r="J182" t="s">
        <v>590</v>
      </c>
      <c r="K182" t="s">
        <v>591</v>
      </c>
      <c r="L182">
        <v>1368</v>
      </c>
      <c r="N182">
        <v>1011</v>
      </c>
      <c r="O182" t="s">
        <v>455</v>
      </c>
      <c r="P182" t="s">
        <v>455</v>
      </c>
      <c r="Q182">
        <v>1</v>
      </c>
      <c r="W182">
        <v>0</v>
      </c>
      <c r="X182">
        <v>210516533</v>
      </c>
      <c r="Y182">
        <f>(AT182*ROUND(1.25,7))</f>
        <v>1.4749999999999999</v>
      </c>
      <c r="AA182">
        <v>0</v>
      </c>
      <c r="AB182">
        <v>31.02</v>
      </c>
      <c r="AC182">
        <v>0</v>
      </c>
      <c r="AD182">
        <v>0</v>
      </c>
      <c r="AE182">
        <v>0</v>
      </c>
      <c r="AF182">
        <v>21.39</v>
      </c>
      <c r="AG182">
        <v>0</v>
      </c>
      <c r="AH182">
        <v>0</v>
      </c>
      <c r="AI182">
        <v>1</v>
      </c>
      <c r="AJ182">
        <v>1.45</v>
      </c>
      <c r="AK182">
        <v>1</v>
      </c>
      <c r="AL182">
        <v>1</v>
      </c>
      <c r="AM182">
        <v>2</v>
      </c>
      <c r="AN182">
        <v>0</v>
      </c>
      <c r="AO182">
        <v>0</v>
      </c>
      <c r="AP182">
        <v>1</v>
      </c>
      <c r="AQ182">
        <v>1</v>
      </c>
      <c r="AR182">
        <v>0</v>
      </c>
      <c r="AS182" t="s">
        <v>3</v>
      </c>
      <c r="AT182">
        <v>1.18</v>
      </c>
      <c r="AU182" t="s">
        <v>48</v>
      </c>
      <c r="AV182">
        <v>1</v>
      </c>
      <c r="AW182">
        <v>2</v>
      </c>
      <c r="AX182">
        <v>80308884</v>
      </c>
      <c r="AY182">
        <v>1</v>
      </c>
      <c r="AZ182">
        <v>0</v>
      </c>
      <c r="BA182">
        <v>178</v>
      </c>
      <c r="BB182">
        <v>1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25.240199999999998</v>
      </c>
      <c r="BL182">
        <v>0</v>
      </c>
      <c r="BM182">
        <v>0</v>
      </c>
      <c r="BN182">
        <v>0</v>
      </c>
      <c r="BO182">
        <v>0</v>
      </c>
      <c r="BP182">
        <v>1</v>
      </c>
      <c r="BQ182">
        <v>0</v>
      </c>
      <c r="BR182">
        <v>31.550249999999998</v>
      </c>
      <c r="BS182">
        <v>0</v>
      </c>
      <c r="BT182">
        <v>0</v>
      </c>
      <c r="BU182">
        <v>0</v>
      </c>
      <c r="BV182">
        <v>0</v>
      </c>
      <c r="BW182">
        <v>1</v>
      </c>
      <c r="CV182">
        <v>0</v>
      </c>
      <c r="CW182">
        <f>ROUND(Y182*Source!I151*DO182,7)</f>
        <v>0</v>
      </c>
      <c r="CX182">
        <f>ROUND(Y182*Source!I151,7)</f>
        <v>0.16225000000000001</v>
      </c>
      <c r="CY182">
        <f>AB182</f>
        <v>31.02</v>
      </c>
      <c r="CZ182">
        <f>AF182</f>
        <v>21.39</v>
      </c>
      <c r="DA182">
        <f>AJ182</f>
        <v>1.45</v>
      </c>
      <c r="DB182">
        <f>ROUND((ROUND(AT182*CZ182,2)*ROUND(1.25,7)),6)</f>
        <v>31.55</v>
      </c>
      <c r="DC182">
        <f>ROUND((ROUND(AT182*AG182,2)*ROUND(1.25,7)),6)</f>
        <v>0</v>
      </c>
      <c r="DD182" t="s">
        <v>3</v>
      </c>
      <c r="DE182" t="s">
        <v>3</v>
      </c>
      <c r="DF182">
        <f>ROUND(ROUND(AE182,2)*CX182,2)</f>
        <v>0</v>
      </c>
      <c r="DG182">
        <f>ROUND(ROUND(AF182*AJ182,2)*CX182,2)</f>
        <v>5.03</v>
      </c>
      <c r="DH182">
        <f t="shared" si="56"/>
        <v>0</v>
      </c>
      <c r="DI182">
        <f t="shared" si="57"/>
        <v>0</v>
      </c>
      <c r="DJ182">
        <f>DG182+DH182</f>
        <v>5.03</v>
      </c>
      <c r="DK182">
        <v>0</v>
      </c>
      <c r="DL182" t="s">
        <v>3</v>
      </c>
      <c r="DM182">
        <v>0</v>
      </c>
      <c r="DN182" t="s">
        <v>3</v>
      </c>
      <c r="DO182">
        <v>0</v>
      </c>
    </row>
    <row r="183" spans="1:119" x14ac:dyDescent="0.2">
      <c r="A183">
        <f>ROW(Source!A151)</f>
        <v>151</v>
      </c>
      <c r="B183">
        <v>80308166</v>
      </c>
      <c r="C183">
        <v>80308870</v>
      </c>
      <c r="D183">
        <v>72924208</v>
      </c>
      <c r="E183">
        <v>1</v>
      </c>
      <c r="F183">
        <v>1</v>
      </c>
      <c r="G183">
        <v>1</v>
      </c>
      <c r="H183">
        <v>3</v>
      </c>
      <c r="I183" t="s">
        <v>592</v>
      </c>
      <c r="J183" t="s">
        <v>593</v>
      </c>
      <c r="K183" t="s">
        <v>594</v>
      </c>
      <c r="L183">
        <v>1348</v>
      </c>
      <c r="N183">
        <v>1009</v>
      </c>
      <c r="O183" t="s">
        <v>35</v>
      </c>
      <c r="P183" t="s">
        <v>35</v>
      </c>
      <c r="Q183">
        <v>1000</v>
      </c>
      <c r="W183">
        <v>0</v>
      </c>
      <c r="X183">
        <v>-1182618281</v>
      </c>
      <c r="Y183">
        <f t="shared" ref="Y183:Y189" si="77">AT183</f>
        <v>4.0000000000000003E-5</v>
      </c>
      <c r="AA183">
        <v>339547.93</v>
      </c>
      <c r="AB183">
        <v>0</v>
      </c>
      <c r="AC183">
        <v>0</v>
      </c>
      <c r="AD183">
        <v>0</v>
      </c>
      <c r="AE183">
        <v>263215.45</v>
      </c>
      <c r="AF183">
        <v>0</v>
      </c>
      <c r="AG183">
        <v>0</v>
      </c>
      <c r="AH183">
        <v>0</v>
      </c>
      <c r="AI183">
        <v>1.29</v>
      </c>
      <c r="AJ183">
        <v>1</v>
      </c>
      <c r="AK183">
        <v>1</v>
      </c>
      <c r="AL183">
        <v>1</v>
      </c>
      <c r="AM183">
        <v>2</v>
      </c>
      <c r="AN183">
        <v>0</v>
      </c>
      <c r="AO183">
        <v>0</v>
      </c>
      <c r="AP183">
        <v>1</v>
      </c>
      <c r="AQ183">
        <v>1</v>
      </c>
      <c r="AR183">
        <v>0</v>
      </c>
      <c r="AS183" t="s">
        <v>3</v>
      </c>
      <c r="AT183">
        <v>4.0000000000000003E-5</v>
      </c>
      <c r="AU183" t="s">
        <v>3</v>
      </c>
      <c r="AV183">
        <v>0</v>
      </c>
      <c r="AW183">
        <v>2</v>
      </c>
      <c r="AX183">
        <v>80308885</v>
      </c>
      <c r="AY183">
        <v>1</v>
      </c>
      <c r="AZ183">
        <v>0</v>
      </c>
      <c r="BA183">
        <v>179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10.528618000000002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</v>
      </c>
      <c r="BQ183">
        <v>10.528618000000002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1</v>
      </c>
      <c r="CV183">
        <v>0</v>
      </c>
      <c r="CW183">
        <v>0</v>
      </c>
      <c r="CX183">
        <f>ROUND(Y183*Source!I151,7)</f>
        <v>4.4000000000000002E-6</v>
      </c>
      <c r="CY183">
        <f t="shared" ref="CY183:CY188" si="78">AA183</f>
        <v>339547.93</v>
      </c>
      <c r="CZ183">
        <f t="shared" ref="CZ183:CZ188" si="79">AE183</f>
        <v>263215.45</v>
      </c>
      <c r="DA183">
        <f t="shared" ref="DA183:DA188" si="80">AI183</f>
        <v>1.29</v>
      </c>
      <c r="DB183">
        <f t="shared" ref="DB183:DB189" si="81">ROUND(ROUND(AT183*CZ183,2),6)</f>
        <v>10.53</v>
      </c>
      <c r="DC183">
        <f t="shared" ref="DC183:DC189" si="82">ROUND(ROUND(AT183*AG183,2),6)</f>
        <v>0</v>
      </c>
      <c r="DD183" t="s">
        <v>3</v>
      </c>
      <c r="DE183" t="s">
        <v>3</v>
      </c>
      <c r="DF183">
        <f>ROUND(ROUND(AE183*AI183,2)*CX183,2)</f>
        <v>1.49</v>
      </c>
      <c r="DG183">
        <f t="shared" ref="DG183:DG192" si="83">ROUND(ROUND(AF183,2)*CX183,2)</f>
        <v>0</v>
      </c>
      <c r="DH183">
        <f t="shared" si="56"/>
        <v>0</v>
      </c>
      <c r="DI183">
        <f t="shared" si="57"/>
        <v>0</v>
      </c>
      <c r="DJ183">
        <f t="shared" ref="DJ183:DJ188" si="84">DF183</f>
        <v>1.49</v>
      </c>
      <c r="DK183">
        <v>0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ROW(Source!A151)</f>
        <v>151</v>
      </c>
      <c r="B184">
        <v>80308166</v>
      </c>
      <c r="C184">
        <v>80308870</v>
      </c>
      <c r="D184">
        <v>72931459</v>
      </c>
      <c r="E184">
        <v>1</v>
      </c>
      <c r="F184">
        <v>1</v>
      </c>
      <c r="G184">
        <v>1</v>
      </c>
      <c r="H184">
        <v>3</v>
      </c>
      <c r="I184" t="s">
        <v>595</v>
      </c>
      <c r="J184" t="s">
        <v>596</v>
      </c>
      <c r="K184" t="s">
        <v>597</v>
      </c>
      <c r="L184">
        <v>1348</v>
      </c>
      <c r="N184">
        <v>1009</v>
      </c>
      <c r="O184" t="s">
        <v>35</v>
      </c>
      <c r="P184" t="s">
        <v>35</v>
      </c>
      <c r="Q184">
        <v>1000</v>
      </c>
      <c r="W184">
        <v>0</v>
      </c>
      <c r="X184">
        <v>1160957577</v>
      </c>
      <c r="Y184">
        <f t="shared" si="77"/>
        <v>1.09E-2</v>
      </c>
      <c r="AA184">
        <v>66804.899999999994</v>
      </c>
      <c r="AB184">
        <v>0</v>
      </c>
      <c r="AC184">
        <v>0</v>
      </c>
      <c r="AD184">
        <v>0</v>
      </c>
      <c r="AE184">
        <v>89073.2</v>
      </c>
      <c r="AF184">
        <v>0</v>
      </c>
      <c r="AG184">
        <v>0</v>
      </c>
      <c r="AH184">
        <v>0</v>
      </c>
      <c r="AI184">
        <v>0.75</v>
      </c>
      <c r="AJ184">
        <v>1</v>
      </c>
      <c r="AK184">
        <v>1</v>
      </c>
      <c r="AL184">
        <v>1</v>
      </c>
      <c r="AM184">
        <v>2</v>
      </c>
      <c r="AN184">
        <v>0</v>
      </c>
      <c r="AO184">
        <v>0</v>
      </c>
      <c r="AP184">
        <v>1</v>
      </c>
      <c r="AQ184">
        <v>1</v>
      </c>
      <c r="AR184">
        <v>0</v>
      </c>
      <c r="AS184" t="s">
        <v>3</v>
      </c>
      <c r="AT184">
        <v>1.09E-2</v>
      </c>
      <c r="AU184" t="s">
        <v>3</v>
      </c>
      <c r="AV184">
        <v>0</v>
      </c>
      <c r="AW184">
        <v>2</v>
      </c>
      <c r="AX184">
        <v>80308886</v>
      </c>
      <c r="AY184">
        <v>1</v>
      </c>
      <c r="AZ184">
        <v>0</v>
      </c>
      <c r="BA184">
        <v>180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970.89787999999999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970.89787999999999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1</v>
      </c>
      <c r="CV184">
        <v>0</v>
      </c>
      <c r="CW184">
        <v>0</v>
      </c>
      <c r="CX184">
        <f>ROUND(Y184*Source!I151,7)</f>
        <v>1.199E-3</v>
      </c>
      <c r="CY184">
        <f t="shared" si="78"/>
        <v>66804.899999999994</v>
      </c>
      <c r="CZ184">
        <f t="shared" si="79"/>
        <v>89073.2</v>
      </c>
      <c r="DA184">
        <f t="shared" si="80"/>
        <v>0.75</v>
      </c>
      <c r="DB184">
        <f t="shared" si="81"/>
        <v>970.9</v>
      </c>
      <c r="DC184">
        <f t="shared" si="82"/>
        <v>0</v>
      </c>
      <c r="DD184" t="s">
        <v>3</v>
      </c>
      <c r="DE184" t="s">
        <v>3</v>
      </c>
      <c r="DF184">
        <f>ROUND(ROUND(AE184*AI184,2)*CX184,2)</f>
        <v>80.099999999999994</v>
      </c>
      <c r="DG184">
        <f t="shared" si="83"/>
        <v>0</v>
      </c>
      <c r="DH184">
        <f t="shared" si="56"/>
        <v>0</v>
      </c>
      <c r="DI184">
        <f t="shared" si="57"/>
        <v>0</v>
      </c>
      <c r="DJ184">
        <f t="shared" si="84"/>
        <v>80.099999999999994</v>
      </c>
      <c r="DK184">
        <v>0</v>
      </c>
      <c r="DL184" t="s">
        <v>3</v>
      </c>
      <c r="DM184">
        <v>0</v>
      </c>
      <c r="DN184" t="s">
        <v>3</v>
      </c>
      <c r="DO184">
        <v>0</v>
      </c>
    </row>
    <row r="185" spans="1:119" x14ac:dyDescent="0.2">
      <c r="A185">
        <f>ROW(Source!A151)</f>
        <v>151</v>
      </c>
      <c r="B185">
        <v>80308166</v>
      </c>
      <c r="C185">
        <v>80308870</v>
      </c>
      <c r="D185">
        <v>72931511</v>
      </c>
      <c r="E185">
        <v>1</v>
      </c>
      <c r="F185">
        <v>1</v>
      </c>
      <c r="G185">
        <v>1</v>
      </c>
      <c r="H185">
        <v>3</v>
      </c>
      <c r="I185" t="s">
        <v>598</v>
      </c>
      <c r="J185" t="s">
        <v>599</v>
      </c>
      <c r="K185" t="s">
        <v>600</v>
      </c>
      <c r="L185">
        <v>1348</v>
      </c>
      <c r="N185">
        <v>1009</v>
      </c>
      <c r="O185" t="s">
        <v>35</v>
      </c>
      <c r="P185" t="s">
        <v>35</v>
      </c>
      <c r="Q185">
        <v>1000</v>
      </c>
      <c r="W185">
        <v>0</v>
      </c>
      <c r="X185">
        <v>1324181911</v>
      </c>
      <c r="Y185">
        <f t="shared" si="77"/>
        <v>1.1000000000000001E-3</v>
      </c>
      <c r="AA185">
        <v>121801.16</v>
      </c>
      <c r="AB185">
        <v>0</v>
      </c>
      <c r="AC185">
        <v>0</v>
      </c>
      <c r="AD185">
        <v>0</v>
      </c>
      <c r="AE185">
        <v>129575.7</v>
      </c>
      <c r="AF185">
        <v>0</v>
      </c>
      <c r="AG185">
        <v>0</v>
      </c>
      <c r="AH185">
        <v>0</v>
      </c>
      <c r="AI185">
        <v>0.94</v>
      </c>
      <c r="AJ185">
        <v>1</v>
      </c>
      <c r="AK185">
        <v>1</v>
      </c>
      <c r="AL185">
        <v>1</v>
      </c>
      <c r="AM185">
        <v>2</v>
      </c>
      <c r="AN185">
        <v>0</v>
      </c>
      <c r="AO185">
        <v>0</v>
      </c>
      <c r="AP185">
        <v>1</v>
      </c>
      <c r="AQ185">
        <v>1</v>
      </c>
      <c r="AR185">
        <v>0</v>
      </c>
      <c r="AS185" t="s">
        <v>3</v>
      </c>
      <c r="AT185">
        <v>1.1000000000000001E-3</v>
      </c>
      <c r="AU185" t="s">
        <v>3</v>
      </c>
      <c r="AV185">
        <v>0</v>
      </c>
      <c r="AW185">
        <v>2</v>
      </c>
      <c r="AX185">
        <v>80308887</v>
      </c>
      <c r="AY185">
        <v>1</v>
      </c>
      <c r="AZ185">
        <v>0</v>
      </c>
      <c r="BA185">
        <v>181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142.53327000000002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</v>
      </c>
      <c r="BQ185">
        <v>142.53327000000002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</v>
      </c>
      <c r="CV185">
        <v>0</v>
      </c>
      <c r="CW185">
        <v>0</v>
      </c>
      <c r="CX185">
        <f>ROUND(Y185*Source!I151,7)</f>
        <v>1.21E-4</v>
      </c>
      <c r="CY185">
        <f t="shared" si="78"/>
        <v>121801.16</v>
      </c>
      <c r="CZ185">
        <f t="shared" si="79"/>
        <v>129575.7</v>
      </c>
      <c r="DA185">
        <f t="shared" si="80"/>
        <v>0.94</v>
      </c>
      <c r="DB185">
        <f t="shared" si="81"/>
        <v>142.53</v>
      </c>
      <c r="DC185">
        <f t="shared" si="82"/>
        <v>0</v>
      </c>
      <c r="DD185" t="s">
        <v>3</v>
      </c>
      <c r="DE185" t="s">
        <v>3</v>
      </c>
      <c r="DF185">
        <f>ROUND(ROUND(AE185*AI185,2)*CX185,2)</f>
        <v>14.74</v>
      </c>
      <c r="DG185">
        <f t="shared" si="83"/>
        <v>0</v>
      </c>
      <c r="DH185">
        <f t="shared" si="56"/>
        <v>0</v>
      </c>
      <c r="DI185">
        <f t="shared" si="57"/>
        <v>0</v>
      </c>
      <c r="DJ185">
        <f t="shared" si="84"/>
        <v>14.74</v>
      </c>
      <c r="DK185">
        <v>0</v>
      </c>
      <c r="DL185" t="s">
        <v>3</v>
      </c>
      <c r="DM185">
        <v>0</v>
      </c>
      <c r="DN185" t="s">
        <v>3</v>
      </c>
      <c r="DO185">
        <v>0</v>
      </c>
    </row>
    <row r="186" spans="1:119" x14ac:dyDescent="0.2">
      <c r="A186">
        <f>ROW(Source!A151)</f>
        <v>151</v>
      </c>
      <c r="B186">
        <v>80308166</v>
      </c>
      <c r="C186">
        <v>80308870</v>
      </c>
      <c r="D186">
        <v>72931512</v>
      </c>
      <c r="E186">
        <v>1</v>
      </c>
      <c r="F186">
        <v>1</v>
      </c>
      <c r="G186">
        <v>1</v>
      </c>
      <c r="H186">
        <v>3</v>
      </c>
      <c r="I186" t="s">
        <v>601</v>
      </c>
      <c r="J186" t="s">
        <v>602</v>
      </c>
      <c r="K186" t="s">
        <v>603</v>
      </c>
      <c r="L186">
        <v>1348</v>
      </c>
      <c r="N186">
        <v>1009</v>
      </c>
      <c r="O186" t="s">
        <v>35</v>
      </c>
      <c r="P186" t="s">
        <v>35</v>
      </c>
      <c r="Q186">
        <v>1000</v>
      </c>
      <c r="W186">
        <v>0</v>
      </c>
      <c r="X186">
        <v>1869676882</v>
      </c>
      <c r="Y186">
        <f t="shared" si="77"/>
        <v>4.0000000000000001E-3</v>
      </c>
      <c r="AA186">
        <v>82010.960000000006</v>
      </c>
      <c r="AB186">
        <v>0</v>
      </c>
      <c r="AC186">
        <v>0</v>
      </c>
      <c r="AD186">
        <v>0</v>
      </c>
      <c r="AE186">
        <v>87245.7</v>
      </c>
      <c r="AF186">
        <v>0</v>
      </c>
      <c r="AG186">
        <v>0</v>
      </c>
      <c r="AH186">
        <v>0</v>
      </c>
      <c r="AI186">
        <v>0.94</v>
      </c>
      <c r="AJ186">
        <v>1</v>
      </c>
      <c r="AK186">
        <v>1</v>
      </c>
      <c r="AL186">
        <v>1</v>
      </c>
      <c r="AM186">
        <v>2</v>
      </c>
      <c r="AN186">
        <v>0</v>
      </c>
      <c r="AO186">
        <v>0</v>
      </c>
      <c r="AP186">
        <v>1</v>
      </c>
      <c r="AQ186">
        <v>1</v>
      </c>
      <c r="AR186">
        <v>0</v>
      </c>
      <c r="AS186" t="s">
        <v>3</v>
      </c>
      <c r="AT186">
        <v>4.0000000000000001E-3</v>
      </c>
      <c r="AU186" t="s">
        <v>3</v>
      </c>
      <c r="AV186">
        <v>0</v>
      </c>
      <c r="AW186">
        <v>2</v>
      </c>
      <c r="AX186">
        <v>80308888</v>
      </c>
      <c r="AY186">
        <v>1</v>
      </c>
      <c r="AZ186">
        <v>0</v>
      </c>
      <c r="BA186">
        <v>182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348.9828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1</v>
      </c>
      <c r="BQ186">
        <v>348.9828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1</v>
      </c>
      <c r="CV186">
        <v>0</v>
      </c>
      <c r="CW186">
        <v>0</v>
      </c>
      <c r="CX186">
        <f>ROUND(Y186*Source!I151,7)</f>
        <v>4.4000000000000002E-4</v>
      </c>
      <c r="CY186">
        <f t="shared" si="78"/>
        <v>82010.960000000006</v>
      </c>
      <c r="CZ186">
        <f t="shared" si="79"/>
        <v>87245.7</v>
      </c>
      <c r="DA186">
        <f t="shared" si="80"/>
        <v>0.94</v>
      </c>
      <c r="DB186">
        <f t="shared" si="81"/>
        <v>348.98</v>
      </c>
      <c r="DC186">
        <f t="shared" si="82"/>
        <v>0</v>
      </c>
      <c r="DD186" t="s">
        <v>3</v>
      </c>
      <c r="DE186" t="s">
        <v>3</v>
      </c>
      <c r="DF186">
        <f>ROUND(ROUND(AE186*AI186,2)*CX186,2)</f>
        <v>36.08</v>
      </c>
      <c r="DG186">
        <f t="shared" si="83"/>
        <v>0</v>
      </c>
      <c r="DH186">
        <f t="shared" si="56"/>
        <v>0</v>
      </c>
      <c r="DI186">
        <f t="shared" si="57"/>
        <v>0</v>
      </c>
      <c r="DJ186">
        <f t="shared" si="84"/>
        <v>36.08</v>
      </c>
      <c r="DK186">
        <v>0</v>
      </c>
      <c r="DL186" t="s">
        <v>3</v>
      </c>
      <c r="DM186">
        <v>0</v>
      </c>
      <c r="DN186" t="s">
        <v>3</v>
      </c>
      <c r="DO186">
        <v>0</v>
      </c>
    </row>
    <row r="187" spans="1:119" x14ac:dyDescent="0.2">
      <c r="A187">
        <f>ROW(Source!A151)</f>
        <v>151</v>
      </c>
      <c r="B187">
        <v>80308166</v>
      </c>
      <c r="C187">
        <v>80308870</v>
      </c>
      <c r="D187">
        <v>72931669</v>
      </c>
      <c r="E187">
        <v>1</v>
      </c>
      <c r="F187">
        <v>1</v>
      </c>
      <c r="G187">
        <v>1</v>
      </c>
      <c r="H187">
        <v>3</v>
      </c>
      <c r="I187" t="s">
        <v>604</v>
      </c>
      <c r="J187" t="s">
        <v>605</v>
      </c>
      <c r="K187" t="s">
        <v>606</v>
      </c>
      <c r="L187">
        <v>1348</v>
      </c>
      <c r="N187">
        <v>1009</v>
      </c>
      <c r="O187" t="s">
        <v>35</v>
      </c>
      <c r="P187" t="s">
        <v>35</v>
      </c>
      <c r="Q187">
        <v>1000</v>
      </c>
      <c r="W187">
        <v>0</v>
      </c>
      <c r="X187">
        <v>1028135832</v>
      </c>
      <c r="Y187">
        <f t="shared" si="77"/>
        <v>3.9E-2</v>
      </c>
      <c r="AA187">
        <v>75628.100000000006</v>
      </c>
      <c r="AB187">
        <v>0</v>
      </c>
      <c r="AC187">
        <v>0</v>
      </c>
      <c r="AD187">
        <v>0</v>
      </c>
      <c r="AE187">
        <v>75628.100000000006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1</v>
      </c>
      <c r="AL187">
        <v>1</v>
      </c>
      <c r="AM187">
        <v>-2</v>
      </c>
      <c r="AN187">
        <v>0</v>
      </c>
      <c r="AO187">
        <v>0</v>
      </c>
      <c r="AP187">
        <v>1</v>
      </c>
      <c r="AQ187">
        <v>1</v>
      </c>
      <c r="AR187">
        <v>0</v>
      </c>
      <c r="AS187" t="s">
        <v>3</v>
      </c>
      <c r="AT187">
        <v>3.9E-2</v>
      </c>
      <c r="AU187" t="s">
        <v>3</v>
      </c>
      <c r="AV187">
        <v>0</v>
      </c>
      <c r="AW187">
        <v>2</v>
      </c>
      <c r="AX187">
        <v>80308889</v>
      </c>
      <c r="AY187">
        <v>1</v>
      </c>
      <c r="AZ187">
        <v>0</v>
      </c>
      <c r="BA187">
        <v>183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2949.4959000000003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</v>
      </c>
      <c r="BQ187">
        <v>2949.4959000000003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1</v>
      </c>
      <c r="CV187">
        <v>0</v>
      </c>
      <c r="CW187">
        <v>0</v>
      </c>
      <c r="CX187">
        <f>ROUND(Y187*Source!I151,7)</f>
        <v>4.2900000000000004E-3</v>
      </c>
      <c r="CY187">
        <f t="shared" si="78"/>
        <v>75628.100000000006</v>
      </c>
      <c r="CZ187">
        <f t="shared" si="79"/>
        <v>75628.100000000006</v>
      </c>
      <c r="DA187">
        <f t="shared" si="80"/>
        <v>1</v>
      </c>
      <c r="DB187">
        <f t="shared" si="81"/>
        <v>2949.5</v>
      </c>
      <c r="DC187">
        <f t="shared" si="82"/>
        <v>0</v>
      </c>
      <c r="DD187" t="s">
        <v>3</v>
      </c>
      <c r="DE187" t="s">
        <v>3</v>
      </c>
      <c r="DF187">
        <f>ROUND(ROUND(AE187,2)*CX187,2)</f>
        <v>324.44</v>
      </c>
      <c r="DG187">
        <f t="shared" si="83"/>
        <v>0</v>
      </c>
      <c r="DH187">
        <f t="shared" si="56"/>
        <v>0</v>
      </c>
      <c r="DI187">
        <f t="shared" si="57"/>
        <v>0</v>
      </c>
      <c r="DJ187">
        <f t="shared" si="84"/>
        <v>324.44</v>
      </c>
      <c r="DK187">
        <v>1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ROW(Source!A151)</f>
        <v>151</v>
      </c>
      <c r="B188">
        <v>80308166</v>
      </c>
      <c r="C188">
        <v>80308870</v>
      </c>
      <c r="D188">
        <v>77511643</v>
      </c>
      <c r="E188">
        <v>1</v>
      </c>
      <c r="F188">
        <v>1</v>
      </c>
      <c r="G188">
        <v>1</v>
      </c>
      <c r="H188">
        <v>3</v>
      </c>
      <c r="I188" t="s">
        <v>316</v>
      </c>
      <c r="J188" t="s">
        <v>317</v>
      </c>
      <c r="K188" t="s">
        <v>652</v>
      </c>
      <c r="L188">
        <v>1301</v>
      </c>
      <c r="N188">
        <v>1003</v>
      </c>
      <c r="O188" t="s">
        <v>253</v>
      </c>
      <c r="P188" t="s">
        <v>253</v>
      </c>
      <c r="Q188">
        <v>1</v>
      </c>
      <c r="W188">
        <v>0</v>
      </c>
      <c r="X188">
        <v>882909808</v>
      </c>
      <c r="Y188">
        <f t="shared" si="77"/>
        <v>84.2727273</v>
      </c>
      <c r="AA188">
        <v>592.01</v>
      </c>
      <c r="AB188">
        <v>0</v>
      </c>
      <c r="AC188">
        <v>0</v>
      </c>
      <c r="AD188">
        <v>0</v>
      </c>
      <c r="AE188">
        <v>428.99</v>
      </c>
      <c r="AF188">
        <v>0</v>
      </c>
      <c r="AG188">
        <v>0</v>
      </c>
      <c r="AH188">
        <v>0</v>
      </c>
      <c r="AI188">
        <v>1.38</v>
      </c>
      <c r="AJ188">
        <v>1</v>
      </c>
      <c r="AK188">
        <v>1</v>
      </c>
      <c r="AL188">
        <v>1</v>
      </c>
      <c r="AM188">
        <v>2</v>
      </c>
      <c r="AN188">
        <v>0</v>
      </c>
      <c r="AO188">
        <v>0</v>
      </c>
      <c r="AP188">
        <v>1</v>
      </c>
      <c r="AQ188">
        <v>0</v>
      </c>
      <c r="AR188">
        <v>0</v>
      </c>
      <c r="AS188" t="s">
        <v>3</v>
      </c>
      <c r="AT188">
        <v>84.2727273</v>
      </c>
      <c r="AU188" t="s">
        <v>3</v>
      </c>
      <c r="AV188">
        <v>0</v>
      </c>
      <c r="AW188">
        <v>1</v>
      </c>
      <c r="AX188">
        <v>-1</v>
      </c>
      <c r="AY188">
        <v>0</v>
      </c>
      <c r="AZ188">
        <v>0</v>
      </c>
      <c r="BA188" t="s">
        <v>3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V188">
        <v>0</v>
      </c>
      <c r="CW188">
        <v>0</v>
      </c>
      <c r="CX188">
        <f>ROUND(Y188*Source!I151,7)</f>
        <v>9.27</v>
      </c>
      <c r="CY188">
        <f t="shared" si="78"/>
        <v>592.01</v>
      </c>
      <c r="CZ188">
        <f t="shared" si="79"/>
        <v>428.99</v>
      </c>
      <c r="DA188">
        <f t="shared" si="80"/>
        <v>1.38</v>
      </c>
      <c r="DB188">
        <f t="shared" si="81"/>
        <v>36152.160000000003</v>
      </c>
      <c r="DC188">
        <f t="shared" si="82"/>
        <v>0</v>
      </c>
      <c r="DD188" t="s">
        <v>3</v>
      </c>
      <c r="DE188" t="s">
        <v>3</v>
      </c>
      <c r="DF188">
        <f>ROUND(ROUND(AE188*AI188,2)*CX188,2)</f>
        <v>5487.93</v>
      </c>
      <c r="DG188">
        <f t="shared" si="83"/>
        <v>0</v>
      </c>
      <c r="DH188">
        <f t="shared" si="56"/>
        <v>0</v>
      </c>
      <c r="DI188">
        <f t="shared" si="57"/>
        <v>0</v>
      </c>
      <c r="DJ188">
        <f t="shared" si="84"/>
        <v>5487.93</v>
      </c>
      <c r="DK188">
        <v>0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ROW(Source!A153)</f>
        <v>153</v>
      </c>
      <c r="B189">
        <v>80308166</v>
      </c>
      <c r="C189">
        <v>80308892</v>
      </c>
      <c r="D189">
        <v>72850627</v>
      </c>
      <c r="E189">
        <v>114</v>
      </c>
      <c r="F189">
        <v>1</v>
      </c>
      <c r="G189">
        <v>1</v>
      </c>
      <c r="H189">
        <v>1</v>
      </c>
      <c r="I189" t="s">
        <v>464</v>
      </c>
      <c r="J189" t="s">
        <v>3</v>
      </c>
      <c r="K189" t="s">
        <v>465</v>
      </c>
      <c r="L189">
        <v>1191</v>
      </c>
      <c r="N189">
        <v>1013</v>
      </c>
      <c r="O189" t="s">
        <v>449</v>
      </c>
      <c r="P189" t="s">
        <v>449</v>
      </c>
      <c r="Q189">
        <v>1</v>
      </c>
      <c r="W189">
        <v>0</v>
      </c>
      <c r="X189">
        <v>-1833565283</v>
      </c>
      <c r="Y189">
        <f t="shared" si="77"/>
        <v>1.27</v>
      </c>
      <c r="AA189">
        <v>0</v>
      </c>
      <c r="AB189">
        <v>0</v>
      </c>
      <c r="AC189">
        <v>0</v>
      </c>
      <c r="AD189">
        <v>641.22</v>
      </c>
      <c r="AE189">
        <v>0</v>
      </c>
      <c r="AF189">
        <v>0</v>
      </c>
      <c r="AG189">
        <v>0</v>
      </c>
      <c r="AH189">
        <v>641.22</v>
      </c>
      <c r="AI189">
        <v>1</v>
      </c>
      <c r="AJ189">
        <v>1</v>
      </c>
      <c r="AK189">
        <v>1</v>
      </c>
      <c r="AL189">
        <v>1</v>
      </c>
      <c r="AM189">
        <v>-2</v>
      </c>
      <c r="AN189">
        <v>0</v>
      </c>
      <c r="AO189">
        <v>0</v>
      </c>
      <c r="AP189">
        <v>0</v>
      </c>
      <c r="AQ189">
        <v>1</v>
      </c>
      <c r="AR189">
        <v>0</v>
      </c>
      <c r="AS189" t="s">
        <v>3</v>
      </c>
      <c r="AT189">
        <v>1.27</v>
      </c>
      <c r="AU189" t="s">
        <v>3</v>
      </c>
      <c r="AV189">
        <v>1</v>
      </c>
      <c r="AW189">
        <v>2</v>
      </c>
      <c r="AX189">
        <v>80308894</v>
      </c>
      <c r="AY189">
        <v>1</v>
      </c>
      <c r="AZ189">
        <v>0</v>
      </c>
      <c r="BA189">
        <v>185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814.34940000000006</v>
      </c>
      <c r="BN189">
        <v>1.27</v>
      </c>
      <c r="BO189">
        <v>0</v>
      </c>
      <c r="BP189">
        <v>1</v>
      </c>
      <c r="BQ189">
        <v>0</v>
      </c>
      <c r="BR189">
        <v>0</v>
      </c>
      <c r="BS189">
        <v>0</v>
      </c>
      <c r="BT189">
        <v>814.34940000000006</v>
      </c>
      <c r="BU189">
        <v>1.27</v>
      </c>
      <c r="BV189">
        <v>0</v>
      </c>
      <c r="BW189">
        <v>1</v>
      </c>
      <c r="CU189">
        <f>ROUND(AT189*Source!I153*AH189*AL189,2)</f>
        <v>5211.84</v>
      </c>
      <c r="CV189">
        <f>ROUND(Y189*Source!I153,7)</f>
        <v>8.1280000000000001</v>
      </c>
      <c r="CW189">
        <v>0</v>
      </c>
      <c r="CX189">
        <f>ROUND(Y189*Source!I153,7)</f>
        <v>8.1280000000000001</v>
      </c>
      <c r="CY189">
        <f>AD189</f>
        <v>641.22</v>
      </c>
      <c r="CZ189">
        <f>AH189</f>
        <v>641.22</v>
      </c>
      <c r="DA189">
        <f>AL189</f>
        <v>1</v>
      </c>
      <c r="DB189">
        <f t="shared" si="81"/>
        <v>814.35</v>
      </c>
      <c r="DC189">
        <f t="shared" si="82"/>
        <v>0</v>
      </c>
      <c r="DD189" t="s">
        <v>3</v>
      </c>
      <c r="DE189" t="s">
        <v>3</v>
      </c>
      <c r="DF189">
        <f t="shared" ref="DF189:DF196" si="85">ROUND(ROUND(AE189,2)*CX189,2)</f>
        <v>0</v>
      </c>
      <c r="DG189">
        <f t="shared" si="83"/>
        <v>0</v>
      </c>
      <c r="DH189">
        <f t="shared" si="56"/>
        <v>0</v>
      </c>
      <c r="DI189">
        <f t="shared" si="57"/>
        <v>5211.84</v>
      </c>
      <c r="DJ189">
        <f>DI189</f>
        <v>5211.84</v>
      </c>
      <c r="DK189">
        <v>1</v>
      </c>
      <c r="DL189" t="s">
        <v>3</v>
      </c>
      <c r="DM189">
        <v>0</v>
      </c>
      <c r="DN189" t="s">
        <v>3</v>
      </c>
      <c r="DO189">
        <v>0</v>
      </c>
    </row>
    <row r="190" spans="1:119" x14ac:dyDescent="0.2">
      <c r="A190">
        <f>ROW(Source!A154)</f>
        <v>154</v>
      </c>
      <c r="B190">
        <v>80308166</v>
      </c>
      <c r="C190">
        <v>80308895</v>
      </c>
      <c r="D190">
        <v>72850651</v>
      </c>
      <c r="E190">
        <v>114</v>
      </c>
      <c r="F190">
        <v>1</v>
      </c>
      <c r="G190">
        <v>1</v>
      </c>
      <c r="H190">
        <v>1</v>
      </c>
      <c r="I190" t="s">
        <v>486</v>
      </c>
      <c r="J190" t="s">
        <v>3</v>
      </c>
      <c r="K190" t="s">
        <v>487</v>
      </c>
      <c r="L190">
        <v>1191</v>
      </c>
      <c r="N190">
        <v>1013</v>
      </c>
      <c r="O190" t="s">
        <v>449</v>
      </c>
      <c r="P190" t="s">
        <v>449</v>
      </c>
      <c r="Q190">
        <v>1</v>
      </c>
      <c r="W190">
        <v>0</v>
      </c>
      <c r="X190">
        <v>888410196</v>
      </c>
      <c r="Y190">
        <f t="shared" ref="Y190:Y196" si="86">(AT190*ROUND(0.3,7))</f>
        <v>18.599999999999998</v>
      </c>
      <c r="AA190">
        <v>0</v>
      </c>
      <c r="AB190">
        <v>0</v>
      </c>
      <c r="AC190">
        <v>0</v>
      </c>
      <c r="AD190">
        <v>722.05</v>
      </c>
      <c r="AE190">
        <v>0</v>
      </c>
      <c r="AF190">
        <v>0</v>
      </c>
      <c r="AG190">
        <v>0</v>
      </c>
      <c r="AH190">
        <v>722.05</v>
      </c>
      <c r="AI190">
        <v>1</v>
      </c>
      <c r="AJ190">
        <v>1</v>
      </c>
      <c r="AK190">
        <v>1</v>
      </c>
      <c r="AL190">
        <v>1</v>
      </c>
      <c r="AM190">
        <v>-2</v>
      </c>
      <c r="AN190">
        <v>0</v>
      </c>
      <c r="AO190">
        <v>0</v>
      </c>
      <c r="AP190">
        <v>1</v>
      </c>
      <c r="AQ190">
        <v>1</v>
      </c>
      <c r="AR190">
        <v>0</v>
      </c>
      <c r="AS190" t="s">
        <v>3</v>
      </c>
      <c r="AT190">
        <v>62</v>
      </c>
      <c r="AU190" t="s">
        <v>73</v>
      </c>
      <c r="AV190">
        <v>1</v>
      </c>
      <c r="AW190">
        <v>2</v>
      </c>
      <c r="AX190">
        <v>80308908</v>
      </c>
      <c r="AY190">
        <v>1</v>
      </c>
      <c r="AZ190">
        <v>0</v>
      </c>
      <c r="BA190">
        <v>186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44767.1</v>
      </c>
      <c r="BN190">
        <v>62</v>
      </c>
      <c r="BO190">
        <v>0</v>
      </c>
      <c r="BP190">
        <v>1</v>
      </c>
      <c r="BQ190">
        <v>0</v>
      </c>
      <c r="BR190">
        <v>0</v>
      </c>
      <c r="BS190">
        <v>0</v>
      </c>
      <c r="BT190">
        <v>13430.129999999997</v>
      </c>
      <c r="BU190">
        <v>18.599999999999998</v>
      </c>
      <c r="BV190">
        <v>0</v>
      </c>
      <c r="BW190">
        <v>1</v>
      </c>
      <c r="CU190">
        <f>ROUND(AT190*Source!I154*AH190*AL190,2)</f>
        <v>8953.42</v>
      </c>
      <c r="CV190">
        <f>ROUND(Y190*Source!I154,7)</f>
        <v>3.72</v>
      </c>
      <c r="CW190">
        <v>0</v>
      </c>
      <c r="CX190">
        <f>ROUND(Y190*Source!I154,7)</f>
        <v>3.72</v>
      </c>
      <c r="CY190">
        <f>AD190</f>
        <v>722.05</v>
      </c>
      <c r="CZ190">
        <f>AH190</f>
        <v>722.05</v>
      </c>
      <c r="DA190">
        <f>AL190</f>
        <v>1</v>
      </c>
      <c r="DB190">
        <f t="shared" ref="DB190:DB196" si="87">ROUND((ROUND(AT190*CZ190,2)*ROUND(0.3,7)),6)</f>
        <v>13430.13</v>
      </c>
      <c r="DC190">
        <f t="shared" ref="DC190:DC196" si="88">ROUND((ROUND(AT190*AG190,2)*ROUND(0.3,7)),6)</f>
        <v>0</v>
      </c>
      <c r="DD190" t="s">
        <v>3</v>
      </c>
      <c r="DE190" t="s">
        <v>3</v>
      </c>
      <c r="DF190">
        <f t="shared" si="85"/>
        <v>0</v>
      </c>
      <c r="DG190">
        <f t="shared" si="83"/>
        <v>0</v>
      </c>
      <c r="DH190">
        <f t="shared" si="56"/>
        <v>0</v>
      </c>
      <c r="DI190">
        <f t="shared" si="57"/>
        <v>2686.03</v>
      </c>
      <c r="DJ190">
        <f>DI190</f>
        <v>2686.03</v>
      </c>
      <c r="DK190">
        <v>1</v>
      </c>
      <c r="DL190" t="s">
        <v>3</v>
      </c>
      <c r="DM190">
        <v>0</v>
      </c>
      <c r="DN190" t="s">
        <v>3</v>
      </c>
      <c r="DO190">
        <v>0</v>
      </c>
    </row>
    <row r="191" spans="1:119" x14ac:dyDescent="0.2">
      <c r="A191">
        <f>ROW(Source!A154)</f>
        <v>154</v>
      </c>
      <c r="B191">
        <v>80308166</v>
      </c>
      <c r="C191">
        <v>80308895</v>
      </c>
      <c r="D191">
        <v>72850822</v>
      </c>
      <c r="E191">
        <v>114</v>
      </c>
      <c r="F191">
        <v>1</v>
      </c>
      <c r="G191">
        <v>1</v>
      </c>
      <c r="H191">
        <v>1</v>
      </c>
      <c r="I191" t="s">
        <v>450</v>
      </c>
      <c r="J191" t="s">
        <v>3</v>
      </c>
      <c r="K191" t="s">
        <v>451</v>
      </c>
      <c r="L191">
        <v>1191</v>
      </c>
      <c r="N191">
        <v>1013</v>
      </c>
      <c r="O191" t="s">
        <v>449</v>
      </c>
      <c r="P191" t="s">
        <v>449</v>
      </c>
      <c r="Q191">
        <v>1</v>
      </c>
      <c r="W191">
        <v>0</v>
      </c>
      <c r="X191">
        <v>-1417349443</v>
      </c>
      <c r="Y191">
        <f t="shared" si="86"/>
        <v>0.39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M191">
        <v>-2</v>
      </c>
      <c r="AN191">
        <v>0</v>
      </c>
      <c r="AO191">
        <v>0</v>
      </c>
      <c r="AP191">
        <v>1</v>
      </c>
      <c r="AQ191">
        <v>1</v>
      </c>
      <c r="AR191">
        <v>0</v>
      </c>
      <c r="AS191" t="s">
        <v>3</v>
      </c>
      <c r="AT191">
        <v>1.3</v>
      </c>
      <c r="AU191" t="s">
        <v>73</v>
      </c>
      <c r="AV191">
        <v>2</v>
      </c>
      <c r="AW191">
        <v>2</v>
      </c>
      <c r="AX191">
        <v>80308909</v>
      </c>
      <c r="AY191">
        <v>1</v>
      </c>
      <c r="AZ191">
        <v>0</v>
      </c>
      <c r="BA191">
        <v>187</v>
      </c>
      <c r="BB191">
        <v>1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V191">
        <v>0</v>
      </c>
      <c r="CW191">
        <v>0</v>
      </c>
      <c r="CX191">
        <f>ROUND(Y191*Source!I154,7)</f>
        <v>7.8E-2</v>
      </c>
      <c r="CY191">
        <f>AD191</f>
        <v>0</v>
      </c>
      <c r="CZ191">
        <f>AH191</f>
        <v>0</v>
      </c>
      <c r="DA191">
        <f>AL191</f>
        <v>1</v>
      </c>
      <c r="DB191">
        <f t="shared" si="87"/>
        <v>0</v>
      </c>
      <c r="DC191">
        <f t="shared" si="88"/>
        <v>0</v>
      </c>
      <c r="DD191" t="s">
        <v>3</v>
      </c>
      <c r="DE191" t="s">
        <v>3</v>
      </c>
      <c r="DF191">
        <f t="shared" si="85"/>
        <v>0</v>
      </c>
      <c r="DG191">
        <f t="shared" si="83"/>
        <v>0</v>
      </c>
      <c r="DH191">
        <f t="shared" si="56"/>
        <v>0</v>
      </c>
      <c r="DI191">
        <f t="shared" si="57"/>
        <v>0</v>
      </c>
      <c r="DJ191">
        <f>DI191</f>
        <v>0</v>
      </c>
      <c r="DK191">
        <v>0</v>
      </c>
      <c r="DL191" t="s">
        <v>3</v>
      </c>
      <c r="DM191">
        <v>0</v>
      </c>
      <c r="DN191" t="s">
        <v>3</v>
      </c>
      <c r="DO191">
        <v>0</v>
      </c>
    </row>
    <row r="192" spans="1:119" x14ac:dyDescent="0.2">
      <c r="A192">
        <f>ROW(Source!A154)</f>
        <v>154</v>
      </c>
      <c r="B192">
        <v>80308166</v>
      </c>
      <c r="C192">
        <v>80308895</v>
      </c>
      <c r="D192">
        <v>72975268</v>
      </c>
      <c r="E192">
        <v>1</v>
      </c>
      <c r="F192">
        <v>1</v>
      </c>
      <c r="G192">
        <v>1</v>
      </c>
      <c r="H192">
        <v>2</v>
      </c>
      <c r="I192" t="s">
        <v>474</v>
      </c>
      <c r="J192" t="s">
        <v>475</v>
      </c>
      <c r="K192" t="s">
        <v>476</v>
      </c>
      <c r="L192">
        <v>1368</v>
      </c>
      <c r="N192">
        <v>1011</v>
      </c>
      <c r="O192" t="s">
        <v>455</v>
      </c>
      <c r="P192" t="s">
        <v>455</v>
      </c>
      <c r="Q192">
        <v>1</v>
      </c>
      <c r="W192">
        <v>0</v>
      </c>
      <c r="X192">
        <v>-468861091</v>
      </c>
      <c r="Y192">
        <f t="shared" si="86"/>
        <v>0.19500000000000001</v>
      </c>
      <c r="AA192">
        <v>0</v>
      </c>
      <c r="AB192">
        <v>1629.55</v>
      </c>
      <c r="AC192">
        <v>969.91</v>
      </c>
      <c r="AD192">
        <v>0</v>
      </c>
      <c r="AE192">
        <v>0</v>
      </c>
      <c r="AF192">
        <v>1629.55</v>
      </c>
      <c r="AG192">
        <v>969.91</v>
      </c>
      <c r="AH192">
        <v>0</v>
      </c>
      <c r="AI192">
        <v>1</v>
      </c>
      <c r="AJ192">
        <v>1</v>
      </c>
      <c r="AK192">
        <v>1</v>
      </c>
      <c r="AL192">
        <v>1</v>
      </c>
      <c r="AM192">
        <v>-2</v>
      </c>
      <c r="AN192">
        <v>0</v>
      </c>
      <c r="AO192">
        <v>0</v>
      </c>
      <c r="AP192">
        <v>1</v>
      </c>
      <c r="AQ192">
        <v>1</v>
      </c>
      <c r="AR192">
        <v>0</v>
      </c>
      <c r="AS192" t="s">
        <v>3</v>
      </c>
      <c r="AT192">
        <v>0.65</v>
      </c>
      <c r="AU192" t="s">
        <v>73</v>
      </c>
      <c r="AV192">
        <v>1</v>
      </c>
      <c r="AW192">
        <v>2</v>
      </c>
      <c r="AX192">
        <v>80308910</v>
      </c>
      <c r="AY192">
        <v>1</v>
      </c>
      <c r="AZ192">
        <v>0</v>
      </c>
      <c r="BA192">
        <v>188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1059.2075</v>
      </c>
      <c r="BL192">
        <v>630.44150000000002</v>
      </c>
      <c r="BM192">
        <v>0</v>
      </c>
      <c r="BN192">
        <v>0</v>
      </c>
      <c r="BO192">
        <v>0.65</v>
      </c>
      <c r="BP192">
        <v>1</v>
      </c>
      <c r="BQ192">
        <v>0</v>
      </c>
      <c r="BR192">
        <v>317.76224999999999</v>
      </c>
      <c r="BS192">
        <v>189.13245000000001</v>
      </c>
      <c r="BT192">
        <v>0</v>
      </c>
      <c r="BU192">
        <v>0</v>
      </c>
      <c r="BV192">
        <v>0.19500000000000001</v>
      </c>
      <c r="BW192">
        <v>1</v>
      </c>
      <c r="CV192">
        <v>0</v>
      </c>
      <c r="CW192">
        <f>ROUND(Y192*Source!I154*DO192,7)</f>
        <v>3.9E-2</v>
      </c>
      <c r="CX192">
        <f>ROUND(Y192*Source!I154,7)</f>
        <v>3.9E-2</v>
      </c>
      <c r="CY192">
        <f>AB192</f>
        <v>1629.55</v>
      </c>
      <c r="CZ192">
        <f>AF192</f>
        <v>1629.55</v>
      </c>
      <c r="DA192">
        <f>AJ192</f>
        <v>1</v>
      </c>
      <c r="DB192">
        <f t="shared" si="87"/>
        <v>317.76299999999998</v>
      </c>
      <c r="DC192">
        <f t="shared" si="88"/>
        <v>189.13200000000001</v>
      </c>
      <c r="DD192" t="s">
        <v>3</v>
      </c>
      <c r="DE192" t="s">
        <v>3</v>
      </c>
      <c r="DF192">
        <f t="shared" si="85"/>
        <v>0</v>
      </c>
      <c r="DG192">
        <f t="shared" si="83"/>
        <v>63.55</v>
      </c>
      <c r="DH192">
        <f t="shared" si="56"/>
        <v>37.83</v>
      </c>
      <c r="DI192">
        <f t="shared" si="57"/>
        <v>0</v>
      </c>
      <c r="DJ192">
        <f>DG192+DH192</f>
        <v>101.38</v>
      </c>
      <c r="DK192">
        <v>1</v>
      </c>
      <c r="DL192" t="s">
        <v>473</v>
      </c>
      <c r="DM192">
        <v>6</v>
      </c>
      <c r="DN192" t="s">
        <v>449</v>
      </c>
      <c r="DO192">
        <v>1</v>
      </c>
    </row>
    <row r="193" spans="1:119" x14ac:dyDescent="0.2">
      <c r="A193">
        <f>ROW(Source!A154)</f>
        <v>154</v>
      </c>
      <c r="B193">
        <v>80308166</v>
      </c>
      <c r="C193">
        <v>80308895</v>
      </c>
      <c r="D193">
        <v>72975402</v>
      </c>
      <c r="E193">
        <v>1</v>
      </c>
      <c r="F193">
        <v>1</v>
      </c>
      <c r="G193">
        <v>1</v>
      </c>
      <c r="H193">
        <v>2</v>
      </c>
      <c r="I193" t="s">
        <v>607</v>
      </c>
      <c r="J193" t="s">
        <v>608</v>
      </c>
      <c r="K193" t="s">
        <v>609</v>
      </c>
      <c r="L193">
        <v>1368</v>
      </c>
      <c r="N193">
        <v>1011</v>
      </c>
      <c r="O193" t="s">
        <v>455</v>
      </c>
      <c r="P193" t="s">
        <v>455</v>
      </c>
      <c r="Q193">
        <v>1</v>
      </c>
      <c r="W193">
        <v>0</v>
      </c>
      <c r="X193">
        <v>-1624621605</v>
      </c>
      <c r="Y193">
        <f t="shared" si="86"/>
        <v>0.28499999999999998</v>
      </c>
      <c r="AA193">
        <v>0</v>
      </c>
      <c r="AB193">
        <v>16.95</v>
      </c>
      <c r="AC193">
        <v>0</v>
      </c>
      <c r="AD193">
        <v>0</v>
      </c>
      <c r="AE193">
        <v>0</v>
      </c>
      <c r="AF193">
        <v>11.45</v>
      </c>
      <c r="AG193">
        <v>0</v>
      </c>
      <c r="AH193">
        <v>0</v>
      </c>
      <c r="AI193">
        <v>1</v>
      </c>
      <c r="AJ193">
        <v>1.48</v>
      </c>
      <c r="AK193">
        <v>1</v>
      </c>
      <c r="AL193">
        <v>1</v>
      </c>
      <c r="AM193">
        <v>2</v>
      </c>
      <c r="AN193">
        <v>0</v>
      </c>
      <c r="AO193">
        <v>0</v>
      </c>
      <c r="AP193">
        <v>1</v>
      </c>
      <c r="AQ193">
        <v>1</v>
      </c>
      <c r="AR193">
        <v>0</v>
      </c>
      <c r="AS193" t="s">
        <v>3</v>
      </c>
      <c r="AT193">
        <v>0.95</v>
      </c>
      <c r="AU193" t="s">
        <v>73</v>
      </c>
      <c r="AV193">
        <v>1</v>
      </c>
      <c r="AW193">
        <v>2</v>
      </c>
      <c r="AX193">
        <v>80308911</v>
      </c>
      <c r="AY193">
        <v>1</v>
      </c>
      <c r="AZ193">
        <v>0</v>
      </c>
      <c r="BA193">
        <v>189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10.8775</v>
      </c>
      <c r="BL193">
        <v>0</v>
      </c>
      <c r="BM193">
        <v>0</v>
      </c>
      <c r="BN193">
        <v>0</v>
      </c>
      <c r="BO193">
        <v>0</v>
      </c>
      <c r="BP193">
        <v>1</v>
      </c>
      <c r="BQ193">
        <v>0</v>
      </c>
      <c r="BR193">
        <v>3.2632499999999993</v>
      </c>
      <c r="BS193">
        <v>0</v>
      </c>
      <c r="BT193">
        <v>0</v>
      </c>
      <c r="BU193">
        <v>0</v>
      </c>
      <c r="BV193">
        <v>0</v>
      </c>
      <c r="BW193">
        <v>1</v>
      </c>
      <c r="CV193">
        <v>0</v>
      </c>
      <c r="CW193">
        <f>ROUND(Y193*Source!I154*DO193,7)</f>
        <v>0</v>
      </c>
      <c r="CX193">
        <f>ROUND(Y193*Source!I154,7)</f>
        <v>5.7000000000000002E-2</v>
      </c>
      <c r="CY193">
        <f>AB193</f>
        <v>16.95</v>
      </c>
      <c r="CZ193">
        <f>AF193</f>
        <v>11.45</v>
      </c>
      <c r="DA193">
        <f>AJ193</f>
        <v>1.48</v>
      </c>
      <c r="DB193">
        <f t="shared" si="87"/>
        <v>3.2639999999999998</v>
      </c>
      <c r="DC193">
        <f t="shared" si="88"/>
        <v>0</v>
      </c>
      <c r="DD193" t="s">
        <v>3</v>
      </c>
      <c r="DE193" t="s">
        <v>3</v>
      </c>
      <c r="DF193">
        <f t="shared" si="85"/>
        <v>0</v>
      </c>
      <c r="DG193">
        <f>ROUND(ROUND(AF193*AJ193,2)*CX193,2)</f>
        <v>0.97</v>
      </c>
      <c r="DH193">
        <f t="shared" ref="DH193:DH215" si="89">ROUND(ROUND(AG193,2)*CX193,2)</f>
        <v>0</v>
      </c>
      <c r="DI193">
        <f t="shared" ref="DI193:DI215" si="90">ROUND(ROUND(AH193,2)*CX193,2)</f>
        <v>0</v>
      </c>
      <c r="DJ193">
        <f>DG193+DH193</f>
        <v>0.97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ROW(Source!A154)</f>
        <v>154</v>
      </c>
      <c r="B194">
        <v>80308166</v>
      </c>
      <c r="C194">
        <v>80308895</v>
      </c>
      <c r="D194">
        <v>72975467</v>
      </c>
      <c r="E194">
        <v>1</v>
      </c>
      <c r="F194">
        <v>1</v>
      </c>
      <c r="G194">
        <v>1</v>
      </c>
      <c r="H194">
        <v>2</v>
      </c>
      <c r="I194" t="s">
        <v>610</v>
      </c>
      <c r="J194" t="s">
        <v>611</v>
      </c>
      <c r="K194" t="s">
        <v>612</v>
      </c>
      <c r="L194">
        <v>1368</v>
      </c>
      <c r="N194">
        <v>1011</v>
      </c>
      <c r="O194" t="s">
        <v>455</v>
      </c>
      <c r="P194" t="s">
        <v>455</v>
      </c>
      <c r="Q194">
        <v>1</v>
      </c>
      <c r="W194">
        <v>0</v>
      </c>
      <c r="X194">
        <v>-1298878199</v>
      </c>
      <c r="Y194">
        <f t="shared" si="86"/>
        <v>3.3299999999999996</v>
      </c>
      <c r="AA194">
        <v>0</v>
      </c>
      <c r="AB194">
        <v>8.1</v>
      </c>
      <c r="AC194">
        <v>0</v>
      </c>
      <c r="AD194">
        <v>0</v>
      </c>
      <c r="AE194">
        <v>0</v>
      </c>
      <c r="AF194">
        <v>5.47</v>
      </c>
      <c r="AG194">
        <v>0</v>
      </c>
      <c r="AH194">
        <v>0</v>
      </c>
      <c r="AI194">
        <v>1</v>
      </c>
      <c r="AJ194">
        <v>1.48</v>
      </c>
      <c r="AK194">
        <v>1</v>
      </c>
      <c r="AL194">
        <v>1</v>
      </c>
      <c r="AM194">
        <v>2</v>
      </c>
      <c r="AN194">
        <v>0</v>
      </c>
      <c r="AO194">
        <v>0</v>
      </c>
      <c r="AP194">
        <v>1</v>
      </c>
      <c r="AQ194">
        <v>1</v>
      </c>
      <c r="AR194">
        <v>0</v>
      </c>
      <c r="AS194" t="s">
        <v>3</v>
      </c>
      <c r="AT194">
        <v>11.1</v>
      </c>
      <c r="AU194" t="s">
        <v>73</v>
      </c>
      <c r="AV194">
        <v>1</v>
      </c>
      <c r="AW194">
        <v>2</v>
      </c>
      <c r="AX194">
        <v>80308912</v>
      </c>
      <c r="AY194">
        <v>1</v>
      </c>
      <c r="AZ194">
        <v>0</v>
      </c>
      <c r="BA194">
        <v>190</v>
      </c>
      <c r="BB194">
        <v>1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60.716999999999999</v>
      </c>
      <c r="BL194">
        <v>0</v>
      </c>
      <c r="BM194">
        <v>0</v>
      </c>
      <c r="BN194">
        <v>0</v>
      </c>
      <c r="BO194">
        <v>0</v>
      </c>
      <c r="BP194">
        <v>1</v>
      </c>
      <c r="BQ194">
        <v>0</v>
      </c>
      <c r="BR194">
        <v>18.215099999999996</v>
      </c>
      <c r="BS194">
        <v>0</v>
      </c>
      <c r="BT194">
        <v>0</v>
      </c>
      <c r="BU194">
        <v>0</v>
      </c>
      <c r="BV194">
        <v>0</v>
      </c>
      <c r="BW194">
        <v>1</v>
      </c>
      <c r="CV194">
        <v>0</v>
      </c>
      <c r="CW194">
        <f>ROUND(Y194*Source!I154*DO194,7)</f>
        <v>0</v>
      </c>
      <c r="CX194">
        <f>ROUND(Y194*Source!I154,7)</f>
        <v>0.66600000000000004</v>
      </c>
      <c r="CY194">
        <f>AB194</f>
        <v>8.1</v>
      </c>
      <c r="CZ194">
        <f>AF194</f>
        <v>5.47</v>
      </c>
      <c r="DA194">
        <f>AJ194</f>
        <v>1.48</v>
      </c>
      <c r="DB194">
        <f t="shared" si="87"/>
        <v>18.216000000000001</v>
      </c>
      <c r="DC194">
        <f t="shared" si="88"/>
        <v>0</v>
      </c>
      <c r="DD194" t="s">
        <v>3</v>
      </c>
      <c r="DE194" t="s">
        <v>3</v>
      </c>
      <c r="DF194">
        <f t="shared" si="85"/>
        <v>0</v>
      </c>
      <c r="DG194">
        <f>ROUND(ROUND(AF194*AJ194,2)*CX194,2)</f>
        <v>5.39</v>
      </c>
      <c r="DH194">
        <f t="shared" si="89"/>
        <v>0</v>
      </c>
      <c r="DI194">
        <f t="shared" si="90"/>
        <v>0</v>
      </c>
      <c r="DJ194">
        <f>DG194+DH194</f>
        <v>5.39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ROW(Source!A154)</f>
        <v>154</v>
      </c>
      <c r="B195">
        <v>80308166</v>
      </c>
      <c r="C195">
        <v>80308895</v>
      </c>
      <c r="D195">
        <v>72976159</v>
      </c>
      <c r="E195">
        <v>1</v>
      </c>
      <c r="F195">
        <v>1</v>
      </c>
      <c r="G195">
        <v>1</v>
      </c>
      <c r="H195">
        <v>2</v>
      </c>
      <c r="I195" t="s">
        <v>452</v>
      </c>
      <c r="J195" t="s">
        <v>453</v>
      </c>
      <c r="K195" t="s">
        <v>454</v>
      </c>
      <c r="L195">
        <v>1368</v>
      </c>
      <c r="N195">
        <v>1011</v>
      </c>
      <c r="O195" t="s">
        <v>455</v>
      </c>
      <c r="P195" t="s">
        <v>455</v>
      </c>
      <c r="Q195">
        <v>1</v>
      </c>
      <c r="W195">
        <v>0</v>
      </c>
      <c r="X195">
        <v>-1152394969</v>
      </c>
      <c r="Y195">
        <f t="shared" si="86"/>
        <v>0.19500000000000001</v>
      </c>
      <c r="AA195">
        <v>0</v>
      </c>
      <c r="AB195">
        <v>643.29</v>
      </c>
      <c r="AC195">
        <v>722.05</v>
      </c>
      <c r="AD195">
        <v>0</v>
      </c>
      <c r="AE195">
        <v>0</v>
      </c>
      <c r="AF195">
        <v>643.29</v>
      </c>
      <c r="AG195">
        <v>722.05</v>
      </c>
      <c r="AH195">
        <v>0</v>
      </c>
      <c r="AI195">
        <v>1</v>
      </c>
      <c r="AJ195">
        <v>1</v>
      </c>
      <c r="AK195">
        <v>1</v>
      </c>
      <c r="AL195">
        <v>1</v>
      </c>
      <c r="AM195">
        <v>-2</v>
      </c>
      <c r="AN195">
        <v>0</v>
      </c>
      <c r="AO195">
        <v>0</v>
      </c>
      <c r="AP195">
        <v>1</v>
      </c>
      <c r="AQ195">
        <v>1</v>
      </c>
      <c r="AR195">
        <v>0</v>
      </c>
      <c r="AS195" t="s">
        <v>3</v>
      </c>
      <c r="AT195">
        <v>0.65</v>
      </c>
      <c r="AU195" t="s">
        <v>73</v>
      </c>
      <c r="AV195">
        <v>1</v>
      </c>
      <c r="AW195">
        <v>2</v>
      </c>
      <c r="AX195">
        <v>80308913</v>
      </c>
      <c r="AY195">
        <v>1</v>
      </c>
      <c r="AZ195">
        <v>0</v>
      </c>
      <c r="BA195">
        <v>191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418.13849999999996</v>
      </c>
      <c r="BL195">
        <v>469.33249999999998</v>
      </c>
      <c r="BM195">
        <v>0</v>
      </c>
      <c r="BN195">
        <v>0</v>
      </c>
      <c r="BO195">
        <v>0.65</v>
      </c>
      <c r="BP195">
        <v>1</v>
      </c>
      <c r="BQ195">
        <v>0</v>
      </c>
      <c r="BR195">
        <v>125.44154999999999</v>
      </c>
      <c r="BS195">
        <v>140.79974999999999</v>
      </c>
      <c r="BT195">
        <v>0</v>
      </c>
      <c r="BU195">
        <v>0</v>
      </c>
      <c r="BV195">
        <v>0.19500000000000001</v>
      </c>
      <c r="BW195">
        <v>1</v>
      </c>
      <c r="CV195">
        <v>0</v>
      </c>
      <c r="CW195">
        <f>ROUND(Y195*Source!I154*DO195,7)</f>
        <v>3.9E-2</v>
      </c>
      <c r="CX195">
        <f>ROUND(Y195*Source!I154,7)</f>
        <v>3.9E-2</v>
      </c>
      <c r="CY195">
        <f>AB195</f>
        <v>643.29</v>
      </c>
      <c r="CZ195">
        <f>AF195</f>
        <v>643.29</v>
      </c>
      <c r="DA195">
        <f>AJ195</f>
        <v>1</v>
      </c>
      <c r="DB195">
        <f t="shared" si="87"/>
        <v>125.44199999999999</v>
      </c>
      <c r="DC195">
        <f t="shared" si="88"/>
        <v>140.79900000000001</v>
      </c>
      <c r="DD195" t="s">
        <v>3</v>
      </c>
      <c r="DE195" t="s">
        <v>3</v>
      </c>
      <c r="DF195">
        <f t="shared" si="85"/>
        <v>0</v>
      </c>
      <c r="DG195">
        <f t="shared" ref="DG195:DG204" si="91">ROUND(ROUND(AF195,2)*CX195,2)</f>
        <v>25.09</v>
      </c>
      <c r="DH195">
        <f t="shared" si="89"/>
        <v>28.16</v>
      </c>
      <c r="DI195">
        <f t="shared" si="90"/>
        <v>0</v>
      </c>
      <c r="DJ195">
        <f>DG195+DH195</f>
        <v>53.25</v>
      </c>
      <c r="DK195">
        <v>1</v>
      </c>
      <c r="DL195" t="s">
        <v>456</v>
      </c>
      <c r="DM195">
        <v>4</v>
      </c>
      <c r="DN195" t="s">
        <v>449</v>
      </c>
      <c r="DO195">
        <v>1</v>
      </c>
    </row>
    <row r="196" spans="1:119" x14ac:dyDescent="0.2">
      <c r="A196">
        <f>ROW(Source!A154)</f>
        <v>154</v>
      </c>
      <c r="B196">
        <v>80308166</v>
      </c>
      <c r="C196">
        <v>80308895</v>
      </c>
      <c r="D196">
        <v>72976354</v>
      </c>
      <c r="E196">
        <v>1</v>
      </c>
      <c r="F196">
        <v>1</v>
      </c>
      <c r="G196">
        <v>1</v>
      </c>
      <c r="H196">
        <v>2</v>
      </c>
      <c r="I196" t="s">
        <v>477</v>
      </c>
      <c r="J196" t="s">
        <v>478</v>
      </c>
      <c r="K196" t="s">
        <v>479</v>
      </c>
      <c r="L196">
        <v>1368</v>
      </c>
      <c r="N196">
        <v>1011</v>
      </c>
      <c r="O196" t="s">
        <v>455</v>
      </c>
      <c r="P196" t="s">
        <v>455</v>
      </c>
      <c r="Q196">
        <v>1</v>
      </c>
      <c r="W196">
        <v>0</v>
      </c>
      <c r="X196">
        <v>-334821386</v>
      </c>
      <c r="Y196">
        <f t="shared" si="86"/>
        <v>2.25</v>
      </c>
      <c r="AA196">
        <v>0</v>
      </c>
      <c r="AB196">
        <v>32.26</v>
      </c>
      <c r="AC196">
        <v>0</v>
      </c>
      <c r="AD196">
        <v>0</v>
      </c>
      <c r="AE196">
        <v>0</v>
      </c>
      <c r="AF196">
        <v>32.26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-2</v>
      </c>
      <c r="AN196">
        <v>0</v>
      </c>
      <c r="AO196">
        <v>0</v>
      </c>
      <c r="AP196">
        <v>1</v>
      </c>
      <c r="AQ196">
        <v>1</v>
      </c>
      <c r="AR196">
        <v>0</v>
      </c>
      <c r="AS196" t="s">
        <v>3</v>
      </c>
      <c r="AT196">
        <v>7.5</v>
      </c>
      <c r="AU196" t="s">
        <v>73</v>
      </c>
      <c r="AV196">
        <v>1</v>
      </c>
      <c r="AW196">
        <v>2</v>
      </c>
      <c r="AX196">
        <v>80308914</v>
      </c>
      <c r="AY196">
        <v>1</v>
      </c>
      <c r="AZ196">
        <v>0</v>
      </c>
      <c r="BA196">
        <v>192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241.95</v>
      </c>
      <c r="BL196">
        <v>0</v>
      </c>
      <c r="BM196">
        <v>0</v>
      </c>
      <c r="BN196">
        <v>0</v>
      </c>
      <c r="BO196">
        <v>0</v>
      </c>
      <c r="BP196">
        <v>1</v>
      </c>
      <c r="BQ196">
        <v>0</v>
      </c>
      <c r="BR196">
        <v>72.584999999999994</v>
      </c>
      <c r="BS196">
        <v>0</v>
      </c>
      <c r="BT196">
        <v>0</v>
      </c>
      <c r="BU196">
        <v>0</v>
      </c>
      <c r="BV196">
        <v>0</v>
      </c>
      <c r="BW196">
        <v>1</v>
      </c>
      <c r="CV196">
        <v>0</v>
      </c>
      <c r="CW196">
        <f>ROUND(Y196*Source!I154*DO196,7)</f>
        <v>0</v>
      </c>
      <c r="CX196">
        <f>ROUND(Y196*Source!I154,7)</f>
        <v>0.45</v>
      </c>
      <c r="CY196">
        <f>AB196</f>
        <v>32.26</v>
      </c>
      <c r="CZ196">
        <f>AF196</f>
        <v>32.26</v>
      </c>
      <c r="DA196">
        <f>AJ196</f>
        <v>1</v>
      </c>
      <c r="DB196">
        <f t="shared" si="87"/>
        <v>72.584999999999994</v>
      </c>
      <c r="DC196">
        <f t="shared" si="88"/>
        <v>0</v>
      </c>
      <c r="DD196" t="s">
        <v>3</v>
      </c>
      <c r="DE196" t="s">
        <v>3</v>
      </c>
      <c r="DF196">
        <f t="shared" si="85"/>
        <v>0</v>
      </c>
      <c r="DG196">
        <f t="shared" si="91"/>
        <v>14.52</v>
      </c>
      <c r="DH196">
        <f t="shared" si="89"/>
        <v>0</v>
      </c>
      <c r="DI196">
        <f t="shared" si="90"/>
        <v>0</v>
      </c>
      <c r="DJ196">
        <f>DG196+DH196</f>
        <v>14.52</v>
      </c>
      <c r="DK196">
        <v>1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ROW(Source!A154)</f>
        <v>154</v>
      </c>
      <c r="B197">
        <v>80308166</v>
      </c>
      <c r="C197">
        <v>80308895</v>
      </c>
      <c r="D197">
        <v>72920216</v>
      </c>
      <c r="E197">
        <v>1</v>
      </c>
      <c r="F197">
        <v>1</v>
      </c>
      <c r="G197">
        <v>1</v>
      </c>
      <c r="H197">
        <v>3</v>
      </c>
      <c r="I197" t="s">
        <v>488</v>
      </c>
      <c r="J197" t="s">
        <v>489</v>
      </c>
      <c r="K197" t="s">
        <v>490</v>
      </c>
      <c r="L197">
        <v>1339</v>
      </c>
      <c r="N197">
        <v>1007</v>
      </c>
      <c r="O197" t="s">
        <v>309</v>
      </c>
      <c r="P197" t="s">
        <v>309</v>
      </c>
      <c r="Q197">
        <v>1</v>
      </c>
      <c r="W197">
        <v>0</v>
      </c>
      <c r="X197">
        <v>1997520280</v>
      </c>
      <c r="Y197">
        <f>(AT197*ROUND(0,7))</f>
        <v>0</v>
      </c>
      <c r="AA197">
        <v>510.62</v>
      </c>
      <c r="AB197">
        <v>0</v>
      </c>
      <c r="AC197">
        <v>0</v>
      </c>
      <c r="AD197">
        <v>0</v>
      </c>
      <c r="AE197">
        <v>340.41</v>
      </c>
      <c r="AF197">
        <v>0</v>
      </c>
      <c r="AG197">
        <v>0</v>
      </c>
      <c r="AH197">
        <v>0</v>
      </c>
      <c r="AI197">
        <v>1.5</v>
      </c>
      <c r="AJ197">
        <v>1</v>
      </c>
      <c r="AK197">
        <v>1</v>
      </c>
      <c r="AL197">
        <v>1</v>
      </c>
      <c r="AM197">
        <v>2</v>
      </c>
      <c r="AN197">
        <v>0</v>
      </c>
      <c r="AO197">
        <v>0</v>
      </c>
      <c r="AP197">
        <v>1</v>
      </c>
      <c r="AQ197">
        <v>1</v>
      </c>
      <c r="AR197">
        <v>0</v>
      </c>
      <c r="AS197" t="s">
        <v>3</v>
      </c>
      <c r="AT197">
        <v>0.154</v>
      </c>
      <c r="AU197" t="s">
        <v>72</v>
      </c>
      <c r="AV197">
        <v>0</v>
      </c>
      <c r="AW197">
        <v>2</v>
      </c>
      <c r="AX197">
        <v>80308915</v>
      </c>
      <c r="AY197">
        <v>1</v>
      </c>
      <c r="AZ197">
        <v>0</v>
      </c>
      <c r="BA197">
        <v>193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52.423140000000004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1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V197">
        <v>0</v>
      </c>
      <c r="CW197">
        <v>0</v>
      </c>
      <c r="CX197">
        <f>ROUND(Y197*Source!I154,7)</f>
        <v>0</v>
      </c>
      <c r="CY197">
        <f>AA197</f>
        <v>510.62</v>
      </c>
      <c r="CZ197">
        <f>AE197</f>
        <v>340.41</v>
      </c>
      <c r="DA197">
        <f>AI197</f>
        <v>1.5</v>
      </c>
      <c r="DB197">
        <f>ROUND((ROUND(AT197*CZ197,2)*ROUND(0,7)),6)</f>
        <v>0</v>
      </c>
      <c r="DC197">
        <f>ROUND((ROUND(AT197*AG197,2)*ROUND(0,7)),6)</f>
        <v>0</v>
      </c>
      <c r="DD197" t="s">
        <v>3</v>
      </c>
      <c r="DE197" t="s">
        <v>3</v>
      </c>
      <c r="DF197">
        <f>ROUND(ROUND(AE197*AI197,2)*CX197,2)</f>
        <v>0</v>
      </c>
      <c r="DG197">
        <f t="shared" si="91"/>
        <v>0</v>
      </c>
      <c r="DH197">
        <f t="shared" si="89"/>
        <v>0</v>
      </c>
      <c r="DI197">
        <f t="shared" si="90"/>
        <v>0</v>
      </c>
      <c r="DJ197">
        <f>DF197</f>
        <v>0</v>
      </c>
      <c r="DK197">
        <v>0</v>
      </c>
      <c r="DL197" t="s">
        <v>3</v>
      </c>
      <c r="DM197">
        <v>0</v>
      </c>
      <c r="DN197" t="s">
        <v>3</v>
      </c>
      <c r="DO197">
        <v>0</v>
      </c>
    </row>
    <row r="198" spans="1:119" x14ac:dyDescent="0.2">
      <c r="A198">
        <f>ROW(Source!A154)</f>
        <v>154</v>
      </c>
      <c r="B198">
        <v>80308166</v>
      </c>
      <c r="C198">
        <v>80308895</v>
      </c>
      <c r="D198">
        <v>72920232</v>
      </c>
      <c r="E198">
        <v>1</v>
      </c>
      <c r="F198">
        <v>1</v>
      </c>
      <c r="G198">
        <v>1</v>
      </c>
      <c r="H198">
        <v>3</v>
      </c>
      <c r="I198" t="s">
        <v>491</v>
      </c>
      <c r="J198" t="s">
        <v>492</v>
      </c>
      <c r="K198" t="s">
        <v>493</v>
      </c>
      <c r="L198">
        <v>1339</v>
      </c>
      <c r="N198">
        <v>1007</v>
      </c>
      <c r="O198" t="s">
        <v>309</v>
      </c>
      <c r="P198" t="s">
        <v>309</v>
      </c>
      <c r="Q198">
        <v>1</v>
      </c>
      <c r="W198">
        <v>0</v>
      </c>
      <c r="X198">
        <v>245356557</v>
      </c>
      <c r="Y198">
        <f>(AT198*ROUND(0,7))</f>
        <v>0</v>
      </c>
      <c r="AA198">
        <v>97.44</v>
      </c>
      <c r="AB198">
        <v>0</v>
      </c>
      <c r="AC198">
        <v>0</v>
      </c>
      <c r="AD198">
        <v>0</v>
      </c>
      <c r="AE198">
        <v>114.64</v>
      </c>
      <c r="AF198">
        <v>0</v>
      </c>
      <c r="AG198">
        <v>0</v>
      </c>
      <c r="AH198">
        <v>0</v>
      </c>
      <c r="AI198">
        <v>0.85</v>
      </c>
      <c r="AJ198">
        <v>1</v>
      </c>
      <c r="AK198">
        <v>1</v>
      </c>
      <c r="AL198">
        <v>1</v>
      </c>
      <c r="AM198">
        <v>2</v>
      </c>
      <c r="AN198">
        <v>0</v>
      </c>
      <c r="AO198">
        <v>0</v>
      </c>
      <c r="AP198">
        <v>1</v>
      </c>
      <c r="AQ198">
        <v>1</v>
      </c>
      <c r="AR198">
        <v>0</v>
      </c>
      <c r="AS198" t="s">
        <v>3</v>
      </c>
      <c r="AT198">
        <v>0.7</v>
      </c>
      <c r="AU198" t="s">
        <v>72</v>
      </c>
      <c r="AV198">
        <v>0</v>
      </c>
      <c r="AW198">
        <v>2</v>
      </c>
      <c r="AX198">
        <v>80308916</v>
      </c>
      <c r="AY198">
        <v>1</v>
      </c>
      <c r="AZ198">
        <v>0</v>
      </c>
      <c r="BA198">
        <v>194</v>
      </c>
      <c r="BB198">
        <v>1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80.24799999999999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1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V198">
        <v>0</v>
      </c>
      <c r="CW198">
        <v>0</v>
      </c>
      <c r="CX198">
        <f>ROUND(Y198*Source!I154,7)</f>
        <v>0</v>
      </c>
      <c r="CY198">
        <f>AA198</f>
        <v>97.44</v>
      </c>
      <c r="CZ198">
        <f>AE198</f>
        <v>114.64</v>
      </c>
      <c r="DA198">
        <f>AI198</f>
        <v>0.85</v>
      </c>
      <c r="DB198">
        <f>ROUND((ROUND(AT198*CZ198,2)*ROUND(0,7)),6)</f>
        <v>0</v>
      </c>
      <c r="DC198">
        <f>ROUND((ROUND(AT198*AG198,2)*ROUND(0,7)),6)</f>
        <v>0</v>
      </c>
      <c r="DD198" t="s">
        <v>3</v>
      </c>
      <c r="DE198" t="s">
        <v>3</v>
      </c>
      <c r="DF198">
        <f>ROUND(ROUND(AE198*AI198,2)*CX198,2)</f>
        <v>0</v>
      </c>
      <c r="DG198">
        <f t="shared" si="91"/>
        <v>0</v>
      </c>
      <c r="DH198">
        <f t="shared" si="89"/>
        <v>0</v>
      </c>
      <c r="DI198">
        <f t="shared" si="90"/>
        <v>0</v>
      </c>
      <c r="DJ198">
        <f>DF198</f>
        <v>0</v>
      </c>
      <c r="DK198">
        <v>0</v>
      </c>
      <c r="DL198" t="s">
        <v>3</v>
      </c>
      <c r="DM198">
        <v>0</v>
      </c>
      <c r="DN198" t="s">
        <v>3</v>
      </c>
      <c r="DO198">
        <v>0</v>
      </c>
    </row>
    <row r="199" spans="1:119" x14ac:dyDescent="0.2">
      <c r="A199">
        <f>ROW(Source!A154)</f>
        <v>154</v>
      </c>
      <c r="B199">
        <v>80308166</v>
      </c>
      <c r="C199">
        <v>80308895</v>
      </c>
      <c r="D199">
        <v>72922358</v>
      </c>
      <c r="E199">
        <v>1</v>
      </c>
      <c r="F199">
        <v>1</v>
      </c>
      <c r="G199">
        <v>1</v>
      </c>
      <c r="H199">
        <v>3</v>
      </c>
      <c r="I199" t="s">
        <v>613</v>
      </c>
      <c r="J199" t="s">
        <v>614</v>
      </c>
      <c r="K199" t="s">
        <v>615</v>
      </c>
      <c r="L199">
        <v>1383</v>
      </c>
      <c r="N199">
        <v>1013</v>
      </c>
      <c r="O199" t="s">
        <v>616</v>
      </c>
      <c r="P199" t="s">
        <v>616</v>
      </c>
      <c r="Q199">
        <v>1</v>
      </c>
      <c r="W199">
        <v>0</v>
      </c>
      <c r="X199">
        <v>-2119218604</v>
      </c>
      <c r="Y199">
        <f>(AT199*ROUND(0,7))</f>
        <v>0</v>
      </c>
      <c r="AA199">
        <v>6.78</v>
      </c>
      <c r="AB199">
        <v>0</v>
      </c>
      <c r="AC199">
        <v>0</v>
      </c>
      <c r="AD199">
        <v>0</v>
      </c>
      <c r="AE199">
        <v>6.78</v>
      </c>
      <c r="AF199">
        <v>0</v>
      </c>
      <c r="AG199">
        <v>0</v>
      </c>
      <c r="AH199">
        <v>0</v>
      </c>
      <c r="AI199">
        <v>1</v>
      </c>
      <c r="AJ199">
        <v>1</v>
      </c>
      <c r="AK199">
        <v>1</v>
      </c>
      <c r="AL199">
        <v>1</v>
      </c>
      <c r="AM199">
        <v>-2</v>
      </c>
      <c r="AN199">
        <v>0</v>
      </c>
      <c r="AO199">
        <v>0</v>
      </c>
      <c r="AP199">
        <v>1</v>
      </c>
      <c r="AQ199">
        <v>1</v>
      </c>
      <c r="AR199">
        <v>0</v>
      </c>
      <c r="AS199" t="s">
        <v>3</v>
      </c>
      <c r="AT199">
        <v>1.71</v>
      </c>
      <c r="AU199" t="s">
        <v>72</v>
      </c>
      <c r="AV199">
        <v>0</v>
      </c>
      <c r="AW199">
        <v>2</v>
      </c>
      <c r="AX199">
        <v>80308917</v>
      </c>
      <c r="AY199">
        <v>1</v>
      </c>
      <c r="AZ199">
        <v>0</v>
      </c>
      <c r="BA199">
        <v>195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11.5938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1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V199">
        <v>0</v>
      </c>
      <c r="CW199">
        <v>0</v>
      </c>
      <c r="CX199">
        <f>ROUND(Y199*Source!I154,7)</f>
        <v>0</v>
      </c>
      <c r="CY199">
        <f>AA199</f>
        <v>6.78</v>
      </c>
      <c r="CZ199">
        <f>AE199</f>
        <v>6.78</v>
      </c>
      <c r="DA199">
        <f>AI199</f>
        <v>1</v>
      </c>
      <c r="DB199">
        <f>ROUND((ROUND(AT199*CZ199,2)*ROUND(0,7)),6)</f>
        <v>0</v>
      </c>
      <c r="DC199">
        <f>ROUND((ROUND(AT199*AG199,2)*ROUND(0,7)),6)</f>
        <v>0</v>
      </c>
      <c r="DD199" t="s">
        <v>3</v>
      </c>
      <c r="DE199" t="s">
        <v>3</v>
      </c>
      <c r="DF199">
        <f>ROUND(ROUND(AE199,2)*CX199,2)</f>
        <v>0</v>
      </c>
      <c r="DG199">
        <f t="shared" si="91"/>
        <v>0</v>
      </c>
      <c r="DH199">
        <f t="shared" si="89"/>
        <v>0</v>
      </c>
      <c r="DI199">
        <f t="shared" si="90"/>
        <v>0</v>
      </c>
      <c r="DJ199">
        <f>DF199</f>
        <v>0</v>
      </c>
      <c r="DK199">
        <v>1</v>
      </c>
      <c r="DL199" t="s">
        <v>3</v>
      </c>
      <c r="DM199">
        <v>0</v>
      </c>
      <c r="DN199" t="s">
        <v>3</v>
      </c>
      <c r="DO199">
        <v>0</v>
      </c>
    </row>
    <row r="200" spans="1:119" x14ac:dyDescent="0.2">
      <c r="A200">
        <f>ROW(Source!A154)</f>
        <v>154</v>
      </c>
      <c r="B200">
        <v>80308166</v>
      </c>
      <c r="C200">
        <v>80308895</v>
      </c>
      <c r="D200">
        <v>72923052</v>
      </c>
      <c r="E200">
        <v>1</v>
      </c>
      <c r="F200">
        <v>1</v>
      </c>
      <c r="G200">
        <v>1</v>
      </c>
      <c r="H200">
        <v>3</v>
      </c>
      <c r="I200" t="s">
        <v>617</v>
      </c>
      <c r="J200" t="s">
        <v>618</v>
      </c>
      <c r="K200" t="s">
        <v>619</v>
      </c>
      <c r="L200">
        <v>1348</v>
      </c>
      <c r="N200">
        <v>1009</v>
      </c>
      <c r="O200" t="s">
        <v>35</v>
      </c>
      <c r="P200" t="s">
        <v>35</v>
      </c>
      <c r="Q200">
        <v>1000</v>
      </c>
      <c r="W200">
        <v>0</v>
      </c>
      <c r="X200">
        <v>128596359</v>
      </c>
      <c r="Y200">
        <f>(AT200*ROUND(0,7))</f>
        <v>0</v>
      </c>
      <c r="AA200">
        <v>123442.39</v>
      </c>
      <c r="AB200">
        <v>0</v>
      </c>
      <c r="AC200">
        <v>0</v>
      </c>
      <c r="AD200">
        <v>0</v>
      </c>
      <c r="AE200">
        <v>158259.47</v>
      </c>
      <c r="AF200">
        <v>0</v>
      </c>
      <c r="AG200">
        <v>0</v>
      </c>
      <c r="AH200">
        <v>0</v>
      </c>
      <c r="AI200">
        <v>0.78</v>
      </c>
      <c r="AJ200">
        <v>1</v>
      </c>
      <c r="AK200">
        <v>1</v>
      </c>
      <c r="AL200">
        <v>1</v>
      </c>
      <c r="AM200">
        <v>2</v>
      </c>
      <c r="AN200">
        <v>0</v>
      </c>
      <c r="AO200">
        <v>0</v>
      </c>
      <c r="AP200">
        <v>1</v>
      </c>
      <c r="AQ200">
        <v>1</v>
      </c>
      <c r="AR200">
        <v>0</v>
      </c>
      <c r="AS200" t="s">
        <v>3</v>
      </c>
      <c r="AT200">
        <v>2.7399999999999998E-3</v>
      </c>
      <c r="AU200" t="s">
        <v>72</v>
      </c>
      <c r="AV200">
        <v>0</v>
      </c>
      <c r="AW200">
        <v>2</v>
      </c>
      <c r="AX200">
        <v>80308918</v>
      </c>
      <c r="AY200">
        <v>1</v>
      </c>
      <c r="AZ200">
        <v>0</v>
      </c>
      <c r="BA200">
        <v>196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433.6309478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V200">
        <v>0</v>
      </c>
      <c r="CW200">
        <v>0</v>
      </c>
      <c r="CX200">
        <f>ROUND(Y200*Source!I154,7)</f>
        <v>0</v>
      </c>
      <c r="CY200">
        <f>AA200</f>
        <v>123442.39</v>
      </c>
      <c r="CZ200">
        <f>AE200</f>
        <v>158259.47</v>
      </c>
      <c r="DA200">
        <f>AI200</f>
        <v>0.78</v>
      </c>
      <c r="DB200">
        <f>ROUND((ROUND(AT200*CZ200,2)*ROUND(0,7)),6)</f>
        <v>0</v>
      </c>
      <c r="DC200">
        <f>ROUND((ROUND(AT200*AG200,2)*ROUND(0,7)),6)</f>
        <v>0</v>
      </c>
      <c r="DD200" t="s">
        <v>3</v>
      </c>
      <c r="DE200" t="s">
        <v>3</v>
      </c>
      <c r="DF200">
        <f>ROUND(ROUND(AE200*AI200,2)*CX200,2)</f>
        <v>0</v>
      </c>
      <c r="DG200">
        <f t="shared" si="91"/>
        <v>0</v>
      </c>
      <c r="DH200">
        <f t="shared" si="89"/>
        <v>0</v>
      </c>
      <c r="DI200">
        <f t="shared" si="90"/>
        <v>0</v>
      </c>
      <c r="DJ200">
        <f>DF200</f>
        <v>0</v>
      </c>
      <c r="DK200">
        <v>0</v>
      </c>
      <c r="DL200" t="s">
        <v>3</v>
      </c>
      <c r="DM200">
        <v>0</v>
      </c>
      <c r="DN200" t="s">
        <v>3</v>
      </c>
      <c r="DO200">
        <v>0</v>
      </c>
    </row>
    <row r="201" spans="1:119" x14ac:dyDescent="0.2">
      <c r="A201">
        <f>ROW(Source!A154)</f>
        <v>154</v>
      </c>
      <c r="B201">
        <v>80308166</v>
      </c>
      <c r="C201">
        <v>80308895</v>
      </c>
      <c r="D201">
        <v>72856513</v>
      </c>
      <c r="E201">
        <v>114</v>
      </c>
      <c r="F201">
        <v>1</v>
      </c>
      <c r="G201">
        <v>1</v>
      </c>
      <c r="H201">
        <v>3</v>
      </c>
      <c r="I201" t="s">
        <v>81</v>
      </c>
      <c r="J201" t="s">
        <v>3</v>
      </c>
      <c r="K201" t="s">
        <v>82</v>
      </c>
      <c r="L201">
        <v>3277935</v>
      </c>
      <c r="N201">
        <v>1013</v>
      </c>
      <c r="O201" t="s">
        <v>83</v>
      </c>
      <c r="P201" t="s">
        <v>83</v>
      </c>
      <c r="Q201">
        <v>1</v>
      </c>
      <c r="W201">
        <v>0</v>
      </c>
      <c r="X201">
        <v>274903907</v>
      </c>
      <c r="Y201">
        <f t="shared" ref="Y201:Y215" si="92">AT201</f>
        <v>2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M201">
        <v>-2</v>
      </c>
      <c r="AN201">
        <v>0</v>
      </c>
      <c r="AO201">
        <v>0</v>
      </c>
      <c r="AP201">
        <v>0</v>
      </c>
      <c r="AQ201">
        <v>0</v>
      </c>
      <c r="AR201">
        <v>0</v>
      </c>
      <c r="AS201" t="s">
        <v>3</v>
      </c>
      <c r="AT201">
        <v>2</v>
      </c>
      <c r="AU201" t="s">
        <v>3</v>
      </c>
      <c r="AV201">
        <v>0</v>
      </c>
      <c r="AW201">
        <v>2</v>
      </c>
      <c r="AX201">
        <v>80308919</v>
      </c>
      <c r="AY201">
        <v>1</v>
      </c>
      <c r="AZ201">
        <v>2048</v>
      </c>
      <c r="BA201">
        <v>197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V201">
        <v>0</v>
      </c>
      <c r="CW201">
        <v>0</v>
      </c>
      <c r="CX201">
        <f>ROUND(Y201*Source!I154,7)</f>
        <v>0.4</v>
      </c>
      <c r="CY201">
        <f>AA201</f>
        <v>0</v>
      </c>
      <c r="CZ201">
        <f>AE201</f>
        <v>0</v>
      </c>
      <c r="DA201">
        <f>AI201</f>
        <v>1</v>
      </c>
      <c r="DB201">
        <f t="shared" ref="DB201:DB215" si="93">ROUND(ROUND(AT201*CZ201,2),6)</f>
        <v>0</v>
      </c>
      <c r="DC201">
        <f t="shared" ref="DC201:DC215" si="94">ROUND(ROUND(AT201*AG201,2),6)</f>
        <v>0</v>
      </c>
      <c r="DD201" t="s">
        <v>3</v>
      </c>
      <c r="DE201" t="s">
        <v>3</v>
      </c>
      <c r="DF201">
        <f t="shared" ref="DF201:DF208" si="95">ROUND(ROUND(AE201,2)*CX201,2)</f>
        <v>0</v>
      </c>
      <c r="DG201">
        <f t="shared" si="91"/>
        <v>0</v>
      </c>
      <c r="DH201">
        <f t="shared" si="89"/>
        <v>0</v>
      </c>
      <c r="DI201">
        <f t="shared" si="90"/>
        <v>0</v>
      </c>
      <c r="DJ201">
        <f>DF201</f>
        <v>0</v>
      </c>
      <c r="DK201">
        <v>0</v>
      </c>
      <c r="DL201" t="s">
        <v>3</v>
      </c>
      <c r="DM201">
        <v>0</v>
      </c>
      <c r="DN201" t="s">
        <v>3</v>
      </c>
      <c r="DO201">
        <v>0</v>
      </c>
    </row>
    <row r="202" spans="1:119" x14ac:dyDescent="0.2">
      <c r="A202">
        <f>ROW(Source!A156)</f>
        <v>156</v>
      </c>
      <c r="B202">
        <v>80308166</v>
      </c>
      <c r="C202">
        <v>80308921</v>
      </c>
      <c r="D202">
        <v>72850651</v>
      </c>
      <c r="E202">
        <v>114</v>
      </c>
      <c r="F202">
        <v>1</v>
      </c>
      <c r="G202">
        <v>1</v>
      </c>
      <c r="H202">
        <v>1</v>
      </c>
      <c r="I202" t="s">
        <v>486</v>
      </c>
      <c r="J202" t="s">
        <v>3</v>
      </c>
      <c r="K202" t="s">
        <v>487</v>
      </c>
      <c r="L202">
        <v>1191</v>
      </c>
      <c r="N202">
        <v>1013</v>
      </c>
      <c r="O202" t="s">
        <v>449</v>
      </c>
      <c r="P202" t="s">
        <v>449</v>
      </c>
      <c r="Q202">
        <v>1</v>
      </c>
      <c r="W202">
        <v>0</v>
      </c>
      <c r="X202">
        <v>888410196</v>
      </c>
      <c r="Y202">
        <f t="shared" si="92"/>
        <v>62</v>
      </c>
      <c r="AA202">
        <v>0</v>
      </c>
      <c r="AB202">
        <v>0</v>
      </c>
      <c r="AC202">
        <v>0</v>
      </c>
      <c r="AD202">
        <v>722.05</v>
      </c>
      <c r="AE202">
        <v>0</v>
      </c>
      <c r="AF202">
        <v>0</v>
      </c>
      <c r="AG202">
        <v>0</v>
      </c>
      <c r="AH202">
        <v>722.05</v>
      </c>
      <c r="AI202">
        <v>1</v>
      </c>
      <c r="AJ202">
        <v>1</v>
      </c>
      <c r="AK202">
        <v>1</v>
      </c>
      <c r="AL202">
        <v>1</v>
      </c>
      <c r="AM202">
        <v>-2</v>
      </c>
      <c r="AN202">
        <v>0</v>
      </c>
      <c r="AO202">
        <v>0</v>
      </c>
      <c r="AP202">
        <v>0</v>
      </c>
      <c r="AQ202">
        <v>1</v>
      </c>
      <c r="AR202">
        <v>0</v>
      </c>
      <c r="AS202" t="s">
        <v>3</v>
      </c>
      <c r="AT202">
        <v>62</v>
      </c>
      <c r="AU202" t="s">
        <v>3</v>
      </c>
      <c r="AV202">
        <v>1</v>
      </c>
      <c r="AW202">
        <v>2</v>
      </c>
      <c r="AX202">
        <v>80308934</v>
      </c>
      <c r="AY202">
        <v>1</v>
      </c>
      <c r="AZ202">
        <v>0</v>
      </c>
      <c r="BA202">
        <v>198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44767.1</v>
      </c>
      <c r="BN202">
        <v>62</v>
      </c>
      <c r="BO202">
        <v>0</v>
      </c>
      <c r="BP202">
        <v>1</v>
      </c>
      <c r="BQ202">
        <v>0</v>
      </c>
      <c r="BR202">
        <v>0</v>
      </c>
      <c r="BS202">
        <v>0</v>
      </c>
      <c r="BT202">
        <v>44767.1</v>
      </c>
      <c r="BU202">
        <v>62</v>
      </c>
      <c r="BV202">
        <v>0</v>
      </c>
      <c r="BW202">
        <v>1</v>
      </c>
      <c r="CU202">
        <f>ROUND(AT202*Source!I156*AH202*AL202,2)</f>
        <v>8953.42</v>
      </c>
      <c r="CV202">
        <f>ROUND(Y202*Source!I156,7)</f>
        <v>12.4</v>
      </c>
      <c r="CW202">
        <v>0</v>
      </c>
      <c r="CX202">
        <f>ROUND(Y202*Source!I156,7)</f>
        <v>12.4</v>
      </c>
      <c r="CY202">
        <f>AD202</f>
        <v>722.05</v>
      </c>
      <c r="CZ202">
        <f>AH202</f>
        <v>722.05</v>
      </c>
      <c r="DA202">
        <f>AL202</f>
        <v>1</v>
      </c>
      <c r="DB202">
        <f t="shared" si="93"/>
        <v>44767.1</v>
      </c>
      <c r="DC202">
        <f t="shared" si="94"/>
        <v>0</v>
      </c>
      <c r="DD202" t="s">
        <v>3</v>
      </c>
      <c r="DE202" t="s">
        <v>3</v>
      </c>
      <c r="DF202">
        <f t="shared" si="95"/>
        <v>0</v>
      </c>
      <c r="DG202">
        <f t="shared" si="91"/>
        <v>0</v>
      </c>
      <c r="DH202">
        <f t="shared" si="89"/>
        <v>0</v>
      </c>
      <c r="DI202">
        <f t="shared" si="90"/>
        <v>8953.42</v>
      </c>
      <c r="DJ202">
        <f>DI202</f>
        <v>8953.42</v>
      </c>
      <c r="DK202">
        <v>1</v>
      </c>
      <c r="DL202" t="s">
        <v>3</v>
      </c>
      <c r="DM202">
        <v>0</v>
      </c>
      <c r="DN202" t="s">
        <v>3</v>
      </c>
      <c r="DO202">
        <v>0</v>
      </c>
    </row>
    <row r="203" spans="1:119" x14ac:dyDescent="0.2">
      <c r="A203">
        <f>ROW(Source!A156)</f>
        <v>156</v>
      </c>
      <c r="B203">
        <v>80308166</v>
      </c>
      <c r="C203">
        <v>80308921</v>
      </c>
      <c r="D203">
        <v>72850822</v>
      </c>
      <c r="E203">
        <v>114</v>
      </c>
      <c r="F203">
        <v>1</v>
      </c>
      <c r="G203">
        <v>1</v>
      </c>
      <c r="H203">
        <v>1</v>
      </c>
      <c r="I203" t="s">
        <v>450</v>
      </c>
      <c r="J203" t="s">
        <v>3</v>
      </c>
      <c r="K203" t="s">
        <v>451</v>
      </c>
      <c r="L203">
        <v>1191</v>
      </c>
      <c r="N203">
        <v>1013</v>
      </c>
      <c r="O203" t="s">
        <v>449</v>
      </c>
      <c r="P203" t="s">
        <v>449</v>
      </c>
      <c r="Q203">
        <v>1</v>
      </c>
      <c r="W203">
        <v>0</v>
      </c>
      <c r="X203">
        <v>-1417349443</v>
      </c>
      <c r="Y203">
        <f t="shared" si="92"/>
        <v>1.3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M203">
        <v>-2</v>
      </c>
      <c r="AN203">
        <v>0</v>
      </c>
      <c r="AO203">
        <v>0</v>
      </c>
      <c r="AP203">
        <v>0</v>
      </c>
      <c r="AQ203">
        <v>1</v>
      </c>
      <c r="AR203">
        <v>0</v>
      </c>
      <c r="AS203" t="s">
        <v>3</v>
      </c>
      <c r="AT203">
        <v>1.3</v>
      </c>
      <c r="AU203" t="s">
        <v>3</v>
      </c>
      <c r="AV203">
        <v>2</v>
      </c>
      <c r="AW203">
        <v>2</v>
      </c>
      <c r="AX203">
        <v>80308935</v>
      </c>
      <c r="AY203">
        <v>1</v>
      </c>
      <c r="AZ203">
        <v>0</v>
      </c>
      <c r="BA203">
        <v>199</v>
      </c>
      <c r="BB203">
        <v>1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V203">
        <v>0</v>
      </c>
      <c r="CW203">
        <v>0</v>
      </c>
      <c r="CX203">
        <f>ROUND(Y203*Source!I156,7)</f>
        <v>0.26</v>
      </c>
      <c r="CY203">
        <f>AD203</f>
        <v>0</v>
      </c>
      <c r="CZ203">
        <f>AH203</f>
        <v>0</v>
      </c>
      <c r="DA203">
        <f>AL203</f>
        <v>1</v>
      </c>
      <c r="DB203">
        <f t="shared" si="93"/>
        <v>0</v>
      </c>
      <c r="DC203">
        <f t="shared" si="94"/>
        <v>0</v>
      </c>
      <c r="DD203" t="s">
        <v>3</v>
      </c>
      <c r="DE203" t="s">
        <v>3</v>
      </c>
      <c r="DF203">
        <f t="shared" si="95"/>
        <v>0</v>
      </c>
      <c r="DG203">
        <f t="shared" si="91"/>
        <v>0</v>
      </c>
      <c r="DH203">
        <f t="shared" si="89"/>
        <v>0</v>
      </c>
      <c r="DI203">
        <f t="shared" si="90"/>
        <v>0</v>
      </c>
      <c r="DJ203">
        <f>DI203</f>
        <v>0</v>
      </c>
      <c r="DK203">
        <v>0</v>
      </c>
      <c r="DL203" t="s">
        <v>3</v>
      </c>
      <c r="DM203">
        <v>0</v>
      </c>
      <c r="DN203" t="s">
        <v>3</v>
      </c>
      <c r="DO203">
        <v>0</v>
      </c>
    </row>
    <row r="204" spans="1:119" x14ac:dyDescent="0.2">
      <c r="A204">
        <f>ROW(Source!A156)</f>
        <v>156</v>
      </c>
      <c r="B204">
        <v>80308166</v>
      </c>
      <c r="C204">
        <v>80308921</v>
      </c>
      <c r="D204">
        <v>72975268</v>
      </c>
      <c r="E204">
        <v>1</v>
      </c>
      <c r="F204">
        <v>1</v>
      </c>
      <c r="G204">
        <v>1</v>
      </c>
      <c r="H204">
        <v>2</v>
      </c>
      <c r="I204" t="s">
        <v>474</v>
      </c>
      <c r="J204" t="s">
        <v>475</v>
      </c>
      <c r="K204" t="s">
        <v>476</v>
      </c>
      <c r="L204">
        <v>1368</v>
      </c>
      <c r="N204">
        <v>1011</v>
      </c>
      <c r="O204" t="s">
        <v>455</v>
      </c>
      <c r="P204" t="s">
        <v>455</v>
      </c>
      <c r="Q204">
        <v>1</v>
      </c>
      <c r="W204">
        <v>0</v>
      </c>
      <c r="X204">
        <v>-468861091</v>
      </c>
      <c r="Y204">
        <f t="shared" si="92"/>
        <v>0.65</v>
      </c>
      <c r="AA204">
        <v>0</v>
      </c>
      <c r="AB204">
        <v>1629.55</v>
      </c>
      <c r="AC204">
        <v>969.91</v>
      </c>
      <c r="AD204">
        <v>0</v>
      </c>
      <c r="AE204">
        <v>0</v>
      </c>
      <c r="AF204">
        <v>1629.55</v>
      </c>
      <c r="AG204">
        <v>969.91</v>
      </c>
      <c r="AH204">
        <v>0</v>
      </c>
      <c r="AI204">
        <v>1</v>
      </c>
      <c r="AJ204">
        <v>1</v>
      </c>
      <c r="AK204">
        <v>1</v>
      </c>
      <c r="AL204">
        <v>1</v>
      </c>
      <c r="AM204">
        <v>-2</v>
      </c>
      <c r="AN204">
        <v>0</v>
      </c>
      <c r="AO204">
        <v>0</v>
      </c>
      <c r="AP204">
        <v>0</v>
      </c>
      <c r="AQ204">
        <v>1</v>
      </c>
      <c r="AR204">
        <v>0</v>
      </c>
      <c r="AS204" t="s">
        <v>3</v>
      </c>
      <c r="AT204">
        <v>0.65</v>
      </c>
      <c r="AU204" t="s">
        <v>3</v>
      </c>
      <c r="AV204">
        <v>1</v>
      </c>
      <c r="AW204">
        <v>2</v>
      </c>
      <c r="AX204">
        <v>80308936</v>
      </c>
      <c r="AY204">
        <v>1</v>
      </c>
      <c r="AZ204">
        <v>0</v>
      </c>
      <c r="BA204">
        <v>200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1059.2075</v>
      </c>
      <c r="BL204">
        <v>630.44150000000002</v>
      </c>
      <c r="BM204">
        <v>0</v>
      </c>
      <c r="BN204">
        <v>0</v>
      </c>
      <c r="BO204">
        <v>0.65</v>
      </c>
      <c r="BP204">
        <v>1</v>
      </c>
      <c r="BQ204">
        <v>0</v>
      </c>
      <c r="BR204">
        <v>1059.2075</v>
      </c>
      <c r="BS204">
        <v>630.44150000000002</v>
      </c>
      <c r="BT204">
        <v>0</v>
      </c>
      <c r="BU204">
        <v>0</v>
      </c>
      <c r="BV204">
        <v>0.65</v>
      </c>
      <c r="BW204">
        <v>1</v>
      </c>
      <c r="CV204">
        <v>0</v>
      </c>
      <c r="CW204">
        <f>ROUND(Y204*Source!I156*DO204,7)</f>
        <v>0.13</v>
      </c>
      <c r="CX204">
        <f>ROUND(Y204*Source!I156,7)</f>
        <v>0.13</v>
      </c>
      <c r="CY204">
        <f>AB204</f>
        <v>1629.55</v>
      </c>
      <c r="CZ204">
        <f>AF204</f>
        <v>1629.55</v>
      </c>
      <c r="DA204">
        <f>AJ204</f>
        <v>1</v>
      </c>
      <c r="DB204">
        <f t="shared" si="93"/>
        <v>1059.21</v>
      </c>
      <c r="DC204">
        <f t="shared" si="94"/>
        <v>630.44000000000005</v>
      </c>
      <c r="DD204" t="s">
        <v>3</v>
      </c>
      <c r="DE204" t="s">
        <v>3</v>
      </c>
      <c r="DF204">
        <f t="shared" si="95"/>
        <v>0</v>
      </c>
      <c r="DG204">
        <f t="shared" si="91"/>
        <v>211.84</v>
      </c>
      <c r="DH204">
        <f t="shared" si="89"/>
        <v>126.09</v>
      </c>
      <c r="DI204">
        <f t="shared" si="90"/>
        <v>0</v>
      </c>
      <c r="DJ204">
        <f>DG204+DH204</f>
        <v>337.93</v>
      </c>
      <c r="DK204">
        <v>1</v>
      </c>
      <c r="DL204" t="s">
        <v>473</v>
      </c>
      <c r="DM204">
        <v>6</v>
      </c>
      <c r="DN204" t="s">
        <v>449</v>
      </c>
      <c r="DO204">
        <v>1</v>
      </c>
    </row>
    <row r="205" spans="1:119" x14ac:dyDescent="0.2">
      <c r="A205">
        <f>ROW(Source!A156)</f>
        <v>156</v>
      </c>
      <c r="B205">
        <v>80308166</v>
      </c>
      <c r="C205">
        <v>80308921</v>
      </c>
      <c r="D205">
        <v>72975402</v>
      </c>
      <c r="E205">
        <v>1</v>
      </c>
      <c r="F205">
        <v>1</v>
      </c>
      <c r="G205">
        <v>1</v>
      </c>
      <c r="H205">
        <v>2</v>
      </c>
      <c r="I205" t="s">
        <v>607</v>
      </c>
      <c r="J205" t="s">
        <v>608</v>
      </c>
      <c r="K205" t="s">
        <v>609</v>
      </c>
      <c r="L205">
        <v>1368</v>
      </c>
      <c r="N205">
        <v>1011</v>
      </c>
      <c r="O205" t="s">
        <v>455</v>
      </c>
      <c r="P205" t="s">
        <v>455</v>
      </c>
      <c r="Q205">
        <v>1</v>
      </c>
      <c r="W205">
        <v>0</v>
      </c>
      <c r="X205">
        <v>-1624621605</v>
      </c>
      <c r="Y205">
        <f t="shared" si="92"/>
        <v>0.95</v>
      </c>
      <c r="AA205">
        <v>0</v>
      </c>
      <c r="AB205">
        <v>16.95</v>
      </c>
      <c r="AC205">
        <v>0</v>
      </c>
      <c r="AD205">
        <v>0</v>
      </c>
      <c r="AE205">
        <v>0</v>
      </c>
      <c r="AF205">
        <v>11.45</v>
      </c>
      <c r="AG205">
        <v>0</v>
      </c>
      <c r="AH205">
        <v>0</v>
      </c>
      <c r="AI205">
        <v>1</v>
      </c>
      <c r="AJ205">
        <v>1.48</v>
      </c>
      <c r="AK205">
        <v>1</v>
      </c>
      <c r="AL205">
        <v>1</v>
      </c>
      <c r="AM205">
        <v>2</v>
      </c>
      <c r="AN205">
        <v>0</v>
      </c>
      <c r="AO205">
        <v>0</v>
      </c>
      <c r="AP205">
        <v>0</v>
      </c>
      <c r="AQ205">
        <v>1</v>
      </c>
      <c r="AR205">
        <v>0</v>
      </c>
      <c r="AS205" t="s">
        <v>3</v>
      </c>
      <c r="AT205">
        <v>0.95</v>
      </c>
      <c r="AU205" t="s">
        <v>3</v>
      </c>
      <c r="AV205">
        <v>1</v>
      </c>
      <c r="AW205">
        <v>2</v>
      </c>
      <c r="AX205">
        <v>80308937</v>
      </c>
      <c r="AY205">
        <v>1</v>
      </c>
      <c r="AZ205">
        <v>0</v>
      </c>
      <c r="BA205">
        <v>201</v>
      </c>
      <c r="BB205">
        <v>1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10.8775</v>
      </c>
      <c r="BL205">
        <v>0</v>
      </c>
      <c r="BM205">
        <v>0</v>
      </c>
      <c r="BN205">
        <v>0</v>
      </c>
      <c r="BO205">
        <v>0</v>
      </c>
      <c r="BP205">
        <v>1</v>
      </c>
      <c r="BQ205">
        <v>0</v>
      </c>
      <c r="BR205">
        <v>10.8775</v>
      </c>
      <c r="BS205">
        <v>0</v>
      </c>
      <c r="BT205">
        <v>0</v>
      </c>
      <c r="BU205">
        <v>0</v>
      </c>
      <c r="BV205">
        <v>0</v>
      </c>
      <c r="BW205">
        <v>1</v>
      </c>
      <c r="CV205">
        <v>0</v>
      </c>
      <c r="CW205">
        <f>ROUND(Y205*Source!I156*DO205,7)</f>
        <v>0</v>
      </c>
      <c r="CX205">
        <f>ROUND(Y205*Source!I156,7)</f>
        <v>0.19</v>
      </c>
      <c r="CY205">
        <f>AB205</f>
        <v>16.95</v>
      </c>
      <c r="CZ205">
        <f>AF205</f>
        <v>11.45</v>
      </c>
      <c r="DA205">
        <f>AJ205</f>
        <v>1.48</v>
      </c>
      <c r="DB205">
        <f t="shared" si="93"/>
        <v>10.88</v>
      </c>
      <c r="DC205">
        <f t="shared" si="94"/>
        <v>0</v>
      </c>
      <c r="DD205" t="s">
        <v>3</v>
      </c>
      <c r="DE205" t="s">
        <v>3</v>
      </c>
      <c r="DF205">
        <f t="shared" si="95"/>
        <v>0</v>
      </c>
      <c r="DG205">
        <f>ROUND(ROUND(AF205*AJ205,2)*CX205,2)</f>
        <v>3.22</v>
      </c>
      <c r="DH205">
        <f t="shared" si="89"/>
        <v>0</v>
      </c>
      <c r="DI205">
        <f t="shared" si="90"/>
        <v>0</v>
      </c>
      <c r="DJ205">
        <f>DG205+DH205</f>
        <v>3.22</v>
      </c>
      <c r="DK205">
        <v>0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ROW(Source!A156)</f>
        <v>156</v>
      </c>
      <c r="B206">
        <v>80308166</v>
      </c>
      <c r="C206">
        <v>80308921</v>
      </c>
      <c r="D206">
        <v>72975467</v>
      </c>
      <c r="E206">
        <v>1</v>
      </c>
      <c r="F206">
        <v>1</v>
      </c>
      <c r="G206">
        <v>1</v>
      </c>
      <c r="H206">
        <v>2</v>
      </c>
      <c r="I206" t="s">
        <v>610</v>
      </c>
      <c r="J206" t="s">
        <v>611</v>
      </c>
      <c r="K206" t="s">
        <v>612</v>
      </c>
      <c r="L206">
        <v>1368</v>
      </c>
      <c r="N206">
        <v>1011</v>
      </c>
      <c r="O206" t="s">
        <v>455</v>
      </c>
      <c r="P206" t="s">
        <v>455</v>
      </c>
      <c r="Q206">
        <v>1</v>
      </c>
      <c r="W206">
        <v>0</v>
      </c>
      <c r="X206">
        <v>-1298878199</v>
      </c>
      <c r="Y206">
        <f t="shared" si="92"/>
        <v>11.1</v>
      </c>
      <c r="AA206">
        <v>0</v>
      </c>
      <c r="AB206">
        <v>8.1</v>
      </c>
      <c r="AC206">
        <v>0</v>
      </c>
      <c r="AD206">
        <v>0</v>
      </c>
      <c r="AE206">
        <v>0</v>
      </c>
      <c r="AF206">
        <v>5.47</v>
      </c>
      <c r="AG206">
        <v>0</v>
      </c>
      <c r="AH206">
        <v>0</v>
      </c>
      <c r="AI206">
        <v>1</v>
      </c>
      <c r="AJ206">
        <v>1.48</v>
      </c>
      <c r="AK206">
        <v>1</v>
      </c>
      <c r="AL206">
        <v>1</v>
      </c>
      <c r="AM206">
        <v>2</v>
      </c>
      <c r="AN206">
        <v>0</v>
      </c>
      <c r="AO206">
        <v>0</v>
      </c>
      <c r="AP206">
        <v>0</v>
      </c>
      <c r="AQ206">
        <v>1</v>
      </c>
      <c r="AR206">
        <v>0</v>
      </c>
      <c r="AS206" t="s">
        <v>3</v>
      </c>
      <c r="AT206">
        <v>11.1</v>
      </c>
      <c r="AU206" t="s">
        <v>3</v>
      </c>
      <c r="AV206">
        <v>1</v>
      </c>
      <c r="AW206">
        <v>2</v>
      </c>
      <c r="AX206">
        <v>80308938</v>
      </c>
      <c r="AY206">
        <v>1</v>
      </c>
      <c r="AZ206">
        <v>0</v>
      </c>
      <c r="BA206">
        <v>202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60.716999999999999</v>
      </c>
      <c r="BL206">
        <v>0</v>
      </c>
      <c r="BM206">
        <v>0</v>
      </c>
      <c r="BN206">
        <v>0</v>
      </c>
      <c r="BO206">
        <v>0</v>
      </c>
      <c r="BP206">
        <v>1</v>
      </c>
      <c r="BQ206">
        <v>0</v>
      </c>
      <c r="BR206">
        <v>60.716999999999999</v>
      </c>
      <c r="BS206">
        <v>0</v>
      </c>
      <c r="BT206">
        <v>0</v>
      </c>
      <c r="BU206">
        <v>0</v>
      </c>
      <c r="BV206">
        <v>0</v>
      </c>
      <c r="BW206">
        <v>1</v>
      </c>
      <c r="CV206">
        <v>0</v>
      </c>
      <c r="CW206">
        <f>ROUND(Y206*Source!I156*DO206,7)</f>
        <v>0</v>
      </c>
      <c r="CX206">
        <f>ROUND(Y206*Source!I156,7)</f>
        <v>2.2200000000000002</v>
      </c>
      <c r="CY206">
        <f>AB206</f>
        <v>8.1</v>
      </c>
      <c r="CZ206">
        <f>AF206</f>
        <v>5.47</v>
      </c>
      <c r="DA206">
        <f>AJ206</f>
        <v>1.48</v>
      </c>
      <c r="DB206">
        <f t="shared" si="93"/>
        <v>60.72</v>
      </c>
      <c r="DC206">
        <f t="shared" si="94"/>
        <v>0</v>
      </c>
      <c r="DD206" t="s">
        <v>3</v>
      </c>
      <c r="DE206" t="s">
        <v>3</v>
      </c>
      <c r="DF206">
        <f t="shared" si="95"/>
        <v>0</v>
      </c>
      <c r="DG206">
        <f>ROUND(ROUND(AF206*AJ206,2)*CX206,2)</f>
        <v>17.98</v>
      </c>
      <c r="DH206">
        <f t="shared" si="89"/>
        <v>0</v>
      </c>
      <c r="DI206">
        <f t="shared" si="90"/>
        <v>0</v>
      </c>
      <c r="DJ206">
        <f>DG206+DH206</f>
        <v>17.98</v>
      </c>
      <c r="DK206">
        <v>0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ROW(Source!A156)</f>
        <v>156</v>
      </c>
      <c r="B207">
        <v>80308166</v>
      </c>
      <c r="C207">
        <v>80308921</v>
      </c>
      <c r="D207">
        <v>72976159</v>
      </c>
      <c r="E207">
        <v>1</v>
      </c>
      <c r="F207">
        <v>1</v>
      </c>
      <c r="G207">
        <v>1</v>
      </c>
      <c r="H207">
        <v>2</v>
      </c>
      <c r="I207" t="s">
        <v>452</v>
      </c>
      <c r="J207" t="s">
        <v>453</v>
      </c>
      <c r="K207" t="s">
        <v>454</v>
      </c>
      <c r="L207">
        <v>1368</v>
      </c>
      <c r="N207">
        <v>1011</v>
      </c>
      <c r="O207" t="s">
        <v>455</v>
      </c>
      <c r="P207" t="s">
        <v>455</v>
      </c>
      <c r="Q207">
        <v>1</v>
      </c>
      <c r="W207">
        <v>0</v>
      </c>
      <c r="X207">
        <v>-1152394969</v>
      </c>
      <c r="Y207">
        <f t="shared" si="92"/>
        <v>0.65</v>
      </c>
      <c r="AA207">
        <v>0</v>
      </c>
      <c r="AB207">
        <v>643.29</v>
      </c>
      <c r="AC207">
        <v>722.05</v>
      </c>
      <c r="AD207">
        <v>0</v>
      </c>
      <c r="AE207">
        <v>0</v>
      </c>
      <c r="AF207">
        <v>643.29</v>
      </c>
      <c r="AG207">
        <v>722.05</v>
      </c>
      <c r="AH207">
        <v>0</v>
      </c>
      <c r="AI207">
        <v>1</v>
      </c>
      <c r="AJ207">
        <v>1</v>
      </c>
      <c r="AK207">
        <v>1</v>
      </c>
      <c r="AL207">
        <v>1</v>
      </c>
      <c r="AM207">
        <v>-2</v>
      </c>
      <c r="AN207">
        <v>0</v>
      </c>
      <c r="AO207">
        <v>0</v>
      </c>
      <c r="AP207">
        <v>0</v>
      </c>
      <c r="AQ207">
        <v>1</v>
      </c>
      <c r="AR207">
        <v>0</v>
      </c>
      <c r="AS207" t="s">
        <v>3</v>
      </c>
      <c r="AT207">
        <v>0.65</v>
      </c>
      <c r="AU207" t="s">
        <v>3</v>
      </c>
      <c r="AV207">
        <v>1</v>
      </c>
      <c r="AW207">
        <v>2</v>
      </c>
      <c r="AX207">
        <v>80308939</v>
      </c>
      <c r="AY207">
        <v>1</v>
      </c>
      <c r="AZ207">
        <v>0</v>
      </c>
      <c r="BA207">
        <v>203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418.13849999999996</v>
      </c>
      <c r="BL207">
        <v>469.33249999999998</v>
      </c>
      <c r="BM207">
        <v>0</v>
      </c>
      <c r="BN207">
        <v>0</v>
      </c>
      <c r="BO207">
        <v>0.65</v>
      </c>
      <c r="BP207">
        <v>1</v>
      </c>
      <c r="BQ207">
        <v>0</v>
      </c>
      <c r="BR207">
        <v>418.13849999999996</v>
      </c>
      <c r="BS207">
        <v>469.33249999999998</v>
      </c>
      <c r="BT207">
        <v>0</v>
      </c>
      <c r="BU207">
        <v>0</v>
      </c>
      <c r="BV207">
        <v>0.65</v>
      </c>
      <c r="BW207">
        <v>1</v>
      </c>
      <c r="CV207">
        <v>0</v>
      </c>
      <c r="CW207">
        <f>ROUND(Y207*Source!I156*DO207,7)</f>
        <v>0.13</v>
      </c>
      <c r="CX207">
        <f>ROUND(Y207*Source!I156,7)</f>
        <v>0.13</v>
      </c>
      <c r="CY207">
        <f>AB207</f>
        <v>643.29</v>
      </c>
      <c r="CZ207">
        <f>AF207</f>
        <v>643.29</v>
      </c>
      <c r="DA207">
        <f>AJ207</f>
        <v>1</v>
      </c>
      <c r="DB207">
        <f t="shared" si="93"/>
        <v>418.14</v>
      </c>
      <c r="DC207">
        <f t="shared" si="94"/>
        <v>469.33</v>
      </c>
      <c r="DD207" t="s">
        <v>3</v>
      </c>
      <c r="DE207" t="s">
        <v>3</v>
      </c>
      <c r="DF207">
        <f t="shared" si="95"/>
        <v>0</v>
      </c>
      <c r="DG207">
        <f t="shared" ref="DG207:DG215" si="96">ROUND(ROUND(AF207,2)*CX207,2)</f>
        <v>83.63</v>
      </c>
      <c r="DH207">
        <f t="shared" si="89"/>
        <v>93.87</v>
      </c>
      <c r="DI207">
        <f t="shared" si="90"/>
        <v>0</v>
      </c>
      <c r="DJ207">
        <f>DG207+DH207</f>
        <v>177.5</v>
      </c>
      <c r="DK207">
        <v>1</v>
      </c>
      <c r="DL207" t="s">
        <v>456</v>
      </c>
      <c r="DM207">
        <v>4</v>
      </c>
      <c r="DN207" t="s">
        <v>449</v>
      </c>
      <c r="DO207">
        <v>1</v>
      </c>
    </row>
    <row r="208" spans="1:119" x14ac:dyDescent="0.2">
      <c r="A208">
        <f>ROW(Source!A156)</f>
        <v>156</v>
      </c>
      <c r="B208">
        <v>80308166</v>
      </c>
      <c r="C208">
        <v>80308921</v>
      </c>
      <c r="D208">
        <v>72976354</v>
      </c>
      <c r="E208">
        <v>1</v>
      </c>
      <c r="F208">
        <v>1</v>
      </c>
      <c r="G208">
        <v>1</v>
      </c>
      <c r="H208">
        <v>2</v>
      </c>
      <c r="I208" t="s">
        <v>477</v>
      </c>
      <c r="J208" t="s">
        <v>478</v>
      </c>
      <c r="K208" t="s">
        <v>479</v>
      </c>
      <c r="L208">
        <v>1368</v>
      </c>
      <c r="N208">
        <v>1011</v>
      </c>
      <c r="O208" t="s">
        <v>455</v>
      </c>
      <c r="P208" t="s">
        <v>455</v>
      </c>
      <c r="Q208">
        <v>1</v>
      </c>
      <c r="W208">
        <v>0</v>
      </c>
      <c r="X208">
        <v>-334821386</v>
      </c>
      <c r="Y208">
        <f t="shared" si="92"/>
        <v>7.5</v>
      </c>
      <c r="AA208">
        <v>0</v>
      </c>
      <c r="AB208">
        <v>32.26</v>
      </c>
      <c r="AC208">
        <v>0</v>
      </c>
      <c r="AD208">
        <v>0</v>
      </c>
      <c r="AE208">
        <v>0</v>
      </c>
      <c r="AF208">
        <v>32.26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M208">
        <v>-2</v>
      </c>
      <c r="AN208">
        <v>0</v>
      </c>
      <c r="AO208">
        <v>0</v>
      </c>
      <c r="AP208">
        <v>0</v>
      </c>
      <c r="AQ208">
        <v>1</v>
      </c>
      <c r="AR208">
        <v>0</v>
      </c>
      <c r="AS208" t="s">
        <v>3</v>
      </c>
      <c r="AT208">
        <v>7.5</v>
      </c>
      <c r="AU208" t="s">
        <v>3</v>
      </c>
      <c r="AV208">
        <v>1</v>
      </c>
      <c r="AW208">
        <v>2</v>
      </c>
      <c r="AX208">
        <v>80308940</v>
      </c>
      <c r="AY208">
        <v>1</v>
      </c>
      <c r="AZ208">
        <v>0</v>
      </c>
      <c r="BA208">
        <v>204</v>
      </c>
      <c r="BB208">
        <v>1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241.95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0</v>
      </c>
      <c r="BR208">
        <v>241.95</v>
      </c>
      <c r="BS208">
        <v>0</v>
      </c>
      <c r="BT208">
        <v>0</v>
      </c>
      <c r="BU208">
        <v>0</v>
      </c>
      <c r="BV208">
        <v>0</v>
      </c>
      <c r="BW208">
        <v>1</v>
      </c>
      <c r="CV208">
        <v>0</v>
      </c>
      <c r="CW208">
        <f>ROUND(Y208*Source!I156*DO208,7)</f>
        <v>0</v>
      </c>
      <c r="CX208">
        <f>ROUND(Y208*Source!I156,7)</f>
        <v>1.5</v>
      </c>
      <c r="CY208">
        <f>AB208</f>
        <v>32.26</v>
      </c>
      <c r="CZ208">
        <f>AF208</f>
        <v>32.26</v>
      </c>
      <c r="DA208">
        <f>AJ208</f>
        <v>1</v>
      </c>
      <c r="DB208">
        <f t="shared" si="93"/>
        <v>241.95</v>
      </c>
      <c r="DC208">
        <f t="shared" si="94"/>
        <v>0</v>
      </c>
      <c r="DD208" t="s">
        <v>3</v>
      </c>
      <c r="DE208" t="s">
        <v>3</v>
      </c>
      <c r="DF208">
        <f t="shared" si="95"/>
        <v>0</v>
      </c>
      <c r="DG208">
        <f t="shared" si="96"/>
        <v>48.39</v>
      </c>
      <c r="DH208">
        <f t="shared" si="89"/>
        <v>0</v>
      </c>
      <c r="DI208">
        <f t="shared" si="90"/>
        <v>0</v>
      </c>
      <c r="DJ208">
        <f>DG208+DH208</f>
        <v>48.39</v>
      </c>
      <c r="DK208">
        <v>1</v>
      </c>
      <c r="DL208" t="s">
        <v>3</v>
      </c>
      <c r="DM208">
        <v>0</v>
      </c>
      <c r="DN208" t="s">
        <v>3</v>
      </c>
      <c r="DO208">
        <v>0</v>
      </c>
    </row>
    <row r="209" spans="1:119" x14ac:dyDescent="0.2">
      <c r="A209">
        <f>ROW(Source!A156)</f>
        <v>156</v>
      </c>
      <c r="B209">
        <v>80308166</v>
      </c>
      <c r="C209">
        <v>80308921</v>
      </c>
      <c r="D209">
        <v>72920216</v>
      </c>
      <c r="E209">
        <v>1</v>
      </c>
      <c r="F209">
        <v>1</v>
      </c>
      <c r="G209">
        <v>1</v>
      </c>
      <c r="H209">
        <v>3</v>
      </c>
      <c r="I209" t="s">
        <v>488</v>
      </c>
      <c r="J209" t="s">
        <v>489</v>
      </c>
      <c r="K209" t="s">
        <v>490</v>
      </c>
      <c r="L209">
        <v>1339</v>
      </c>
      <c r="N209">
        <v>1007</v>
      </c>
      <c r="O209" t="s">
        <v>309</v>
      </c>
      <c r="P209" t="s">
        <v>309</v>
      </c>
      <c r="Q209">
        <v>1</v>
      </c>
      <c r="W209">
        <v>0</v>
      </c>
      <c r="X209">
        <v>1997520280</v>
      </c>
      <c r="Y209">
        <f t="shared" si="92"/>
        <v>0.154</v>
      </c>
      <c r="AA209">
        <v>510.62</v>
      </c>
      <c r="AB209">
        <v>0</v>
      </c>
      <c r="AC209">
        <v>0</v>
      </c>
      <c r="AD209">
        <v>0</v>
      </c>
      <c r="AE209">
        <v>340.41</v>
      </c>
      <c r="AF209">
        <v>0</v>
      </c>
      <c r="AG209">
        <v>0</v>
      </c>
      <c r="AH209">
        <v>0</v>
      </c>
      <c r="AI209">
        <v>1.5</v>
      </c>
      <c r="AJ209">
        <v>1</v>
      </c>
      <c r="AK209">
        <v>1</v>
      </c>
      <c r="AL209">
        <v>1</v>
      </c>
      <c r="AM209">
        <v>2</v>
      </c>
      <c r="AN209">
        <v>0</v>
      </c>
      <c r="AO209">
        <v>0</v>
      </c>
      <c r="AP209">
        <v>0</v>
      </c>
      <c r="AQ209">
        <v>1</v>
      </c>
      <c r="AR209">
        <v>0</v>
      </c>
      <c r="AS209" t="s">
        <v>3</v>
      </c>
      <c r="AT209">
        <v>0.154</v>
      </c>
      <c r="AU209" t="s">
        <v>3</v>
      </c>
      <c r="AV209">
        <v>0</v>
      </c>
      <c r="AW209">
        <v>2</v>
      </c>
      <c r="AX209">
        <v>80308941</v>
      </c>
      <c r="AY209">
        <v>1</v>
      </c>
      <c r="AZ209">
        <v>0</v>
      </c>
      <c r="BA209">
        <v>205</v>
      </c>
      <c r="BB209">
        <v>1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52.423140000000004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52.423140000000004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1</v>
      </c>
      <c r="CV209">
        <v>0</v>
      </c>
      <c r="CW209">
        <v>0</v>
      </c>
      <c r="CX209">
        <f>ROUND(Y209*Source!I156,7)</f>
        <v>3.0800000000000001E-2</v>
      </c>
      <c r="CY209">
        <f>AA209</f>
        <v>510.62</v>
      </c>
      <c r="CZ209">
        <f>AE209</f>
        <v>340.41</v>
      </c>
      <c r="DA209">
        <f>AI209</f>
        <v>1.5</v>
      </c>
      <c r="DB209">
        <f t="shared" si="93"/>
        <v>52.42</v>
      </c>
      <c r="DC209">
        <f t="shared" si="94"/>
        <v>0</v>
      </c>
      <c r="DD209" t="s">
        <v>3</v>
      </c>
      <c r="DE209" t="s">
        <v>3</v>
      </c>
      <c r="DF209">
        <f>ROUND(ROUND(AE209*AI209,2)*CX209,2)</f>
        <v>15.73</v>
      </c>
      <c r="DG209">
        <f t="shared" si="96"/>
        <v>0</v>
      </c>
      <c r="DH209">
        <f t="shared" si="89"/>
        <v>0</v>
      </c>
      <c r="DI209">
        <f t="shared" si="90"/>
        <v>0</v>
      </c>
      <c r="DJ209">
        <f>DF209</f>
        <v>15.73</v>
      </c>
      <c r="DK209">
        <v>0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ROW(Source!A156)</f>
        <v>156</v>
      </c>
      <c r="B210">
        <v>80308166</v>
      </c>
      <c r="C210">
        <v>80308921</v>
      </c>
      <c r="D210">
        <v>72920232</v>
      </c>
      <c r="E210">
        <v>1</v>
      </c>
      <c r="F210">
        <v>1</v>
      </c>
      <c r="G210">
        <v>1</v>
      </c>
      <c r="H210">
        <v>3</v>
      </c>
      <c r="I210" t="s">
        <v>491</v>
      </c>
      <c r="J210" t="s">
        <v>492</v>
      </c>
      <c r="K210" t="s">
        <v>493</v>
      </c>
      <c r="L210">
        <v>1339</v>
      </c>
      <c r="N210">
        <v>1007</v>
      </c>
      <c r="O210" t="s">
        <v>309</v>
      </c>
      <c r="P210" t="s">
        <v>309</v>
      </c>
      <c r="Q210">
        <v>1</v>
      </c>
      <c r="W210">
        <v>0</v>
      </c>
      <c r="X210">
        <v>245356557</v>
      </c>
      <c r="Y210">
        <f t="shared" si="92"/>
        <v>0.7</v>
      </c>
      <c r="AA210">
        <v>97.44</v>
      </c>
      <c r="AB210">
        <v>0</v>
      </c>
      <c r="AC210">
        <v>0</v>
      </c>
      <c r="AD210">
        <v>0</v>
      </c>
      <c r="AE210">
        <v>114.64</v>
      </c>
      <c r="AF210">
        <v>0</v>
      </c>
      <c r="AG210">
        <v>0</v>
      </c>
      <c r="AH210">
        <v>0</v>
      </c>
      <c r="AI210">
        <v>0.85</v>
      </c>
      <c r="AJ210">
        <v>1</v>
      </c>
      <c r="AK210">
        <v>1</v>
      </c>
      <c r="AL210">
        <v>1</v>
      </c>
      <c r="AM210">
        <v>2</v>
      </c>
      <c r="AN210">
        <v>0</v>
      </c>
      <c r="AO210">
        <v>0</v>
      </c>
      <c r="AP210">
        <v>0</v>
      </c>
      <c r="AQ210">
        <v>1</v>
      </c>
      <c r="AR210">
        <v>0</v>
      </c>
      <c r="AS210" t="s">
        <v>3</v>
      </c>
      <c r="AT210">
        <v>0.7</v>
      </c>
      <c r="AU210" t="s">
        <v>3</v>
      </c>
      <c r="AV210">
        <v>0</v>
      </c>
      <c r="AW210">
        <v>2</v>
      </c>
      <c r="AX210">
        <v>80308942</v>
      </c>
      <c r="AY210">
        <v>1</v>
      </c>
      <c r="AZ210">
        <v>0</v>
      </c>
      <c r="BA210">
        <v>206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80.24799999999999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1</v>
      </c>
      <c r="BQ210">
        <v>80.24799999999999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1</v>
      </c>
      <c r="CV210">
        <v>0</v>
      </c>
      <c r="CW210">
        <v>0</v>
      </c>
      <c r="CX210">
        <f>ROUND(Y210*Source!I156,7)</f>
        <v>0.14000000000000001</v>
      </c>
      <c r="CY210">
        <f>AA210</f>
        <v>97.44</v>
      </c>
      <c r="CZ210">
        <f>AE210</f>
        <v>114.64</v>
      </c>
      <c r="DA210">
        <f>AI210</f>
        <v>0.85</v>
      </c>
      <c r="DB210">
        <f t="shared" si="93"/>
        <v>80.25</v>
      </c>
      <c r="DC210">
        <f t="shared" si="94"/>
        <v>0</v>
      </c>
      <c r="DD210" t="s">
        <v>3</v>
      </c>
      <c r="DE210" t="s">
        <v>3</v>
      </c>
      <c r="DF210">
        <f>ROUND(ROUND(AE210*AI210,2)*CX210,2)</f>
        <v>13.64</v>
      </c>
      <c r="DG210">
        <f t="shared" si="96"/>
        <v>0</v>
      </c>
      <c r="DH210">
        <f t="shared" si="89"/>
        <v>0</v>
      </c>
      <c r="DI210">
        <f t="shared" si="90"/>
        <v>0</v>
      </c>
      <c r="DJ210">
        <f>DF210</f>
        <v>13.64</v>
      </c>
      <c r="DK210">
        <v>0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ROW(Source!A156)</f>
        <v>156</v>
      </c>
      <c r="B211">
        <v>80308166</v>
      </c>
      <c r="C211">
        <v>80308921</v>
      </c>
      <c r="D211">
        <v>72922358</v>
      </c>
      <c r="E211">
        <v>1</v>
      </c>
      <c r="F211">
        <v>1</v>
      </c>
      <c r="G211">
        <v>1</v>
      </c>
      <c r="H211">
        <v>3</v>
      </c>
      <c r="I211" t="s">
        <v>613</v>
      </c>
      <c r="J211" t="s">
        <v>614</v>
      </c>
      <c r="K211" t="s">
        <v>615</v>
      </c>
      <c r="L211">
        <v>1383</v>
      </c>
      <c r="N211">
        <v>1013</v>
      </c>
      <c r="O211" t="s">
        <v>616</v>
      </c>
      <c r="P211" t="s">
        <v>616</v>
      </c>
      <c r="Q211">
        <v>1</v>
      </c>
      <c r="W211">
        <v>0</v>
      </c>
      <c r="X211">
        <v>-2119218604</v>
      </c>
      <c r="Y211">
        <f t="shared" si="92"/>
        <v>1.71</v>
      </c>
      <c r="AA211">
        <v>6.78</v>
      </c>
      <c r="AB211">
        <v>0</v>
      </c>
      <c r="AC211">
        <v>0</v>
      </c>
      <c r="AD211">
        <v>0</v>
      </c>
      <c r="AE211">
        <v>6.78</v>
      </c>
      <c r="AF211">
        <v>0</v>
      </c>
      <c r="AG211">
        <v>0</v>
      </c>
      <c r="AH211">
        <v>0</v>
      </c>
      <c r="AI211">
        <v>1</v>
      </c>
      <c r="AJ211">
        <v>1</v>
      </c>
      <c r="AK211">
        <v>1</v>
      </c>
      <c r="AL211">
        <v>1</v>
      </c>
      <c r="AM211">
        <v>-2</v>
      </c>
      <c r="AN211">
        <v>0</v>
      </c>
      <c r="AO211">
        <v>0</v>
      </c>
      <c r="AP211">
        <v>0</v>
      </c>
      <c r="AQ211">
        <v>1</v>
      </c>
      <c r="AR211">
        <v>0</v>
      </c>
      <c r="AS211" t="s">
        <v>3</v>
      </c>
      <c r="AT211">
        <v>1.71</v>
      </c>
      <c r="AU211" t="s">
        <v>3</v>
      </c>
      <c r="AV211">
        <v>0</v>
      </c>
      <c r="AW211">
        <v>2</v>
      </c>
      <c r="AX211">
        <v>80308943</v>
      </c>
      <c r="AY211">
        <v>1</v>
      </c>
      <c r="AZ211">
        <v>0</v>
      </c>
      <c r="BA211">
        <v>207</v>
      </c>
      <c r="BB211">
        <v>1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11.5938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1</v>
      </c>
      <c r="BQ211">
        <v>11.5938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1</v>
      </c>
      <c r="CV211">
        <v>0</v>
      </c>
      <c r="CW211">
        <v>0</v>
      </c>
      <c r="CX211">
        <f>ROUND(Y211*Source!I156,7)</f>
        <v>0.34200000000000003</v>
      </c>
      <c r="CY211">
        <f>AA211</f>
        <v>6.78</v>
      </c>
      <c r="CZ211">
        <f>AE211</f>
        <v>6.78</v>
      </c>
      <c r="DA211">
        <f>AI211</f>
        <v>1</v>
      </c>
      <c r="DB211">
        <f t="shared" si="93"/>
        <v>11.59</v>
      </c>
      <c r="DC211">
        <f t="shared" si="94"/>
        <v>0</v>
      </c>
      <c r="DD211" t="s">
        <v>3</v>
      </c>
      <c r="DE211" t="s">
        <v>3</v>
      </c>
      <c r="DF211">
        <f>ROUND(ROUND(AE211,2)*CX211,2)</f>
        <v>2.3199999999999998</v>
      </c>
      <c r="DG211">
        <f t="shared" si="96"/>
        <v>0</v>
      </c>
      <c r="DH211">
        <f t="shared" si="89"/>
        <v>0</v>
      </c>
      <c r="DI211">
        <f t="shared" si="90"/>
        <v>0</v>
      </c>
      <c r="DJ211">
        <f>DF211</f>
        <v>2.3199999999999998</v>
      </c>
      <c r="DK211">
        <v>1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ROW(Source!A156)</f>
        <v>156</v>
      </c>
      <c r="B212">
        <v>80308166</v>
      </c>
      <c r="C212">
        <v>80308921</v>
      </c>
      <c r="D212">
        <v>72923052</v>
      </c>
      <c r="E212">
        <v>1</v>
      </c>
      <c r="F212">
        <v>1</v>
      </c>
      <c r="G212">
        <v>1</v>
      </c>
      <c r="H212">
        <v>3</v>
      </c>
      <c r="I212" t="s">
        <v>617</v>
      </c>
      <c r="J212" t="s">
        <v>618</v>
      </c>
      <c r="K212" t="s">
        <v>619</v>
      </c>
      <c r="L212">
        <v>1348</v>
      </c>
      <c r="N212">
        <v>1009</v>
      </c>
      <c r="O212" t="s">
        <v>35</v>
      </c>
      <c r="P212" t="s">
        <v>35</v>
      </c>
      <c r="Q212">
        <v>1000</v>
      </c>
      <c r="W212">
        <v>0</v>
      </c>
      <c r="X212">
        <v>128596359</v>
      </c>
      <c r="Y212">
        <f t="shared" si="92"/>
        <v>2.7399999999999998E-3</v>
      </c>
      <c r="AA212">
        <v>123442.39</v>
      </c>
      <c r="AB212">
        <v>0</v>
      </c>
      <c r="AC212">
        <v>0</v>
      </c>
      <c r="AD212">
        <v>0</v>
      </c>
      <c r="AE212">
        <v>158259.47</v>
      </c>
      <c r="AF212">
        <v>0</v>
      </c>
      <c r="AG212">
        <v>0</v>
      </c>
      <c r="AH212">
        <v>0</v>
      </c>
      <c r="AI212">
        <v>0.78</v>
      </c>
      <c r="AJ212">
        <v>1</v>
      </c>
      <c r="AK212">
        <v>1</v>
      </c>
      <c r="AL212">
        <v>1</v>
      </c>
      <c r="AM212">
        <v>2</v>
      </c>
      <c r="AN212">
        <v>0</v>
      </c>
      <c r="AO212">
        <v>0</v>
      </c>
      <c r="AP212">
        <v>0</v>
      </c>
      <c r="AQ212">
        <v>1</v>
      </c>
      <c r="AR212">
        <v>0</v>
      </c>
      <c r="AS212" t="s">
        <v>3</v>
      </c>
      <c r="AT212">
        <v>2.7399999999999998E-3</v>
      </c>
      <c r="AU212" t="s">
        <v>3</v>
      </c>
      <c r="AV212">
        <v>0</v>
      </c>
      <c r="AW212">
        <v>2</v>
      </c>
      <c r="AX212">
        <v>80308944</v>
      </c>
      <c r="AY212">
        <v>1</v>
      </c>
      <c r="AZ212">
        <v>0</v>
      </c>
      <c r="BA212">
        <v>208</v>
      </c>
      <c r="BB212">
        <v>1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433.6309478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1</v>
      </c>
      <c r="BQ212">
        <v>433.6309478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1</v>
      </c>
      <c r="CV212">
        <v>0</v>
      </c>
      <c r="CW212">
        <v>0</v>
      </c>
      <c r="CX212">
        <f>ROUND(Y212*Source!I156,7)</f>
        <v>5.4799999999999998E-4</v>
      </c>
      <c r="CY212">
        <f>AA212</f>
        <v>123442.39</v>
      </c>
      <c r="CZ212">
        <f>AE212</f>
        <v>158259.47</v>
      </c>
      <c r="DA212">
        <f>AI212</f>
        <v>0.78</v>
      </c>
      <c r="DB212">
        <f t="shared" si="93"/>
        <v>433.63</v>
      </c>
      <c r="DC212">
        <f t="shared" si="94"/>
        <v>0</v>
      </c>
      <c r="DD212" t="s">
        <v>3</v>
      </c>
      <c r="DE212" t="s">
        <v>3</v>
      </c>
      <c r="DF212">
        <f>ROUND(ROUND(AE212*AI212,2)*CX212,2)</f>
        <v>67.650000000000006</v>
      </c>
      <c r="DG212">
        <f t="shared" si="96"/>
        <v>0</v>
      </c>
      <c r="DH212">
        <f t="shared" si="89"/>
        <v>0</v>
      </c>
      <c r="DI212">
        <f t="shared" si="90"/>
        <v>0</v>
      </c>
      <c r="DJ212">
        <f>DF212</f>
        <v>67.650000000000006</v>
      </c>
      <c r="DK212">
        <v>0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ROW(Source!A156)</f>
        <v>156</v>
      </c>
      <c r="B213">
        <v>80308166</v>
      </c>
      <c r="C213">
        <v>80308921</v>
      </c>
      <c r="D213">
        <v>72856513</v>
      </c>
      <c r="E213">
        <v>114</v>
      </c>
      <c r="F213">
        <v>1</v>
      </c>
      <c r="G213">
        <v>1</v>
      </c>
      <c r="H213">
        <v>3</v>
      </c>
      <c r="I213" t="s">
        <v>81</v>
      </c>
      <c r="J213" t="s">
        <v>3</v>
      </c>
      <c r="K213" t="s">
        <v>82</v>
      </c>
      <c r="L213">
        <v>3277935</v>
      </c>
      <c r="N213">
        <v>1013</v>
      </c>
      <c r="O213" t="s">
        <v>83</v>
      </c>
      <c r="P213" t="s">
        <v>83</v>
      </c>
      <c r="Q213">
        <v>1</v>
      </c>
      <c r="W213">
        <v>0</v>
      </c>
      <c r="X213">
        <v>274903907</v>
      </c>
      <c r="Y213">
        <f t="shared" si="92"/>
        <v>2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M213">
        <v>-2</v>
      </c>
      <c r="AN213">
        <v>0</v>
      </c>
      <c r="AO213">
        <v>0</v>
      </c>
      <c r="AP213">
        <v>0</v>
      </c>
      <c r="AQ213">
        <v>0</v>
      </c>
      <c r="AR213">
        <v>0</v>
      </c>
      <c r="AS213" t="s">
        <v>3</v>
      </c>
      <c r="AT213">
        <v>2</v>
      </c>
      <c r="AU213" t="s">
        <v>3</v>
      </c>
      <c r="AV213">
        <v>0</v>
      </c>
      <c r="AW213">
        <v>2</v>
      </c>
      <c r="AX213">
        <v>80308945</v>
      </c>
      <c r="AY213">
        <v>1</v>
      </c>
      <c r="AZ213">
        <v>0</v>
      </c>
      <c r="BA213">
        <v>209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V213">
        <v>0</v>
      </c>
      <c r="CW213">
        <v>0</v>
      </c>
      <c r="CX213">
        <f>ROUND(Y213*Source!I156,7)</f>
        <v>0.4</v>
      </c>
      <c r="CY213">
        <f>AA213</f>
        <v>0</v>
      </c>
      <c r="CZ213">
        <f>AE213</f>
        <v>0</v>
      </c>
      <c r="DA213">
        <f>AI213</f>
        <v>1</v>
      </c>
      <c r="DB213">
        <f t="shared" si="93"/>
        <v>0</v>
      </c>
      <c r="DC213">
        <f t="shared" si="94"/>
        <v>0</v>
      </c>
      <c r="DD213" t="s">
        <v>3</v>
      </c>
      <c r="DE213" t="s">
        <v>3</v>
      </c>
      <c r="DF213">
        <f>ROUND(ROUND(AE213,2)*CX213,2)</f>
        <v>0</v>
      </c>
      <c r="DG213">
        <f t="shared" si="96"/>
        <v>0</v>
      </c>
      <c r="DH213">
        <f t="shared" si="89"/>
        <v>0</v>
      </c>
      <c r="DI213">
        <f t="shared" si="90"/>
        <v>0</v>
      </c>
      <c r="DJ213">
        <f>DF213</f>
        <v>0</v>
      </c>
      <c r="DK213">
        <v>0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ROW(Source!A194)</f>
        <v>194</v>
      </c>
      <c r="B214">
        <v>80308166</v>
      </c>
      <c r="C214">
        <v>80308948</v>
      </c>
      <c r="D214">
        <v>72850553</v>
      </c>
      <c r="E214">
        <v>114</v>
      </c>
      <c r="F214">
        <v>1</v>
      </c>
      <c r="G214">
        <v>1</v>
      </c>
      <c r="H214">
        <v>1</v>
      </c>
      <c r="I214" t="s">
        <v>620</v>
      </c>
      <c r="J214" t="s">
        <v>3</v>
      </c>
      <c r="K214" t="s">
        <v>621</v>
      </c>
      <c r="L214">
        <v>1191</v>
      </c>
      <c r="N214">
        <v>1013</v>
      </c>
      <c r="O214" t="s">
        <v>449</v>
      </c>
      <c r="P214" t="s">
        <v>449</v>
      </c>
      <c r="Q214">
        <v>1</v>
      </c>
      <c r="W214">
        <v>0</v>
      </c>
      <c r="X214">
        <v>1547839991</v>
      </c>
      <c r="Y214">
        <f t="shared" si="92"/>
        <v>1.03</v>
      </c>
      <c r="AA214">
        <v>0</v>
      </c>
      <c r="AB214">
        <v>0</v>
      </c>
      <c r="AC214">
        <v>0</v>
      </c>
      <c r="AD214">
        <v>538.85</v>
      </c>
      <c r="AE214">
        <v>0</v>
      </c>
      <c r="AF214">
        <v>0</v>
      </c>
      <c r="AG214">
        <v>0</v>
      </c>
      <c r="AH214">
        <v>538.85</v>
      </c>
      <c r="AI214">
        <v>1</v>
      </c>
      <c r="AJ214">
        <v>1</v>
      </c>
      <c r="AK214">
        <v>1</v>
      </c>
      <c r="AL214">
        <v>1</v>
      </c>
      <c r="AM214">
        <v>-2</v>
      </c>
      <c r="AN214">
        <v>0</v>
      </c>
      <c r="AO214">
        <v>0</v>
      </c>
      <c r="AP214">
        <v>1</v>
      </c>
      <c r="AQ214">
        <v>1</v>
      </c>
      <c r="AR214">
        <v>0</v>
      </c>
      <c r="AS214" t="s">
        <v>3</v>
      </c>
      <c r="AT214">
        <v>1.03</v>
      </c>
      <c r="AU214" t="s">
        <v>3</v>
      </c>
      <c r="AV214">
        <v>1</v>
      </c>
      <c r="AW214">
        <v>2</v>
      </c>
      <c r="AX214">
        <v>80308951</v>
      </c>
      <c r="AY214">
        <v>1</v>
      </c>
      <c r="AZ214">
        <v>0</v>
      </c>
      <c r="BA214">
        <v>210</v>
      </c>
      <c r="BB214">
        <v>1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555.01550000000009</v>
      </c>
      <c r="BN214">
        <v>1.03</v>
      </c>
      <c r="BO214">
        <v>0</v>
      </c>
      <c r="BP214">
        <v>1</v>
      </c>
      <c r="BQ214">
        <v>0</v>
      </c>
      <c r="BR214">
        <v>0</v>
      </c>
      <c r="BS214">
        <v>0</v>
      </c>
      <c r="BT214">
        <v>555.01550000000009</v>
      </c>
      <c r="BU214">
        <v>1.03</v>
      </c>
      <c r="BV214">
        <v>0</v>
      </c>
      <c r="BW214">
        <v>1</v>
      </c>
      <c r="CU214">
        <f>ROUND(AT214*Source!I194*AH214*AL214,2)</f>
        <v>172.5</v>
      </c>
      <c r="CV214">
        <f>ROUND(Y214*Source!I194,7)</f>
        <v>0.32012400000000002</v>
      </c>
      <c r="CW214">
        <v>0</v>
      </c>
      <c r="CX214">
        <f>ROUND(Y214*Source!I194,7)</f>
        <v>0.32012400000000002</v>
      </c>
      <c r="CY214">
        <f>AD214</f>
        <v>538.85</v>
      </c>
      <c r="CZ214">
        <f>AH214</f>
        <v>538.85</v>
      </c>
      <c r="DA214">
        <f>AL214</f>
        <v>1</v>
      </c>
      <c r="DB214">
        <f t="shared" si="93"/>
        <v>555.02</v>
      </c>
      <c r="DC214">
        <f t="shared" si="94"/>
        <v>0</v>
      </c>
      <c r="DD214" t="s">
        <v>3</v>
      </c>
      <c r="DE214" t="s">
        <v>3</v>
      </c>
      <c r="DF214">
        <f>ROUND(ROUND(AE214,2)*CX214,2)</f>
        <v>0</v>
      </c>
      <c r="DG214">
        <f t="shared" si="96"/>
        <v>0</v>
      </c>
      <c r="DH214">
        <f t="shared" si="89"/>
        <v>0</v>
      </c>
      <c r="DI214">
        <f t="shared" si="90"/>
        <v>172.5</v>
      </c>
      <c r="DJ214">
        <f>DI214</f>
        <v>172.5</v>
      </c>
      <c r="DK214">
        <v>1</v>
      </c>
      <c r="DL214" t="s">
        <v>3</v>
      </c>
      <c r="DM214">
        <v>0</v>
      </c>
      <c r="DN214" t="s">
        <v>3</v>
      </c>
      <c r="DO214">
        <v>0</v>
      </c>
    </row>
    <row r="215" spans="1:119" x14ac:dyDescent="0.2">
      <c r="A215">
        <f>ROW(Source!A194)</f>
        <v>194</v>
      </c>
      <c r="B215">
        <v>80308166</v>
      </c>
      <c r="C215">
        <v>80308948</v>
      </c>
      <c r="D215">
        <v>72924938</v>
      </c>
      <c r="E215">
        <v>1</v>
      </c>
      <c r="F215">
        <v>1</v>
      </c>
      <c r="G215">
        <v>1</v>
      </c>
      <c r="H215">
        <v>3</v>
      </c>
      <c r="I215" t="s">
        <v>622</v>
      </c>
      <c r="J215" t="s">
        <v>623</v>
      </c>
      <c r="K215" t="s">
        <v>624</v>
      </c>
      <c r="L215">
        <v>1425</v>
      </c>
      <c r="N215">
        <v>1013</v>
      </c>
      <c r="O215" t="s">
        <v>19</v>
      </c>
      <c r="P215" t="s">
        <v>19</v>
      </c>
      <c r="Q215">
        <v>1</v>
      </c>
      <c r="W215">
        <v>0</v>
      </c>
      <c r="X215">
        <v>-175039237</v>
      </c>
      <c r="Y215">
        <f t="shared" si="92"/>
        <v>0.2</v>
      </c>
      <c r="AA215">
        <v>2815.97</v>
      </c>
      <c r="AB215">
        <v>0</v>
      </c>
      <c r="AC215">
        <v>0</v>
      </c>
      <c r="AD215">
        <v>0</v>
      </c>
      <c r="AE215">
        <v>1828.55</v>
      </c>
      <c r="AF215">
        <v>0</v>
      </c>
      <c r="AG215">
        <v>0</v>
      </c>
      <c r="AH215">
        <v>0</v>
      </c>
      <c r="AI215">
        <v>1.54</v>
      </c>
      <c r="AJ215">
        <v>1</v>
      </c>
      <c r="AK215">
        <v>1</v>
      </c>
      <c r="AL215">
        <v>1</v>
      </c>
      <c r="AM215">
        <v>2</v>
      </c>
      <c r="AN215">
        <v>0</v>
      </c>
      <c r="AO215">
        <v>0</v>
      </c>
      <c r="AP215">
        <v>1</v>
      </c>
      <c r="AQ215">
        <v>1</v>
      </c>
      <c r="AR215">
        <v>0</v>
      </c>
      <c r="AS215" t="s">
        <v>3</v>
      </c>
      <c r="AT215">
        <v>0.2</v>
      </c>
      <c r="AU215" t="s">
        <v>3</v>
      </c>
      <c r="AV215">
        <v>0</v>
      </c>
      <c r="AW215">
        <v>2</v>
      </c>
      <c r="AX215">
        <v>80308952</v>
      </c>
      <c r="AY215">
        <v>1</v>
      </c>
      <c r="AZ215">
        <v>0</v>
      </c>
      <c r="BA215">
        <v>211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365.71000000000004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1</v>
      </c>
      <c r="BQ215">
        <v>365.71000000000004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1</v>
      </c>
      <c r="CV215">
        <v>0</v>
      </c>
      <c r="CW215">
        <v>0</v>
      </c>
      <c r="CX215">
        <f>ROUND(Y215*Source!I194,7)</f>
        <v>6.216E-2</v>
      </c>
      <c r="CY215">
        <f>AA215</f>
        <v>2815.97</v>
      </c>
      <c r="CZ215">
        <f>AE215</f>
        <v>1828.55</v>
      </c>
      <c r="DA215">
        <f>AI215</f>
        <v>1.54</v>
      </c>
      <c r="DB215">
        <f t="shared" si="93"/>
        <v>365.71</v>
      </c>
      <c r="DC215">
        <f t="shared" si="94"/>
        <v>0</v>
      </c>
      <c r="DD215" t="s">
        <v>3</v>
      </c>
      <c r="DE215" t="s">
        <v>3</v>
      </c>
      <c r="DF215">
        <f>ROUND(ROUND(AE215*AI215,2)*CX215,2)</f>
        <v>175.04</v>
      </c>
      <c r="DG215">
        <f t="shared" si="96"/>
        <v>0</v>
      </c>
      <c r="DH215">
        <f t="shared" si="89"/>
        <v>0</v>
      </c>
      <c r="DI215">
        <f t="shared" si="90"/>
        <v>0</v>
      </c>
      <c r="DJ215">
        <f>DF215</f>
        <v>175.04</v>
      </c>
      <c r="DK215">
        <v>0</v>
      </c>
      <c r="DL215" t="s">
        <v>3</v>
      </c>
      <c r="DM215">
        <v>0</v>
      </c>
      <c r="DN215" t="s">
        <v>3</v>
      </c>
      <c r="DO215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1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80308473</v>
      </c>
      <c r="C1">
        <v>80308465</v>
      </c>
      <c r="D1">
        <v>77423772</v>
      </c>
      <c r="E1">
        <v>117</v>
      </c>
      <c r="F1">
        <v>1</v>
      </c>
      <c r="G1">
        <v>1</v>
      </c>
      <c r="H1">
        <v>1</v>
      </c>
      <c r="I1" t="s">
        <v>447</v>
      </c>
      <c r="J1" t="s">
        <v>3</v>
      </c>
      <c r="K1" t="s">
        <v>448</v>
      </c>
      <c r="L1">
        <v>1191</v>
      </c>
      <c r="N1">
        <v>1013</v>
      </c>
      <c r="O1" t="s">
        <v>449</v>
      </c>
      <c r="P1" t="s">
        <v>449</v>
      </c>
      <c r="Q1">
        <v>1</v>
      </c>
      <c r="X1">
        <v>308</v>
      </c>
      <c r="Y1">
        <v>0</v>
      </c>
      <c r="Z1">
        <v>0</v>
      </c>
      <c r="AA1">
        <v>0</v>
      </c>
      <c r="AB1">
        <v>681.63</v>
      </c>
      <c r="AC1">
        <v>0</v>
      </c>
      <c r="AD1">
        <v>1</v>
      </c>
      <c r="AE1">
        <v>1</v>
      </c>
      <c r="AF1" t="s">
        <v>3</v>
      </c>
      <c r="AG1">
        <v>308</v>
      </c>
      <c r="AH1">
        <v>2</v>
      </c>
      <c r="AI1">
        <v>80308466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80308474</v>
      </c>
      <c r="C2">
        <v>80308465</v>
      </c>
      <c r="D2">
        <v>77423956</v>
      </c>
      <c r="E2">
        <v>117</v>
      </c>
      <c r="F2">
        <v>1</v>
      </c>
      <c r="G2">
        <v>1</v>
      </c>
      <c r="H2">
        <v>1</v>
      </c>
      <c r="I2" t="s">
        <v>450</v>
      </c>
      <c r="J2" t="s">
        <v>3</v>
      </c>
      <c r="K2" t="s">
        <v>451</v>
      </c>
      <c r="L2">
        <v>1191</v>
      </c>
      <c r="N2">
        <v>1013</v>
      </c>
      <c r="O2" t="s">
        <v>449</v>
      </c>
      <c r="P2" t="s">
        <v>449</v>
      </c>
      <c r="Q2">
        <v>1</v>
      </c>
      <c r="X2">
        <v>4.2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4.2</v>
      </c>
      <c r="AH2">
        <v>2</v>
      </c>
      <c r="AI2">
        <v>80308467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80308475</v>
      </c>
      <c r="C3">
        <v>80308465</v>
      </c>
      <c r="D3">
        <v>77431339</v>
      </c>
      <c r="E3">
        <v>1</v>
      </c>
      <c r="F3">
        <v>1</v>
      </c>
      <c r="G3">
        <v>1</v>
      </c>
      <c r="H3">
        <v>2</v>
      </c>
      <c r="I3" t="s">
        <v>452</v>
      </c>
      <c r="J3" t="s">
        <v>453</v>
      </c>
      <c r="K3" t="s">
        <v>454</v>
      </c>
      <c r="L3">
        <v>1368</v>
      </c>
      <c r="N3">
        <v>1011</v>
      </c>
      <c r="O3" t="s">
        <v>455</v>
      </c>
      <c r="P3" t="s">
        <v>455</v>
      </c>
      <c r="Q3">
        <v>1</v>
      </c>
      <c r="X3">
        <v>4.2</v>
      </c>
      <c r="Y3">
        <v>0</v>
      </c>
      <c r="Z3">
        <v>643.29</v>
      </c>
      <c r="AA3">
        <v>722.05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4.2</v>
      </c>
      <c r="AH3">
        <v>2</v>
      </c>
      <c r="AI3">
        <v>80308468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80308476</v>
      </c>
      <c r="C4">
        <v>80308465</v>
      </c>
      <c r="D4">
        <v>77495882</v>
      </c>
      <c r="E4">
        <v>1</v>
      </c>
      <c r="F4">
        <v>1</v>
      </c>
      <c r="G4">
        <v>1</v>
      </c>
      <c r="H4">
        <v>3</v>
      </c>
      <c r="I4" t="s">
        <v>457</v>
      </c>
      <c r="J4" t="s">
        <v>458</v>
      </c>
      <c r="K4" t="s">
        <v>459</v>
      </c>
      <c r="L4">
        <v>1407</v>
      </c>
      <c r="N4">
        <v>1013</v>
      </c>
      <c r="O4" t="s">
        <v>460</v>
      </c>
      <c r="P4" t="s">
        <v>460</v>
      </c>
      <c r="Q4">
        <v>1</v>
      </c>
      <c r="X4">
        <v>0.2</v>
      </c>
      <c r="Y4">
        <v>13680.39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0.2</v>
      </c>
      <c r="AH4">
        <v>2</v>
      </c>
      <c r="AI4">
        <v>80308469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80308477</v>
      </c>
      <c r="C5">
        <v>80308465</v>
      </c>
      <c r="D5">
        <v>77499590</v>
      </c>
      <c r="E5">
        <v>1</v>
      </c>
      <c r="F5">
        <v>1</v>
      </c>
      <c r="G5">
        <v>1</v>
      </c>
      <c r="H5">
        <v>3</v>
      </c>
      <c r="I5" t="s">
        <v>461</v>
      </c>
      <c r="J5" t="s">
        <v>462</v>
      </c>
      <c r="K5" t="s">
        <v>463</v>
      </c>
      <c r="L5">
        <v>1348</v>
      </c>
      <c r="N5">
        <v>1009</v>
      </c>
      <c r="O5" t="s">
        <v>35</v>
      </c>
      <c r="P5" t="s">
        <v>35</v>
      </c>
      <c r="Q5">
        <v>1000</v>
      </c>
      <c r="X5">
        <v>0.21</v>
      </c>
      <c r="Y5">
        <v>151744.95000000001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0.21</v>
      </c>
      <c r="AH5">
        <v>2</v>
      </c>
      <c r="AI5">
        <v>80308470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ROW(Source!A28)</f>
        <v>28</v>
      </c>
      <c r="B6">
        <v>80308478</v>
      </c>
      <c r="C6">
        <v>80308465</v>
      </c>
      <c r="D6">
        <v>77428062</v>
      </c>
      <c r="E6">
        <v>117</v>
      </c>
      <c r="F6">
        <v>1</v>
      </c>
      <c r="G6">
        <v>1</v>
      </c>
      <c r="H6">
        <v>3</v>
      </c>
      <c r="I6" t="s">
        <v>625</v>
      </c>
      <c r="J6" t="s">
        <v>3</v>
      </c>
      <c r="K6" t="s">
        <v>626</v>
      </c>
      <c r="L6">
        <v>1371</v>
      </c>
      <c r="N6">
        <v>1013</v>
      </c>
      <c r="O6" t="s">
        <v>30</v>
      </c>
      <c r="P6" t="s">
        <v>30</v>
      </c>
      <c r="Q6">
        <v>1</v>
      </c>
      <c r="X6">
        <v>100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s">
        <v>3</v>
      </c>
      <c r="AG6">
        <v>100</v>
      </c>
      <c r="AH6">
        <v>3</v>
      </c>
      <c r="AI6">
        <v>-1</v>
      </c>
      <c r="AJ6" t="s">
        <v>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ROW(Source!A28)</f>
        <v>28</v>
      </c>
      <c r="B7">
        <v>80308479</v>
      </c>
      <c r="C7">
        <v>80308465</v>
      </c>
      <c r="D7">
        <v>77429794</v>
      </c>
      <c r="E7">
        <v>117</v>
      </c>
      <c r="F7">
        <v>1</v>
      </c>
      <c r="G7">
        <v>1</v>
      </c>
      <c r="H7">
        <v>3</v>
      </c>
      <c r="I7" t="s">
        <v>33</v>
      </c>
      <c r="J7" t="s">
        <v>3</v>
      </c>
      <c r="K7" t="s">
        <v>34</v>
      </c>
      <c r="L7">
        <v>1348</v>
      </c>
      <c r="N7">
        <v>1009</v>
      </c>
      <c r="O7" t="s">
        <v>35</v>
      </c>
      <c r="P7" t="s">
        <v>35</v>
      </c>
      <c r="Q7">
        <v>1000</v>
      </c>
      <c r="X7">
        <v>3.84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3</v>
      </c>
      <c r="AG7">
        <v>3.84</v>
      </c>
      <c r="AH7">
        <v>2</v>
      </c>
      <c r="AI7">
        <v>80308471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ROW(Source!A31)</f>
        <v>31</v>
      </c>
      <c r="B8">
        <v>80308487</v>
      </c>
      <c r="C8">
        <v>80308482</v>
      </c>
      <c r="D8">
        <v>77423762</v>
      </c>
      <c r="E8">
        <v>117</v>
      </c>
      <c r="F8">
        <v>1</v>
      </c>
      <c r="G8">
        <v>1</v>
      </c>
      <c r="H8">
        <v>1</v>
      </c>
      <c r="I8" t="s">
        <v>464</v>
      </c>
      <c r="J8" t="s">
        <v>3</v>
      </c>
      <c r="K8" t="s">
        <v>465</v>
      </c>
      <c r="L8">
        <v>1191</v>
      </c>
      <c r="N8">
        <v>1013</v>
      </c>
      <c r="O8" t="s">
        <v>449</v>
      </c>
      <c r="P8" t="s">
        <v>449</v>
      </c>
      <c r="Q8">
        <v>1</v>
      </c>
      <c r="X8">
        <v>95.3</v>
      </c>
      <c r="Y8">
        <v>0</v>
      </c>
      <c r="Z8">
        <v>0</v>
      </c>
      <c r="AA8">
        <v>0</v>
      </c>
      <c r="AB8">
        <v>641.22</v>
      </c>
      <c r="AC8">
        <v>0</v>
      </c>
      <c r="AD8">
        <v>1</v>
      </c>
      <c r="AE8">
        <v>1</v>
      </c>
      <c r="AF8" t="s">
        <v>3</v>
      </c>
      <c r="AG8">
        <v>95.3</v>
      </c>
      <c r="AH8">
        <v>2</v>
      </c>
      <c r="AI8">
        <v>80308483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ROW(Source!A31)</f>
        <v>31</v>
      </c>
      <c r="B9">
        <v>80308488</v>
      </c>
      <c r="C9">
        <v>80308482</v>
      </c>
      <c r="D9">
        <v>77423956</v>
      </c>
      <c r="E9">
        <v>117</v>
      </c>
      <c r="F9">
        <v>1</v>
      </c>
      <c r="G9">
        <v>1</v>
      </c>
      <c r="H9">
        <v>1</v>
      </c>
      <c r="I9" t="s">
        <v>450</v>
      </c>
      <c r="J9" t="s">
        <v>3</v>
      </c>
      <c r="K9" t="s">
        <v>451</v>
      </c>
      <c r="L9">
        <v>1191</v>
      </c>
      <c r="N9">
        <v>1013</v>
      </c>
      <c r="O9" t="s">
        <v>449</v>
      </c>
      <c r="P9" t="s">
        <v>449</v>
      </c>
      <c r="Q9">
        <v>1</v>
      </c>
      <c r="X9">
        <v>0.25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2</v>
      </c>
      <c r="AF9" t="s">
        <v>3</v>
      </c>
      <c r="AG9">
        <v>0.25</v>
      </c>
      <c r="AH9">
        <v>2</v>
      </c>
      <c r="AI9">
        <v>80308484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ROW(Source!A31)</f>
        <v>31</v>
      </c>
      <c r="B10">
        <v>80308489</v>
      </c>
      <c r="C10">
        <v>80308482</v>
      </c>
      <c r="D10">
        <v>77430632</v>
      </c>
      <c r="E10">
        <v>1</v>
      </c>
      <c r="F10">
        <v>1</v>
      </c>
      <c r="G10">
        <v>1</v>
      </c>
      <c r="H10">
        <v>2</v>
      </c>
      <c r="I10" t="s">
        <v>466</v>
      </c>
      <c r="J10" t="s">
        <v>467</v>
      </c>
      <c r="K10" t="s">
        <v>468</v>
      </c>
      <c r="L10">
        <v>1368</v>
      </c>
      <c r="N10">
        <v>1011</v>
      </c>
      <c r="O10" t="s">
        <v>455</v>
      </c>
      <c r="P10" t="s">
        <v>455</v>
      </c>
      <c r="Q10">
        <v>1</v>
      </c>
      <c r="X10">
        <v>0.25</v>
      </c>
      <c r="Y10">
        <v>0</v>
      </c>
      <c r="Z10">
        <v>37.32</v>
      </c>
      <c r="AA10">
        <v>641.22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0.25</v>
      </c>
      <c r="AH10">
        <v>2</v>
      </c>
      <c r="AI10">
        <v>80308485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ROW(Source!A31)</f>
        <v>31</v>
      </c>
      <c r="B11">
        <v>80308490</v>
      </c>
      <c r="C11">
        <v>80308482</v>
      </c>
      <c r="D11">
        <v>77429794</v>
      </c>
      <c r="E11">
        <v>117</v>
      </c>
      <c r="F11">
        <v>1</v>
      </c>
      <c r="G11">
        <v>1</v>
      </c>
      <c r="H11">
        <v>3</v>
      </c>
      <c r="I11" t="s">
        <v>33</v>
      </c>
      <c r="J11" t="s">
        <v>3</v>
      </c>
      <c r="K11" t="s">
        <v>34</v>
      </c>
      <c r="L11">
        <v>1348</v>
      </c>
      <c r="N11">
        <v>1009</v>
      </c>
      <c r="O11" t="s">
        <v>35</v>
      </c>
      <c r="P11" t="s">
        <v>35</v>
      </c>
      <c r="Q11">
        <v>1000</v>
      </c>
      <c r="X11">
        <v>3.98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3</v>
      </c>
      <c r="AG11">
        <v>3.98</v>
      </c>
      <c r="AH11">
        <v>2</v>
      </c>
      <c r="AI11">
        <v>80308486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ROW(Source!A33)</f>
        <v>33</v>
      </c>
      <c r="B12">
        <v>80308504</v>
      </c>
      <c r="C12">
        <v>80308492</v>
      </c>
      <c r="D12">
        <v>77423772</v>
      </c>
      <c r="E12">
        <v>117</v>
      </c>
      <c r="F12">
        <v>1</v>
      </c>
      <c r="G12">
        <v>1</v>
      </c>
      <c r="H12">
        <v>1</v>
      </c>
      <c r="I12" t="s">
        <v>447</v>
      </c>
      <c r="J12" t="s">
        <v>3</v>
      </c>
      <c r="K12" t="s">
        <v>448</v>
      </c>
      <c r="L12">
        <v>1191</v>
      </c>
      <c r="N12">
        <v>1013</v>
      </c>
      <c r="O12" t="s">
        <v>449</v>
      </c>
      <c r="P12" t="s">
        <v>449</v>
      </c>
      <c r="Q12">
        <v>1</v>
      </c>
      <c r="X12">
        <v>2.6</v>
      </c>
      <c r="Y12">
        <v>0</v>
      </c>
      <c r="Z12">
        <v>0</v>
      </c>
      <c r="AA12">
        <v>0</v>
      </c>
      <c r="AB12">
        <v>681.63</v>
      </c>
      <c r="AC12">
        <v>0</v>
      </c>
      <c r="AD12">
        <v>1</v>
      </c>
      <c r="AE12">
        <v>1</v>
      </c>
      <c r="AF12" t="s">
        <v>49</v>
      </c>
      <c r="AG12">
        <v>2.9899999999999998</v>
      </c>
      <c r="AH12">
        <v>2</v>
      </c>
      <c r="AI12">
        <v>80308493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ROW(Source!A33)</f>
        <v>33</v>
      </c>
      <c r="B13">
        <v>80308505</v>
      </c>
      <c r="C13">
        <v>80308492</v>
      </c>
      <c r="D13">
        <v>77423956</v>
      </c>
      <c r="E13">
        <v>117</v>
      </c>
      <c r="F13">
        <v>1</v>
      </c>
      <c r="G13">
        <v>1</v>
      </c>
      <c r="H13">
        <v>1</v>
      </c>
      <c r="I13" t="s">
        <v>450</v>
      </c>
      <c r="J13" t="s">
        <v>3</v>
      </c>
      <c r="K13" t="s">
        <v>451</v>
      </c>
      <c r="L13">
        <v>1191</v>
      </c>
      <c r="N13">
        <v>1013</v>
      </c>
      <c r="O13" t="s">
        <v>449</v>
      </c>
      <c r="P13" t="s">
        <v>449</v>
      </c>
      <c r="Q13">
        <v>1</v>
      </c>
      <c r="X13">
        <v>0.04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2</v>
      </c>
      <c r="AF13" t="s">
        <v>48</v>
      </c>
      <c r="AG13">
        <v>0.05</v>
      </c>
      <c r="AH13">
        <v>2</v>
      </c>
      <c r="AI13">
        <v>80308494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ROW(Source!A33)</f>
        <v>33</v>
      </c>
      <c r="B14">
        <v>80308506</v>
      </c>
      <c r="C14">
        <v>80308492</v>
      </c>
      <c r="D14">
        <v>77430393</v>
      </c>
      <c r="E14">
        <v>1</v>
      </c>
      <c r="F14">
        <v>1</v>
      </c>
      <c r="G14">
        <v>1</v>
      </c>
      <c r="H14">
        <v>2</v>
      </c>
      <c r="I14" t="s">
        <v>470</v>
      </c>
      <c r="J14" t="s">
        <v>471</v>
      </c>
      <c r="K14" t="s">
        <v>472</v>
      </c>
      <c r="L14">
        <v>1368</v>
      </c>
      <c r="N14">
        <v>1011</v>
      </c>
      <c r="O14" t="s">
        <v>455</v>
      </c>
      <c r="P14" t="s">
        <v>455</v>
      </c>
      <c r="Q14">
        <v>1</v>
      </c>
      <c r="X14">
        <v>0.01</v>
      </c>
      <c r="Y14">
        <v>0</v>
      </c>
      <c r="Z14">
        <v>1039.32</v>
      </c>
      <c r="AA14">
        <v>969.91</v>
      </c>
      <c r="AB14">
        <v>0</v>
      </c>
      <c r="AC14">
        <v>0</v>
      </c>
      <c r="AD14">
        <v>1</v>
      </c>
      <c r="AE14">
        <v>0</v>
      </c>
      <c r="AF14" t="s">
        <v>48</v>
      </c>
      <c r="AG14">
        <v>1.2500000000000001E-2</v>
      </c>
      <c r="AH14">
        <v>2</v>
      </c>
      <c r="AI14">
        <v>80308495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ROW(Source!A33)</f>
        <v>33</v>
      </c>
      <c r="B15">
        <v>80308507</v>
      </c>
      <c r="C15">
        <v>80308492</v>
      </c>
      <c r="D15">
        <v>77430445</v>
      </c>
      <c r="E15">
        <v>1</v>
      </c>
      <c r="F15">
        <v>1</v>
      </c>
      <c r="G15">
        <v>1</v>
      </c>
      <c r="H15">
        <v>2</v>
      </c>
      <c r="I15" t="s">
        <v>474</v>
      </c>
      <c r="J15" t="s">
        <v>475</v>
      </c>
      <c r="K15" t="s">
        <v>476</v>
      </c>
      <c r="L15">
        <v>1368</v>
      </c>
      <c r="N15">
        <v>1011</v>
      </c>
      <c r="O15" t="s">
        <v>455</v>
      </c>
      <c r="P15" t="s">
        <v>455</v>
      </c>
      <c r="Q15">
        <v>1</v>
      </c>
      <c r="X15">
        <v>0.01</v>
      </c>
      <c r="Y15">
        <v>0</v>
      </c>
      <c r="Z15">
        <v>1629.55</v>
      </c>
      <c r="AA15">
        <v>969.91</v>
      </c>
      <c r="AB15">
        <v>0</v>
      </c>
      <c r="AC15">
        <v>0</v>
      </c>
      <c r="AD15">
        <v>1</v>
      </c>
      <c r="AE15">
        <v>0</v>
      </c>
      <c r="AF15" t="s">
        <v>48</v>
      </c>
      <c r="AG15">
        <v>1.2500000000000001E-2</v>
      </c>
      <c r="AH15">
        <v>2</v>
      </c>
      <c r="AI15">
        <v>80308496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ROW(Source!A33)</f>
        <v>33</v>
      </c>
      <c r="B16">
        <v>80308508</v>
      </c>
      <c r="C16">
        <v>80308492</v>
      </c>
      <c r="D16">
        <v>77431339</v>
      </c>
      <c r="E16">
        <v>1</v>
      </c>
      <c r="F16">
        <v>1</v>
      </c>
      <c r="G16">
        <v>1</v>
      </c>
      <c r="H16">
        <v>2</v>
      </c>
      <c r="I16" t="s">
        <v>452</v>
      </c>
      <c r="J16" t="s">
        <v>453</v>
      </c>
      <c r="K16" t="s">
        <v>454</v>
      </c>
      <c r="L16">
        <v>1368</v>
      </c>
      <c r="N16">
        <v>1011</v>
      </c>
      <c r="O16" t="s">
        <v>455</v>
      </c>
      <c r="P16" t="s">
        <v>455</v>
      </c>
      <c r="Q16">
        <v>1</v>
      </c>
      <c r="X16">
        <v>0.02</v>
      </c>
      <c r="Y16">
        <v>0</v>
      </c>
      <c r="Z16">
        <v>643.29</v>
      </c>
      <c r="AA16">
        <v>722.05</v>
      </c>
      <c r="AB16">
        <v>0</v>
      </c>
      <c r="AC16">
        <v>0</v>
      </c>
      <c r="AD16">
        <v>1</v>
      </c>
      <c r="AE16">
        <v>0</v>
      </c>
      <c r="AF16" t="s">
        <v>48</v>
      </c>
      <c r="AG16">
        <v>2.5000000000000001E-2</v>
      </c>
      <c r="AH16">
        <v>2</v>
      </c>
      <c r="AI16">
        <v>80308497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ROW(Source!A33)</f>
        <v>33</v>
      </c>
      <c r="B17">
        <v>80308509</v>
      </c>
      <c r="C17">
        <v>80308492</v>
      </c>
      <c r="D17">
        <v>77431535</v>
      </c>
      <c r="E17">
        <v>1</v>
      </c>
      <c r="F17">
        <v>1</v>
      </c>
      <c r="G17">
        <v>1</v>
      </c>
      <c r="H17">
        <v>2</v>
      </c>
      <c r="I17" t="s">
        <v>477</v>
      </c>
      <c r="J17" t="s">
        <v>478</v>
      </c>
      <c r="K17" t="s">
        <v>479</v>
      </c>
      <c r="L17">
        <v>1368</v>
      </c>
      <c r="N17">
        <v>1011</v>
      </c>
      <c r="O17" t="s">
        <v>455</v>
      </c>
      <c r="P17" t="s">
        <v>455</v>
      </c>
      <c r="Q17">
        <v>1</v>
      </c>
      <c r="X17">
        <v>0.63</v>
      </c>
      <c r="Y17">
        <v>0</v>
      </c>
      <c r="Z17">
        <v>32.26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48</v>
      </c>
      <c r="AG17">
        <v>0.78749999999999998</v>
      </c>
      <c r="AH17">
        <v>2</v>
      </c>
      <c r="AI17">
        <v>80308498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ROW(Source!A33)</f>
        <v>33</v>
      </c>
      <c r="B18">
        <v>80308510</v>
      </c>
      <c r="C18">
        <v>80308492</v>
      </c>
      <c r="D18">
        <v>77495882</v>
      </c>
      <c r="E18">
        <v>1</v>
      </c>
      <c r="F18">
        <v>1</v>
      </c>
      <c r="G18">
        <v>1</v>
      </c>
      <c r="H18">
        <v>3</v>
      </c>
      <c r="I18" t="s">
        <v>457</v>
      </c>
      <c r="J18" t="s">
        <v>458</v>
      </c>
      <c r="K18" t="s">
        <v>459</v>
      </c>
      <c r="L18">
        <v>1407</v>
      </c>
      <c r="N18">
        <v>1013</v>
      </c>
      <c r="O18" t="s">
        <v>460</v>
      </c>
      <c r="P18" t="s">
        <v>460</v>
      </c>
      <c r="Q18">
        <v>1</v>
      </c>
      <c r="X18">
        <v>2E-3</v>
      </c>
      <c r="Y18">
        <v>13680.39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2E-3</v>
      </c>
      <c r="AH18">
        <v>2</v>
      </c>
      <c r="AI18">
        <v>80308499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ROW(Source!A33)</f>
        <v>33</v>
      </c>
      <c r="B19">
        <v>80308511</v>
      </c>
      <c r="C19">
        <v>80308492</v>
      </c>
      <c r="D19">
        <v>77498850</v>
      </c>
      <c r="E19">
        <v>1</v>
      </c>
      <c r="F19">
        <v>1</v>
      </c>
      <c r="G19">
        <v>1</v>
      </c>
      <c r="H19">
        <v>3</v>
      </c>
      <c r="I19" t="s">
        <v>480</v>
      </c>
      <c r="J19" t="s">
        <v>481</v>
      </c>
      <c r="K19" t="s">
        <v>482</v>
      </c>
      <c r="L19">
        <v>1346</v>
      </c>
      <c r="N19">
        <v>1009</v>
      </c>
      <c r="O19" t="s">
        <v>295</v>
      </c>
      <c r="P19" t="s">
        <v>295</v>
      </c>
      <c r="Q19">
        <v>1</v>
      </c>
      <c r="X19">
        <v>0.33</v>
      </c>
      <c r="Y19">
        <v>155.63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3</v>
      </c>
      <c r="AG19">
        <v>0.33</v>
      </c>
      <c r="AH19">
        <v>2</v>
      </c>
      <c r="AI19">
        <v>80308500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ROW(Source!A33)</f>
        <v>33</v>
      </c>
      <c r="B20">
        <v>80308512</v>
      </c>
      <c r="C20">
        <v>80308492</v>
      </c>
      <c r="D20">
        <v>77499589</v>
      </c>
      <c r="E20">
        <v>1</v>
      </c>
      <c r="F20">
        <v>1</v>
      </c>
      <c r="G20">
        <v>1</v>
      </c>
      <c r="H20">
        <v>3</v>
      </c>
      <c r="I20" t="s">
        <v>483</v>
      </c>
      <c r="J20" t="s">
        <v>484</v>
      </c>
      <c r="K20" t="s">
        <v>485</v>
      </c>
      <c r="L20">
        <v>1348</v>
      </c>
      <c r="N20">
        <v>1009</v>
      </c>
      <c r="O20" t="s">
        <v>35</v>
      </c>
      <c r="P20" t="s">
        <v>35</v>
      </c>
      <c r="Q20">
        <v>1000</v>
      </c>
      <c r="X20">
        <v>2.0699999999999998E-3</v>
      </c>
      <c r="Y20">
        <v>145801.49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2.0699999999999998E-3</v>
      </c>
      <c r="AH20">
        <v>2</v>
      </c>
      <c r="AI20">
        <v>80308501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ROW(Source!A33)</f>
        <v>33</v>
      </c>
      <c r="B21">
        <v>80308513</v>
      </c>
      <c r="C21">
        <v>80308492</v>
      </c>
      <c r="D21">
        <v>77428062</v>
      </c>
      <c r="E21">
        <v>117</v>
      </c>
      <c r="F21">
        <v>1</v>
      </c>
      <c r="G21">
        <v>1</v>
      </c>
      <c r="H21">
        <v>3</v>
      </c>
      <c r="I21" t="s">
        <v>625</v>
      </c>
      <c r="J21" t="s">
        <v>3</v>
      </c>
      <c r="K21" t="s">
        <v>627</v>
      </c>
      <c r="L21">
        <v>1371</v>
      </c>
      <c r="N21">
        <v>1013</v>
      </c>
      <c r="O21" t="s">
        <v>30</v>
      </c>
      <c r="P21" t="s">
        <v>30</v>
      </c>
      <c r="Q21">
        <v>1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s">
        <v>3</v>
      </c>
      <c r="AG21">
        <v>1</v>
      </c>
      <c r="AH21">
        <v>3</v>
      </c>
      <c r="AI21">
        <v>-1</v>
      </c>
      <c r="AJ21" t="s">
        <v>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ROW(Source!A33)</f>
        <v>33</v>
      </c>
      <c r="B22">
        <v>80308514</v>
      </c>
      <c r="C22">
        <v>80308492</v>
      </c>
      <c r="D22">
        <v>77429216</v>
      </c>
      <c r="E22">
        <v>117</v>
      </c>
      <c r="F22">
        <v>1</v>
      </c>
      <c r="G22">
        <v>1</v>
      </c>
      <c r="H22">
        <v>3</v>
      </c>
      <c r="I22" t="s">
        <v>628</v>
      </c>
      <c r="J22" t="s">
        <v>3</v>
      </c>
      <c r="K22" t="s">
        <v>629</v>
      </c>
      <c r="L22">
        <v>1371</v>
      </c>
      <c r="N22">
        <v>1013</v>
      </c>
      <c r="O22" t="s">
        <v>30</v>
      </c>
      <c r="P22" t="s">
        <v>30</v>
      </c>
      <c r="Q22">
        <v>1</v>
      </c>
      <c r="X22">
        <v>2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 t="s">
        <v>3</v>
      </c>
      <c r="AG22">
        <v>2</v>
      </c>
      <c r="AH22">
        <v>3</v>
      </c>
      <c r="AI22">
        <v>-1</v>
      </c>
      <c r="AJ22" t="s">
        <v>3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ROW(Source!A36)</f>
        <v>36</v>
      </c>
      <c r="B23">
        <v>80308525</v>
      </c>
      <c r="C23">
        <v>80308517</v>
      </c>
      <c r="D23">
        <v>77423786</v>
      </c>
      <c r="E23">
        <v>117</v>
      </c>
      <c r="F23">
        <v>1</v>
      </c>
      <c r="G23">
        <v>1</v>
      </c>
      <c r="H23">
        <v>1</v>
      </c>
      <c r="I23" t="s">
        <v>486</v>
      </c>
      <c r="J23" t="s">
        <v>3</v>
      </c>
      <c r="K23" t="s">
        <v>487</v>
      </c>
      <c r="L23">
        <v>1191</v>
      </c>
      <c r="N23">
        <v>1013</v>
      </c>
      <c r="O23" t="s">
        <v>449</v>
      </c>
      <c r="P23" t="s">
        <v>449</v>
      </c>
      <c r="Q23">
        <v>1</v>
      </c>
      <c r="X23">
        <v>4.8</v>
      </c>
      <c r="Y23">
        <v>0</v>
      </c>
      <c r="Z23">
        <v>0</v>
      </c>
      <c r="AA23">
        <v>0</v>
      </c>
      <c r="AB23">
        <v>722.05</v>
      </c>
      <c r="AC23">
        <v>0</v>
      </c>
      <c r="AD23">
        <v>1</v>
      </c>
      <c r="AE23">
        <v>1</v>
      </c>
      <c r="AF23" t="s">
        <v>73</v>
      </c>
      <c r="AG23">
        <v>1.44</v>
      </c>
      <c r="AH23">
        <v>2</v>
      </c>
      <c r="AI23">
        <v>80308518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ROW(Source!A36)</f>
        <v>36</v>
      </c>
      <c r="B24">
        <v>80308526</v>
      </c>
      <c r="C24">
        <v>80308517</v>
      </c>
      <c r="D24">
        <v>77431535</v>
      </c>
      <c r="E24">
        <v>1</v>
      </c>
      <c r="F24">
        <v>1</v>
      </c>
      <c r="G24">
        <v>1</v>
      </c>
      <c r="H24">
        <v>2</v>
      </c>
      <c r="I24" t="s">
        <v>477</v>
      </c>
      <c r="J24" t="s">
        <v>478</v>
      </c>
      <c r="K24" t="s">
        <v>479</v>
      </c>
      <c r="L24">
        <v>1368</v>
      </c>
      <c r="N24">
        <v>1011</v>
      </c>
      <c r="O24" t="s">
        <v>455</v>
      </c>
      <c r="P24" t="s">
        <v>455</v>
      </c>
      <c r="Q24">
        <v>1</v>
      </c>
      <c r="X24">
        <v>0.56000000000000005</v>
      </c>
      <c r="Y24">
        <v>0</v>
      </c>
      <c r="Z24">
        <v>32.26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73</v>
      </c>
      <c r="AG24">
        <v>0.16800000000000001</v>
      </c>
      <c r="AH24">
        <v>2</v>
      </c>
      <c r="AI24">
        <v>80308519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ROW(Source!A36)</f>
        <v>36</v>
      </c>
      <c r="B25">
        <v>80308527</v>
      </c>
      <c r="C25">
        <v>80308517</v>
      </c>
      <c r="D25">
        <v>77496097</v>
      </c>
      <c r="E25">
        <v>1</v>
      </c>
      <c r="F25">
        <v>1</v>
      </c>
      <c r="G25">
        <v>1</v>
      </c>
      <c r="H25">
        <v>3</v>
      </c>
      <c r="I25" t="s">
        <v>488</v>
      </c>
      <c r="J25" t="s">
        <v>489</v>
      </c>
      <c r="K25" t="s">
        <v>490</v>
      </c>
      <c r="L25">
        <v>1339</v>
      </c>
      <c r="N25">
        <v>1007</v>
      </c>
      <c r="O25" t="s">
        <v>309</v>
      </c>
      <c r="P25" t="s">
        <v>309</v>
      </c>
      <c r="Q25">
        <v>1</v>
      </c>
      <c r="X25">
        <v>1.2999999999999999E-2</v>
      </c>
      <c r="Y25">
        <v>340.41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72</v>
      </c>
      <c r="AG25">
        <v>0</v>
      </c>
      <c r="AH25">
        <v>2</v>
      </c>
      <c r="AI25">
        <v>80308520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ROW(Source!A36)</f>
        <v>36</v>
      </c>
      <c r="B26">
        <v>80308528</v>
      </c>
      <c r="C26">
        <v>80308517</v>
      </c>
      <c r="D26">
        <v>77496113</v>
      </c>
      <c r="E26">
        <v>1</v>
      </c>
      <c r="F26">
        <v>1</v>
      </c>
      <c r="G26">
        <v>1</v>
      </c>
      <c r="H26">
        <v>3</v>
      </c>
      <c r="I26" t="s">
        <v>491</v>
      </c>
      <c r="J26" t="s">
        <v>492</v>
      </c>
      <c r="K26" t="s">
        <v>493</v>
      </c>
      <c r="L26">
        <v>1339</v>
      </c>
      <c r="N26">
        <v>1007</v>
      </c>
      <c r="O26" t="s">
        <v>309</v>
      </c>
      <c r="P26" t="s">
        <v>309</v>
      </c>
      <c r="Q26">
        <v>1</v>
      </c>
      <c r="X26">
        <v>2.5999999999999999E-2</v>
      </c>
      <c r="Y26">
        <v>114.64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72</v>
      </c>
      <c r="AG26">
        <v>0</v>
      </c>
      <c r="AH26">
        <v>2</v>
      </c>
      <c r="AI26">
        <v>80308521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ROW(Source!A36)</f>
        <v>36</v>
      </c>
      <c r="B27">
        <v>80308529</v>
      </c>
      <c r="C27">
        <v>80308517</v>
      </c>
      <c r="D27">
        <v>77496117</v>
      </c>
      <c r="E27">
        <v>1</v>
      </c>
      <c r="F27">
        <v>1</v>
      </c>
      <c r="G27">
        <v>1</v>
      </c>
      <c r="H27">
        <v>3</v>
      </c>
      <c r="I27" t="s">
        <v>494</v>
      </c>
      <c r="J27" t="s">
        <v>495</v>
      </c>
      <c r="K27" t="s">
        <v>496</v>
      </c>
      <c r="L27">
        <v>1346</v>
      </c>
      <c r="N27">
        <v>1009</v>
      </c>
      <c r="O27" t="s">
        <v>295</v>
      </c>
      <c r="P27" t="s">
        <v>295</v>
      </c>
      <c r="Q27">
        <v>1</v>
      </c>
      <c r="X27">
        <v>3.0000000000000001E-3</v>
      </c>
      <c r="Y27">
        <v>41.38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 t="s">
        <v>72</v>
      </c>
      <c r="AG27">
        <v>0</v>
      </c>
      <c r="AH27">
        <v>2</v>
      </c>
      <c r="AI27">
        <v>80308522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ROW(Source!A36)</f>
        <v>36</v>
      </c>
      <c r="B28">
        <v>80308530</v>
      </c>
      <c r="C28">
        <v>80308517</v>
      </c>
      <c r="D28">
        <v>77498720</v>
      </c>
      <c r="E28">
        <v>1</v>
      </c>
      <c r="F28">
        <v>1</v>
      </c>
      <c r="G28">
        <v>1</v>
      </c>
      <c r="H28">
        <v>3</v>
      </c>
      <c r="I28" t="s">
        <v>497</v>
      </c>
      <c r="J28" t="s">
        <v>498</v>
      </c>
      <c r="K28" t="s">
        <v>499</v>
      </c>
      <c r="L28">
        <v>1346</v>
      </c>
      <c r="N28">
        <v>1009</v>
      </c>
      <c r="O28" t="s">
        <v>295</v>
      </c>
      <c r="P28" t="s">
        <v>295</v>
      </c>
      <c r="Q28">
        <v>1</v>
      </c>
      <c r="X28">
        <v>0.28000000000000003</v>
      </c>
      <c r="Y28">
        <v>98.31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72</v>
      </c>
      <c r="AG28">
        <v>0</v>
      </c>
      <c r="AH28">
        <v>2</v>
      </c>
      <c r="AI28">
        <v>80308523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ROW(Source!A36)</f>
        <v>36</v>
      </c>
      <c r="B29">
        <v>80308531</v>
      </c>
      <c r="C29">
        <v>80308517</v>
      </c>
      <c r="D29">
        <v>77429790</v>
      </c>
      <c r="E29">
        <v>117</v>
      </c>
      <c r="F29">
        <v>1</v>
      </c>
      <c r="G29">
        <v>1</v>
      </c>
      <c r="H29">
        <v>3</v>
      </c>
      <c r="I29" t="s">
        <v>81</v>
      </c>
      <c r="J29" t="s">
        <v>3</v>
      </c>
      <c r="K29" t="s">
        <v>82</v>
      </c>
      <c r="L29">
        <v>3277935</v>
      </c>
      <c r="N29">
        <v>1013</v>
      </c>
      <c r="O29" t="s">
        <v>83</v>
      </c>
      <c r="P29" t="s">
        <v>83</v>
      </c>
      <c r="Q29">
        <v>1</v>
      </c>
      <c r="X29">
        <v>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 t="s">
        <v>72</v>
      </c>
      <c r="AG29">
        <v>0</v>
      </c>
      <c r="AH29">
        <v>2</v>
      </c>
      <c r="AI29">
        <v>80308524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ROW(Source!A38)</f>
        <v>38</v>
      </c>
      <c r="B30">
        <v>80308542</v>
      </c>
      <c r="C30">
        <v>80308533</v>
      </c>
      <c r="D30">
        <v>77423786</v>
      </c>
      <c r="E30">
        <v>117</v>
      </c>
      <c r="F30">
        <v>1</v>
      </c>
      <c r="G30">
        <v>1</v>
      </c>
      <c r="H30">
        <v>1</v>
      </c>
      <c r="I30" t="s">
        <v>486</v>
      </c>
      <c r="J30" t="s">
        <v>3</v>
      </c>
      <c r="K30" t="s">
        <v>487</v>
      </c>
      <c r="L30">
        <v>1191</v>
      </c>
      <c r="N30">
        <v>1013</v>
      </c>
      <c r="O30" t="s">
        <v>449</v>
      </c>
      <c r="P30" t="s">
        <v>449</v>
      </c>
      <c r="Q30">
        <v>1</v>
      </c>
      <c r="X30">
        <v>4.8</v>
      </c>
      <c r="Y30">
        <v>0</v>
      </c>
      <c r="Z30">
        <v>0</v>
      </c>
      <c r="AA30">
        <v>0</v>
      </c>
      <c r="AB30">
        <v>722.05</v>
      </c>
      <c r="AC30">
        <v>0</v>
      </c>
      <c r="AD30">
        <v>1</v>
      </c>
      <c r="AE30">
        <v>1</v>
      </c>
      <c r="AF30" t="s">
        <v>3</v>
      </c>
      <c r="AG30">
        <v>4.8</v>
      </c>
      <c r="AH30">
        <v>2</v>
      </c>
      <c r="AI30">
        <v>80308534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ROW(Source!A38)</f>
        <v>38</v>
      </c>
      <c r="B31">
        <v>80308543</v>
      </c>
      <c r="C31">
        <v>80308533</v>
      </c>
      <c r="D31">
        <v>77431535</v>
      </c>
      <c r="E31">
        <v>1</v>
      </c>
      <c r="F31">
        <v>1</v>
      </c>
      <c r="G31">
        <v>1</v>
      </c>
      <c r="H31">
        <v>2</v>
      </c>
      <c r="I31" t="s">
        <v>477</v>
      </c>
      <c r="J31" t="s">
        <v>478</v>
      </c>
      <c r="K31" t="s">
        <v>479</v>
      </c>
      <c r="L31">
        <v>1368</v>
      </c>
      <c r="N31">
        <v>1011</v>
      </c>
      <c r="O31" t="s">
        <v>455</v>
      </c>
      <c r="P31" t="s">
        <v>455</v>
      </c>
      <c r="Q31">
        <v>1</v>
      </c>
      <c r="X31">
        <v>0.56000000000000005</v>
      </c>
      <c r="Y31">
        <v>0</v>
      </c>
      <c r="Z31">
        <v>32.26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0.56000000000000005</v>
      </c>
      <c r="AH31">
        <v>2</v>
      </c>
      <c r="AI31">
        <v>80308535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ROW(Source!A38)</f>
        <v>38</v>
      </c>
      <c r="B32">
        <v>80308544</v>
      </c>
      <c r="C32">
        <v>80308533</v>
      </c>
      <c r="D32">
        <v>77496097</v>
      </c>
      <c r="E32">
        <v>1</v>
      </c>
      <c r="F32">
        <v>1</v>
      </c>
      <c r="G32">
        <v>1</v>
      </c>
      <c r="H32">
        <v>3</v>
      </c>
      <c r="I32" t="s">
        <v>488</v>
      </c>
      <c r="J32" t="s">
        <v>489</v>
      </c>
      <c r="K32" t="s">
        <v>490</v>
      </c>
      <c r="L32">
        <v>1339</v>
      </c>
      <c r="N32">
        <v>1007</v>
      </c>
      <c r="O32" t="s">
        <v>309</v>
      </c>
      <c r="P32" t="s">
        <v>309</v>
      </c>
      <c r="Q32">
        <v>1</v>
      </c>
      <c r="X32">
        <v>1.2999999999999999E-2</v>
      </c>
      <c r="Y32">
        <v>340.41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1.2999999999999999E-2</v>
      </c>
      <c r="AH32">
        <v>2</v>
      </c>
      <c r="AI32">
        <v>80308536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ROW(Source!A38)</f>
        <v>38</v>
      </c>
      <c r="B33">
        <v>80308545</v>
      </c>
      <c r="C33">
        <v>80308533</v>
      </c>
      <c r="D33">
        <v>77496113</v>
      </c>
      <c r="E33">
        <v>1</v>
      </c>
      <c r="F33">
        <v>1</v>
      </c>
      <c r="G33">
        <v>1</v>
      </c>
      <c r="H33">
        <v>3</v>
      </c>
      <c r="I33" t="s">
        <v>491</v>
      </c>
      <c r="J33" t="s">
        <v>492</v>
      </c>
      <c r="K33" t="s">
        <v>493</v>
      </c>
      <c r="L33">
        <v>1339</v>
      </c>
      <c r="N33">
        <v>1007</v>
      </c>
      <c r="O33" t="s">
        <v>309</v>
      </c>
      <c r="P33" t="s">
        <v>309</v>
      </c>
      <c r="Q33">
        <v>1</v>
      </c>
      <c r="X33">
        <v>2.5999999999999999E-2</v>
      </c>
      <c r="Y33">
        <v>114.64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2.5999999999999999E-2</v>
      </c>
      <c r="AH33">
        <v>2</v>
      </c>
      <c r="AI33">
        <v>80308537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ROW(Source!A38)</f>
        <v>38</v>
      </c>
      <c r="B34">
        <v>80308546</v>
      </c>
      <c r="C34">
        <v>80308533</v>
      </c>
      <c r="D34">
        <v>77496117</v>
      </c>
      <c r="E34">
        <v>1</v>
      </c>
      <c r="F34">
        <v>1</v>
      </c>
      <c r="G34">
        <v>1</v>
      </c>
      <c r="H34">
        <v>3</v>
      </c>
      <c r="I34" t="s">
        <v>494</v>
      </c>
      <c r="J34" t="s">
        <v>495</v>
      </c>
      <c r="K34" t="s">
        <v>496</v>
      </c>
      <c r="L34">
        <v>1346</v>
      </c>
      <c r="N34">
        <v>1009</v>
      </c>
      <c r="O34" t="s">
        <v>295</v>
      </c>
      <c r="P34" t="s">
        <v>295</v>
      </c>
      <c r="Q34">
        <v>1</v>
      </c>
      <c r="X34">
        <v>3.0000000000000001E-3</v>
      </c>
      <c r="Y34">
        <v>41.38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3.0000000000000001E-3</v>
      </c>
      <c r="AH34">
        <v>2</v>
      </c>
      <c r="AI34">
        <v>80308538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ROW(Source!A38)</f>
        <v>38</v>
      </c>
      <c r="B35">
        <v>80308547</v>
      </c>
      <c r="C35">
        <v>80308533</v>
      </c>
      <c r="D35">
        <v>77498720</v>
      </c>
      <c r="E35">
        <v>1</v>
      </c>
      <c r="F35">
        <v>1</v>
      </c>
      <c r="G35">
        <v>1</v>
      </c>
      <c r="H35">
        <v>3</v>
      </c>
      <c r="I35" t="s">
        <v>497</v>
      </c>
      <c r="J35" t="s">
        <v>498</v>
      </c>
      <c r="K35" t="s">
        <v>499</v>
      </c>
      <c r="L35">
        <v>1346</v>
      </c>
      <c r="N35">
        <v>1009</v>
      </c>
      <c r="O35" t="s">
        <v>295</v>
      </c>
      <c r="P35" t="s">
        <v>295</v>
      </c>
      <c r="Q35">
        <v>1</v>
      </c>
      <c r="X35">
        <v>0.28000000000000003</v>
      </c>
      <c r="Y35">
        <v>98.31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0.28000000000000003</v>
      </c>
      <c r="AH35">
        <v>2</v>
      </c>
      <c r="AI35">
        <v>80308539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ROW(Source!A38)</f>
        <v>38</v>
      </c>
      <c r="B36">
        <v>80308548</v>
      </c>
      <c r="C36">
        <v>80308533</v>
      </c>
      <c r="D36">
        <v>77429790</v>
      </c>
      <c r="E36">
        <v>117</v>
      </c>
      <c r="F36">
        <v>1</v>
      </c>
      <c r="G36">
        <v>1</v>
      </c>
      <c r="H36">
        <v>3</v>
      </c>
      <c r="I36" t="s">
        <v>81</v>
      </c>
      <c r="J36" t="s">
        <v>3</v>
      </c>
      <c r="K36" t="s">
        <v>82</v>
      </c>
      <c r="L36">
        <v>3277935</v>
      </c>
      <c r="N36">
        <v>1013</v>
      </c>
      <c r="O36" t="s">
        <v>83</v>
      </c>
      <c r="P36" t="s">
        <v>83</v>
      </c>
      <c r="Q36">
        <v>1</v>
      </c>
      <c r="X36">
        <v>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 t="s">
        <v>3</v>
      </c>
      <c r="AG36">
        <v>2</v>
      </c>
      <c r="AH36">
        <v>2</v>
      </c>
      <c r="AI36">
        <v>80308540</v>
      </c>
      <c r="AJ36">
        <v>37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ROW(Source!A41)</f>
        <v>41</v>
      </c>
      <c r="B37">
        <v>80308558</v>
      </c>
      <c r="C37">
        <v>80308551</v>
      </c>
      <c r="D37">
        <v>77423834</v>
      </c>
      <c r="E37">
        <v>117</v>
      </c>
      <c r="F37">
        <v>1</v>
      </c>
      <c r="G37">
        <v>1</v>
      </c>
      <c r="H37">
        <v>1</v>
      </c>
      <c r="I37" t="s">
        <v>500</v>
      </c>
      <c r="J37" t="s">
        <v>3</v>
      </c>
      <c r="K37" t="s">
        <v>501</v>
      </c>
      <c r="L37">
        <v>1191</v>
      </c>
      <c r="N37">
        <v>1013</v>
      </c>
      <c r="O37" t="s">
        <v>449</v>
      </c>
      <c r="P37" t="s">
        <v>449</v>
      </c>
      <c r="Q37">
        <v>1</v>
      </c>
      <c r="X37">
        <v>5.01</v>
      </c>
      <c r="Y37">
        <v>0</v>
      </c>
      <c r="Z37">
        <v>0</v>
      </c>
      <c r="AA37">
        <v>0</v>
      </c>
      <c r="AB37">
        <v>871.84</v>
      </c>
      <c r="AC37">
        <v>0</v>
      </c>
      <c r="AD37">
        <v>1</v>
      </c>
      <c r="AE37">
        <v>1</v>
      </c>
      <c r="AF37" t="s">
        <v>49</v>
      </c>
      <c r="AG37">
        <v>5.761499999999999</v>
      </c>
      <c r="AH37">
        <v>2</v>
      </c>
      <c r="AI37">
        <v>80308552</v>
      </c>
      <c r="AJ37">
        <v>38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ROW(Source!A41)</f>
        <v>41</v>
      </c>
      <c r="B38">
        <v>80308559</v>
      </c>
      <c r="C38">
        <v>80308551</v>
      </c>
      <c r="D38">
        <v>77431112</v>
      </c>
      <c r="E38">
        <v>1</v>
      </c>
      <c r="F38">
        <v>1</v>
      </c>
      <c r="G38">
        <v>1</v>
      </c>
      <c r="H38">
        <v>2</v>
      </c>
      <c r="I38" t="s">
        <v>502</v>
      </c>
      <c r="J38" t="s">
        <v>503</v>
      </c>
      <c r="K38" t="s">
        <v>504</v>
      </c>
      <c r="L38">
        <v>1368</v>
      </c>
      <c r="N38">
        <v>1011</v>
      </c>
      <c r="O38" t="s">
        <v>455</v>
      </c>
      <c r="P38" t="s">
        <v>455</v>
      </c>
      <c r="Q38">
        <v>1</v>
      </c>
      <c r="X38">
        <v>1.5</v>
      </c>
      <c r="Y38">
        <v>0</v>
      </c>
      <c r="Z38">
        <v>14.13</v>
      </c>
      <c r="AA38">
        <v>0</v>
      </c>
      <c r="AB38">
        <v>0</v>
      </c>
      <c r="AC38">
        <v>0</v>
      </c>
      <c r="AD38">
        <v>1</v>
      </c>
      <c r="AE38">
        <v>0</v>
      </c>
      <c r="AF38" t="s">
        <v>48</v>
      </c>
      <c r="AG38">
        <v>1.875</v>
      </c>
      <c r="AH38">
        <v>2</v>
      </c>
      <c r="AI38">
        <v>80308553</v>
      </c>
      <c r="AJ38">
        <v>39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ROW(Source!A41)</f>
        <v>41</v>
      </c>
      <c r="B39">
        <v>80308560</v>
      </c>
      <c r="C39">
        <v>80308551</v>
      </c>
      <c r="D39">
        <v>77498097</v>
      </c>
      <c r="E39">
        <v>1</v>
      </c>
      <c r="F39">
        <v>1</v>
      </c>
      <c r="G39">
        <v>1</v>
      </c>
      <c r="H39">
        <v>3</v>
      </c>
      <c r="I39" t="s">
        <v>505</v>
      </c>
      <c r="J39" t="s">
        <v>506</v>
      </c>
      <c r="K39" t="s">
        <v>507</v>
      </c>
      <c r="L39">
        <v>1339</v>
      </c>
      <c r="N39">
        <v>1007</v>
      </c>
      <c r="O39" t="s">
        <v>309</v>
      </c>
      <c r="P39" t="s">
        <v>309</v>
      </c>
      <c r="Q39">
        <v>1</v>
      </c>
      <c r="X39">
        <v>3.8</v>
      </c>
      <c r="Y39">
        <v>35.71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3.8</v>
      </c>
      <c r="AH39">
        <v>2</v>
      </c>
      <c r="AI39">
        <v>80308554</v>
      </c>
      <c r="AJ39">
        <v>40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ROW(Source!A41)</f>
        <v>41</v>
      </c>
      <c r="B40">
        <v>80308561</v>
      </c>
      <c r="C40">
        <v>80308551</v>
      </c>
      <c r="D40">
        <v>77498569</v>
      </c>
      <c r="E40">
        <v>1</v>
      </c>
      <c r="F40">
        <v>1</v>
      </c>
      <c r="G40">
        <v>1</v>
      </c>
      <c r="H40">
        <v>3</v>
      </c>
      <c r="I40" t="s">
        <v>508</v>
      </c>
      <c r="J40" t="s">
        <v>509</v>
      </c>
      <c r="K40" t="s">
        <v>510</v>
      </c>
      <c r="L40">
        <v>1346</v>
      </c>
      <c r="N40">
        <v>1009</v>
      </c>
      <c r="O40" t="s">
        <v>295</v>
      </c>
      <c r="P40" t="s">
        <v>295</v>
      </c>
      <c r="Q40">
        <v>1</v>
      </c>
      <c r="X40">
        <v>0.02</v>
      </c>
      <c r="Y40">
        <v>128.4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0.02</v>
      </c>
      <c r="AH40">
        <v>2</v>
      </c>
      <c r="AI40">
        <v>80308555</v>
      </c>
      <c r="AJ40">
        <v>41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ROW(Source!A41)</f>
        <v>41</v>
      </c>
      <c r="B41">
        <v>80308562</v>
      </c>
      <c r="C41">
        <v>80308551</v>
      </c>
      <c r="D41">
        <v>77516782</v>
      </c>
      <c r="E41">
        <v>1</v>
      </c>
      <c r="F41">
        <v>1</v>
      </c>
      <c r="G41">
        <v>1</v>
      </c>
      <c r="H41">
        <v>3</v>
      </c>
      <c r="I41" t="s">
        <v>511</v>
      </c>
      <c r="J41" t="s">
        <v>512</v>
      </c>
      <c r="K41" t="s">
        <v>513</v>
      </c>
      <c r="L41">
        <v>1346</v>
      </c>
      <c r="N41">
        <v>1009</v>
      </c>
      <c r="O41" t="s">
        <v>295</v>
      </c>
      <c r="P41" t="s">
        <v>295</v>
      </c>
      <c r="Q41">
        <v>1</v>
      </c>
      <c r="X41">
        <v>0.05</v>
      </c>
      <c r="Y41">
        <v>79.88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0.05</v>
      </c>
      <c r="AH41">
        <v>2</v>
      </c>
      <c r="AI41">
        <v>80308556</v>
      </c>
      <c r="AJ41">
        <v>42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ROW(Source!A41)</f>
        <v>41</v>
      </c>
      <c r="B42">
        <v>80308563</v>
      </c>
      <c r="C42">
        <v>80308551</v>
      </c>
      <c r="D42">
        <v>77517067</v>
      </c>
      <c r="E42">
        <v>1</v>
      </c>
      <c r="F42">
        <v>1</v>
      </c>
      <c r="G42">
        <v>1</v>
      </c>
      <c r="H42">
        <v>3</v>
      </c>
      <c r="I42" t="s">
        <v>514</v>
      </c>
      <c r="J42" t="s">
        <v>515</v>
      </c>
      <c r="K42" t="s">
        <v>516</v>
      </c>
      <c r="L42">
        <v>1348</v>
      </c>
      <c r="N42">
        <v>1009</v>
      </c>
      <c r="O42" t="s">
        <v>35</v>
      </c>
      <c r="P42" t="s">
        <v>35</v>
      </c>
      <c r="Q42">
        <v>1000</v>
      </c>
      <c r="X42">
        <v>2.0000000000000002E-5</v>
      </c>
      <c r="Y42">
        <v>60697.21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2.0000000000000002E-5</v>
      </c>
      <c r="AH42">
        <v>2</v>
      </c>
      <c r="AI42">
        <v>80308557</v>
      </c>
      <c r="AJ42">
        <v>43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ROW(Source!A77)</f>
        <v>77</v>
      </c>
      <c r="B43">
        <v>80308570</v>
      </c>
      <c r="C43">
        <v>80308564</v>
      </c>
      <c r="D43">
        <v>77423764</v>
      </c>
      <c r="E43">
        <v>117</v>
      </c>
      <c r="F43">
        <v>1</v>
      </c>
      <c r="G43">
        <v>1</v>
      </c>
      <c r="H43">
        <v>1</v>
      </c>
      <c r="I43" t="s">
        <v>517</v>
      </c>
      <c r="J43" t="s">
        <v>3</v>
      </c>
      <c r="K43" t="s">
        <v>518</v>
      </c>
      <c r="L43">
        <v>1191</v>
      </c>
      <c r="N43">
        <v>1013</v>
      </c>
      <c r="O43" t="s">
        <v>449</v>
      </c>
      <c r="P43" t="s">
        <v>449</v>
      </c>
      <c r="Q43">
        <v>1</v>
      </c>
      <c r="X43">
        <v>178.51</v>
      </c>
      <c r="Y43">
        <v>0</v>
      </c>
      <c r="Z43">
        <v>0</v>
      </c>
      <c r="AA43">
        <v>0</v>
      </c>
      <c r="AB43">
        <v>649.29999999999995</v>
      </c>
      <c r="AC43">
        <v>0</v>
      </c>
      <c r="AD43">
        <v>1</v>
      </c>
      <c r="AE43">
        <v>1</v>
      </c>
      <c r="AF43" t="s">
        <v>3</v>
      </c>
      <c r="AG43">
        <v>178.51</v>
      </c>
      <c r="AH43">
        <v>2</v>
      </c>
      <c r="AI43">
        <v>80308565</v>
      </c>
      <c r="AJ43">
        <v>44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ROW(Source!A77)</f>
        <v>77</v>
      </c>
      <c r="B44">
        <v>80308571</v>
      </c>
      <c r="C44">
        <v>80308564</v>
      </c>
      <c r="D44">
        <v>77498097</v>
      </c>
      <c r="E44">
        <v>1</v>
      </c>
      <c r="F44">
        <v>1</v>
      </c>
      <c r="G44">
        <v>1</v>
      </c>
      <c r="H44">
        <v>3</v>
      </c>
      <c r="I44" t="s">
        <v>505</v>
      </c>
      <c r="J44" t="s">
        <v>506</v>
      </c>
      <c r="K44" t="s">
        <v>507</v>
      </c>
      <c r="L44">
        <v>1339</v>
      </c>
      <c r="N44">
        <v>1007</v>
      </c>
      <c r="O44" t="s">
        <v>309</v>
      </c>
      <c r="P44" t="s">
        <v>309</v>
      </c>
      <c r="Q44">
        <v>1</v>
      </c>
      <c r="X44">
        <v>4.2</v>
      </c>
      <c r="Y44">
        <v>35.71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4.2</v>
      </c>
      <c r="AH44">
        <v>2</v>
      </c>
      <c r="AI44">
        <v>80308566</v>
      </c>
      <c r="AJ44">
        <v>45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ROW(Source!A77)</f>
        <v>77</v>
      </c>
      <c r="B45">
        <v>80308572</v>
      </c>
      <c r="C45">
        <v>80308564</v>
      </c>
      <c r="D45">
        <v>77498569</v>
      </c>
      <c r="E45">
        <v>1</v>
      </c>
      <c r="F45">
        <v>1</v>
      </c>
      <c r="G45">
        <v>1</v>
      </c>
      <c r="H45">
        <v>3</v>
      </c>
      <c r="I45" t="s">
        <v>508</v>
      </c>
      <c r="J45" t="s">
        <v>509</v>
      </c>
      <c r="K45" t="s">
        <v>510</v>
      </c>
      <c r="L45">
        <v>1346</v>
      </c>
      <c r="N45">
        <v>1009</v>
      </c>
      <c r="O45" t="s">
        <v>295</v>
      </c>
      <c r="P45" t="s">
        <v>295</v>
      </c>
      <c r="Q45">
        <v>1</v>
      </c>
      <c r="X45">
        <v>5</v>
      </c>
      <c r="Y45">
        <v>128.4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5</v>
      </c>
      <c r="AH45">
        <v>2</v>
      </c>
      <c r="AI45">
        <v>80308567</v>
      </c>
      <c r="AJ45">
        <v>46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ROW(Source!A77)</f>
        <v>77</v>
      </c>
      <c r="B46">
        <v>80308573</v>
      </c>
      <c r="C46">
        <v>80308564</v>
      </c>
      <c r="D46">
        <v>77516782</v>
      </c>
      <c r="E46">
        <v>1</v>
      </c>
      <c r="F46">
        <v>1</v>
      </c>
      <c r="G46">
        <v>1</v>
      </c>
      <c r="H46">
        <v>3</v>
      </c>
      <c r="I46" t="s">
        <v>511</v>
      </c>
      <c r="J46" t="s">
        <v>512</v>
      </c>
      <c r="K46" t="s">
        <v>513</v>
      </c>
      <c r="L46">
        <v>1346</v>
      </c>
      <c r="N46">
        <v>1009</v>
      </c>
      <c r="O46" t="s">
        <v>295</v>
      </c>
      <c r="P46" t="s">
        <v>295</v>
      </c>
      <c r="Q46">
        <v>1</v>
      </c>
      <c r="X46">
        <v>12</v>
      </c>
      <c r="Y46">
        <v>79.88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 t="s">
        <v>3</v>
      </c>
      <c r="AG46">
        <v>12</v>
      </c>
      <c r="AH46">
        <v>2</v>
      </c>
      <c r="AI46">
        <v>80308568</v>
      </c>
      <c r="AJ46">
        <v>47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ROW(Source!A77)</f>
        <v>77</v>
      </c>
      <c r="B47">
        <v>80308574</v>
      </c>
      <c r="C47">
        <v>80308564</v>
      </c>
      <c r="D47">
        <v>77517067</v>
      </c>
      <c r="E47">
        <v>1</v>
      </c>
      <c r="F47">
        <v>1</v>
      </c>
      <c r="G47">
        <v>1</v>
      </c>
      <c r="H47">
        <v>3</v>
      </c>
      <c r="I47" t="s">
        <v>514</v>
      </c>
      <c r="J47" t="s">
        <v>515</v>
      </c>
      <c r="K47" t="s">
        <v>516</v>
      </c>
      <c r="L47">
        <v>1348</v>
      </c>
      <c r="N47">
        <v>1009</v>
      </c>
      <c r="O47" t="s">
        <v>35</v>
      </c>
      <c r="P47" t="s">
        <v>35</v>
      </c>
      <c r="Q47">
        <v>1000</v>
      </c>
      <c r="X47">
        <v>5.0000000000000001E-3</v>
      </c>
      <c r="Y47">
        <v>60697.21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5.0000000000000001E-3</v>
      </c>
      <c r="AH47">
        <v>2</v>
      </c>
      <c r="AI47">
        <v>80308569</v>
      </c>
      <c r="AJ47">
        <v>48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ROW(Source!A78)</f>
        <v>78</v>
      </c>
      <c r="B48">
        <v>80308583</v>
      </c>
      <c r="C48">
        <v>80308575</v>
      </c>
      <c r="D48">
        <v>77423780</v>
      </c>
      <c r="E48">
        <v>117</v>
      </c>
      <c r="F48">
        <v>1</v>
      </c>
      <c r="G48">
        <v>1</v>
      </c>
      <c r="H48">
        <v>1</v>
      </c>
      <c r="I48" t="s">
        <v>519</v>
      </c>
      <c r="J48" t="s">
        <v>3</v>
      </c>
      <c r="K48" t="s">
        <v>520</v>
      </c>
      <c r="L48">
        <v>1191</v>
      </c>
      <c r="N48">
        <v>1013</v>
      </c>
      <c r="O48" t="s">
        <v>449</v>
      </c>
      <c r="P48" t="s">
        <v>449</v>
      </c>
      <c r="Q48">
        <v>1</v>
      </c>
      <c r="X48">
        <v>0.31</v>
      </c>
      <c r="Y48">
        <v>0</v>
      </c>
      <c r="Z48">
        <v>0</v>
      </c>
      <c r="AA48">
        <v>0</v>
      </c>
      <c r="AB48">
        <v>705.88</v>
      </c>
      <c r="AC48">
        <v>0</v>
      </c>
      <c r="AD48">
        <v>1</v>
      </c>
      <c r="AE48">
        <v>1</v>
      </c>
      <c r="AF48" t="s">
        <v>49</v>
      </c>
      <c r="AG48">
        <v>0.35649999999999998</v>
      </c>
      <c r="AH48">
        <v>2</v>
      </c>
      <c r="AI48">
        <v>80308576</v>
      </c>
      <c r="AJ48">
        <v>49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ROW(Source!A78)</f>
        <v>78</v>
      </c>
      <c r="B49">
        <v>80308584</v>
      </c>
      <c r="C49">
        <v>80308575</v>
      </c>
      <c r="D49">
        <v>77496165</v>
      </c>
      <c r="E49">
        <v>1</v>
      </c>
      <c r="F49">
        <v>1</v>
      </c>
      <c r="G49">
        <v>1</v>
      </c>
      <c r="H49">
        <v>3</v>
      </c>
      <c r="I49" t="s">
        <v>521</v>
      </c>
      <c r="J49" t="s">
        <v>522</v>
      </c>
      <c r="K49" t="s">
        <v>523</v>
      </c>
      <c r="L49">
        <v>1296</v>
      </c>
      <c r="N49">
        <v>1002</v>
      </c>
      <c r="O49" t="s">
        <v>524</v>
      </c>
      <c r="P49" t="s">
        <v>524</v>
      </c>
      <c r="Q49">
        <v>1</v>
      </c>
      <c r="X49">
        <v>0.1232</v>
      </c>
      <c r="Y49">
        <v>101.21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0.1232</v>
      </c>
      <c r="AH49">
        <v>2</v>
      </c>
      <c r="AI49">
        <v>80308577</v>
      </c>
      <c r="AJ49">
        <v>50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ROW(Source!A78)</f>
        <v>78</v>
      </c>
      <c r="B50">
        <v>80308585</v>
      </c>
      <c r="C50">
        <v>80308575</v>
      </c>
      <c r="D50">
        <v>77498569</v>
      </c>
      <c r="E50">
        <v>1</v>
      </c>
      <c r="F50">
        <v>1</v>
      </c>
      <c r="G50">
        <v>1</v>
      </c>
      <c r="H50">
        <v>3</v>
      </c>
      <c r="I50" t="s">
        <v>508</v>
      </c>
      <c r="J50" t="s">
        <v>509</v>
      </c>
      <c r="K50" t="s">
        <v>510</v>
      </c>
      <c r="L50">
        <v>1346</v>
      </c>
      <c r="N50">
        <v>1009</v>
      </c>
      <c r="O50" t="s">
        <v>295</v>
      </c>
      <c r="P50" t="s">
        <v>295</v>
      </c>
      <c r="Q50">
        <v>1</v>
      </c>
      <c r="X50">
        <v>0.01</v>
      </c>
      <c r="Y50">
        <v>128.4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</v>
      </c>
      <c r="AG50">
        <v>0.01</v>
      </c>
      <c r="AH50">
        <v>2</v>
      </c>
      <c r="AI50">
        <v>80308578</v>
      </c>
      <c r="AJ50">
        <v>51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ROW(Source!A78)</f>
        <v>78</v>
      </c>
      <c r="B51">
        <v>80308586</v>
      </c>
      <c r="C51">
        <v>80308575</v>
      </c>
      <c r="D51">
        <v>77516782</v>
      </c>
      <c r="E51">
        <v>1</v>
      </c>
      <c r="F51">
        <v>1</v>
      </c>
      <c r="G51">
        <v>1</v>
      </c>
      <c r="H51">
        <v>3</v>
      </c>
      <c r="I51" t="s">
        <v>511</v>
      </c>
      <c r="J51" t="s">
        <v>512</v>
      </c>
      <c r="K51" t="s">
        <v>513</v>
      </c>
      <c r="L51">
        <v>1346</v>
      </c>
      <c r="N51">
        <v>1009</v>
      </c>
      <c r="O51" t="s">
        <v>295</v>
      </c>
      <c r="P51" t="s">
        <v>295</v>
      </c>
      <c r="Q51">
        <v>1</v>
      </c>
      <c r="X51">
        <v>0.02</v>
      </c>
      <c r="Y51">
        <v>79.88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0.02</v>
      </c>
      <c r="AH51">
        <v>2</v>
      </c>
      <c r="AI51">
        <v>80308579</v>
      </c>
      <c r="AJ51">
        <v>52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ROW(Source!A78)</f>
        <v>78</v>
      </c>
      <c r="B52">
        <v>80308587</v>
      </c>
      <c r="C52">
        <v>80308575</v>
      </c>
      <c r="D52">
        <v>77517067</v>
      </c>
      <c r="E52">
        <v>1</v>
      </c>
      <c r="F52">
        <v>1</v>
      </c>
      <c r="G52">
        <v>1</v>
      </c>
      <c r="H52">
        <v>3</v>
      </c>
      <c r="I52" t="s">
        <v>514</v>
      </c>
      <c r="J52" t="s">
        <v>515</v>
      </c>
      <c r="K52" t="s">
        <v>516</v>
      </c>
      <c r="L52">
        <v>1348</v>
      </c>
      <c r="N52">
        <v>1009</v>
      </c>
      <c r="O52" t="s">
        <v>35</v>
      </c>
      <c r="P52" t="s">
        <v>35</v>
      </c>
      <c r="Q52">
        <v>1000</v>
      </c>
      <c r="X52">
        <v>1.0000000000000001E-5</v>
      </c>
      <c r="Y52">
        <v>60697.21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1.0000000000000001E-5</v>
      </c>
      <c r="AH52">
        <v>2</v>
      </c>
      <c r="AI52">
        <v>80308580</v>
      </c>
      <c r="AJ52">
        <v>53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ROW(Source!A81)</f>
        <v>81</v>
      </c>
      <c r="B53">
        <v>80308592</v>
      </c>
      <c r="C53">
        <v>80308590</v>
      </c>
      <c r="D53">
        <v>77423762</v>
      </c>
      <c r="E53">
        <v>117</v>
      </c>
      <c r="F53">
        <v>1</v>
      </c>
      <c r="G53">
        <v>1</v>
      </c>
      <c r="H53">
        <v>1</v>
      </c>
      <c r="I53" t="s">
        <v>464</v>
      </c>
      <c r="J53" t="s">
        <v>3</v>
      </c>
      <c r="K53" t="s">
        <v>465</v>
      </c>
      <c r="L53">
        <v>1191</v>
      </c>
      <c r="N53">
        <v>1013</v>
      </c>
      <c r="O53" t="s">
        <v>449</v>
      </c>
      <c r="P53" t="s">
        <v>449</v>
      </c>
      <c r="Q53">
        <v>1</v>
      </c>
      <c r="X53">
        <v>2.31</v>
      </c>
      <c r="Y53">
        <v>0</v>
      </c>
      <c r="Z53">
        <v>0</v>
      </c>
      <c r="AA53">
        <v>0</v>
      </c>
      <c r="AB53">
        <v>641.22</v>
      </c>
      <c r="AC53">
        <v>0</v>
      </c>
      <c r="AD53">
        <v>1</v>
      </c>
      <c r="AE53">
        <v>1</v>
      </c>
      <c r="AF53" t="s">
        <v>3</v>
      </c>
      <c r="AG53">
        <v>2.31</v>
      </c>
      <c r="AH53">
        <v>2</v>
      </c>
      <c r="AI53">
        <v>80308591</v>
      </c>
      <c r="AJ53">
        <v>56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ROW(Source!A82)</f>
        <v>82</v>
      </c>
      <c r="B54">
        <v>80308599</v>
      </c>
      <c r="C54">
        <v>80308593</v>
      </c>
      <c r="D54">
        <v>77423792</v>
      </c>
      <c r="E54">
        <v>117</v>
      </c>
      <c r="F54">
        <v>1</v>
      </c>
      <c r="G54">
        <v>1</v>
      </c>
      <c r="H54">
        <v>1</v>
      </c>
      <c r="I54" t="s">
        <v>525</v>
      </c>
      <c r="J54" t="s">
        <v>3</v>
      </c>
      <c r="K54" t="s">
        <v>526</v>
      </c>
      <c r="L54">
        <v>1191</v>
      </c>
      <c r="N54">
        <v>1013</v>
      </c>
      <c r="O54" t="s">
        <v>449</v>
      </c>
      <c r="P54" t="s">
        <v>449</v>
      </c>
      <c r="Q54">
        <v>1</v>
      </c>
      <c r="X54">
        <v>0.22</v>
      </c>
      <c r="Y54">
        <v>0</v>
      </c>
      <c r="Z54">
        <v>0</v>
      </c>
      <c r="AA54">
        <v>0</v>
      </c>
      <c r="AB54">
        <v>743.6</v>
      </c>
      <c r="AC54">
        <v>0</v>
      </c>
      <c r="AD54">
        <v>1</v>
      </c>
      <c r="AE54">
        <v>1</v>
      </c>
      <c r="AF54" t="s">
        <v>49</v>
      </c>
      <c r="AG54">
        <v>0.253</v>
      </c>
      <c r="AH54">
        <v>2</v>
      </c>
      <c r="AI54">
        <v>80308594</v>
      </c>
      <c r="AJ54">
        <v>57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ROW(Source!A82)</f>
        <v>82</v>
      </c>
      <c r="B55">
        <v>80308600</v>
      </c>
      <c r="C55">
        <v>80308593</v>
      </c>
      <c r="D55">
        <v>77498569</v>
      </c>
      <c r="E55">
        <v>1</v>
      </c>
      <c r="F55">
        <v>1</v>
      </c>
      <c r="G55">
        <v>1</v>
      </c>
      <c r="H55">
        <v>3</v>
      </c>
      <c r="I55" t="s">
        <v>508</v>
      </c>
      <c r="J55" t="s">
        <v>509</v>
      </c>
      <c r="K55" t="s">
        <v>510</v>
      </c>
      <c r="L55">
        <v>1346</v>
      </c>
      <c r="N55">
        <v>1009</v>
      </c>
      <c r="O55" t="s">
        <v>295</v>
      </c>
      <c r="P55" t="s">
        <v>295</v>
      </c>
      <c r="Q55">
        <v>1</v>
      </c>
      <c r="X55">
        <v>0.01</v>
      </c>
      <c r="Y55">
        <v>128.4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 t="s">
        <v>3</v>
      </c>
      <c r="AG55">
        <v>0.01</v>
      </c>
      <c r="AH55">
        <v>2</v>
      </c>
      <c r="AI55">
        <v>80308595</v>
      </c>
      <c r="AJ55">
        <v>58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ROW(Source!A82)</f>
        <v>82</v>
      </c>
      <c r="B56">
        <v>80308601</v>
      </c>
      <c r="C56">
        <v>80308593</v>
      </c>
      <c r="D56">
        <v>77516782</v>
      </c>
      <c r="E56">
        <v>1</v>
      </c>
      <c r="F56">
        <v>1</v>
      </c>
      <c r="G56">
        <v>1</v>
      </c>
      <c r="H56">
        <v>3</v>
      </c>
      <c r="I56" t="s">
        <v>511</v>
      </c>
      <c r="J56" t="s">
        <v>512</v>
      </c>
      <c r="K56" t="s">
        <v>513</v>
      </c>
      <c r="L56">
        <v>1346</v>
      </c>
      <c r="N56">
        <v>1009</v>
      </c>
      <c r="O56" t="s">
        <v>295</v>
      </c>
      <c r="P56" t="s">
        <v>295</v>
      </c>
      <c r="Q56">
        <v>1</v>
      </c>
      <c r="X56">
        <v>0.02</v>
      </c>
      <c r="Y56">
        <v>79.88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3</v>
      </c>
      <c r="AG56">
        <v>0.02</v>
      </c>
      <c r="AH56">
        <v>2</v>
      </c>
      <c r="AI56">
        <v>80308596</v>
      </c>
      <c r="AJ56">
        <v>59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ROW(Source!A82)</f>
        <v>82</v>
      </c>
      <c r="B57">
        <v>80308602</v>
      </c>
      <c r="C57">
        <v>80308593</v>
      </c>
      <c r="D57">
        <v>77517067</v>
      </c>
      <c r="E57">
        <v>1</v>
      </c>
      <c r="F57">
        <v>1</v>
      </c>
      <c r="G57">
        <v>1</v>
      </c>
      <c r="H57">
        <v>3</v>
      </c>
      <c r="I57" t="s">
        <v>514</v>
      </c>
      <c r="J57" t="s">
        <v>515</v>
      </c>
      <c r="K57" t="s">
        <v>516</v>
      </c>
      <c r="L57">
        <v>1348</v>
      </c>
      <c r="N57">
        <v>1009</v>
      </c>
      <c r="O57" t="s">
        <v>35</v>
      </c>
      <c r="P57" t="s">
        <v>35</v>
      </c>
      <c r="Q57">
        <v>1000</v>
      </c>
      <c r="X57">
        <v>1.0000000000000001E-5</v>
      </c>
      <c r="Y57">
        <v>60697.21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1.0000000000000001E-5</v>
      </c>
      <c r="AH57">
        <v>2</v>
      </c>
      <c r="AI57">
        <v>80308597</v>
      </c>
      <c r="AJ57">
        <v>60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ROW(Source!A84)</f>
        <v>84</v>
      </c>
      <c r="B58">
        <v>80308609</v>
      </c>
      <c r="C58">
        <v>80308604</v>
      </c>
      <c r="D58">
        <v>77423762</v>
      </c>
      <c r="E58">
        <v>117</v>
      </c>
      <c r="F58">
        <v>1</v>
      </c>
      <c r="G58">
        <v>1</v>
      </c>
      <c r="H58">
        <v>1</v>
      </c>
      <c r="I58" t="s">
        <v>464</v>
      </c>
      <c r="J58" t="s">
        <v>3</v>
      </c>
      <c r="K58" t="s">
        <v>465</v>
      </c>
      <c r="L58">
        <v>1191</v>
      </c>
      <c r="N58">
        <v>1013</v>
      </c>
      <c r="O58" t="s">
        <v>449</v>
      </c>
      <c r="P58" t="s">
        <v>449</v>
      </c>
      <c r="Q58">
        <v>1</v>
      </c>
      <c r="X58">
        <v>95.3</v>
      </c>
      <c r="Y58">
        <v>0</v>
      </c>
      <c r="Z58">
        <v>0</v>
      </c>
      <c r="AA58">
        <v>0</v>
      </c>
      <c r="AB58">
        <v>641.22</v>
      </c>
      <c r="AC58">
        <v>0</v>
      </c>
      <c r="AD58">
        <v>1</v>
      </c>
      <c r="AE58">
        <v>1</v>
      </c>
      <c r="AF58" t="s">
        <v>3</v>
      </c>
      <c r="AG58">
        <v>95.3</v>
      </c>
      <c r="AH58">
        <v>2</v>
      </c>
      <c r="AI58">
        <v>80308605</v>
      </c>
      <c r="AJ58">
        <v>62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ROW(Source!A84)</f>
        <v>84</v>
      </c>
      <c r="B59">
        <v>80308610</v>
      </c>
      <c r="C59">
        <v>80308604</v>
      </c>
      <c r="D59">
        <v>77423956</v>
      </c>
      <c r="E59">
        <v>117</v>
      </c>
      <c r="F59">
        <v>1</v>
      </c>
      <c r="G59">
        <v>1</v>
      </c>
      <c r="H59">
        <v>1</v>
      </c>
      <c r="I59" t="s">
        <v>450</v>
      </c>
      <c r="J59" t="s">
        <v>3</v>
      </c>
      <c r="K59" t="s">
        <v>451</v>
      </c>
      <c r="L59">
        <v>1191</v>
      </c>
      <c r="N59">
        <v>1013</v>
      </c>
      <c r="O59" t="s">
        <v>449</v>
      </c>
      <c r="P59" t="s">
        <v>449</v>
      </c>
      <c r="Q59">
        <v>1</v>
      </c>
      <c r="X59">
        <v>0.25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2</v>
      </c>
      <c r="AF59" t="s">
        <v>3</v>
      </c>
      <c r="AG59">
        <v>0.25</v>
      </c>
      <c r="AH59">
        <v>2</v>
      </c>
      <c r="AI59">
        <v>80308606</v>
      </c>
      <c r="AJ59">
        <v>63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ROW(Source!A84)</f>
        <v>84</v>
      </c>
      <c r="B60">
        <v>80308611</v>
      </c>
      <c r="C60">
        <v>80308604</v>
      </c>
      <c r="D60">
        <v>77430632</v>
      </c>
      <c r="E60">
        <v>1</v>
      </c>
      <c r="F60">
        <v>1</v>
      </c>
      <c r="G60">
        <v>1</v>
      </c>
      <c r="H60">
        <v>2</v>
      </c>
      <c r="I60" t="s">
        <v>466</v>
      </c>
      <c r="J60" t="s">
        <v>467</v>
      </c>
      <c r="K60" t="s">
        <v>468</v>
      </c>
      <c r="L60">
        <v>1368</v>
      </c>
      <c r="N60">
        <v>1011</v>
      </c>
      <c r="O60" t="s">
        <v>455</v>
      </c>
      <c r="P60" t="s">
        <v>455</v>
      </c>
      <c r="Q60">
        <v>1</v>
      </c>
      <c r="X60">
        <v>0.25</v>
      </c>
      <c r="Y60">
        <v>0</v>
      </c>
      <c r="Z60">
        <v>37.32</v>
      </c>
      <c r="AA60">
        <v>641.22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0.25</v>
      </c>
      <c r="AH60">
        <v>2</v>
      </c>
      <c r="AI60">
        <v>80308607</v>
      </c>
      <c r="AJ60">
        <v>64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ROW(Source!A84)</f>
        <v>84</v>
      </c>
      <c r="B61">
        <v>80308612</v>
      </c>
      <c r="C61">
        <v>80308604</v>
      </c>
      <c r="D61">
        <v>77429794</v>
      </c>
      <c r="E61">
        <v>117</v>
      </c>
      <c r="F61">
        <v>1</v>
      </c>
      <c r="G61">
        <v>1</v>
      </c>
      <c r="H61">
        <v>3</v>
      </c>
      <c r="I61" t="s">
        <v>33</v>
      </c>
      <c r="J61" t="s">
        <v>3</v>
      </c>
      <c r="K61" t="s">
        <v>34</v>
      </c>
      <c r="L61">
        <v>1348</v>
      </c>
      <c r="N61">
        <v>1009</v>
      </c>
      <c r="O61" t="s">
        <v>35</v>
      </c>
      <c r="P61" t="s">
        <v>35</v>
      </c>
      <c r="Q61">
        <v>1000</v>
      </c>
      <c r="X61">
        <v>3.98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 t="s">
        <v>3</v>
      </c>
      <c r="AG61">
        <v>3.98</v>
      </c>
      <c r="AH61">
        <v>2</v>
      </c>
      <c r="AI61">
        <v>80308608</v>
      </c>
      <c r="AJ61">
        <v>65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ROW(Source!A86)</f>
        <v>86</v>
      </c>
      <c r="B62">
        <v>80308624</v>
      </c>
      <c r="C62">
        <v>80308614</v>
      </c>
      <c r="D62">
        <v>77423772</v>
      </c>
      <c r="E62">
        <v>117</v>
      </c>
      <c r="F62">
        <v>1</v>
      </c>
      <c r="G62">
        <v>1</v>
      </c>
      <c r="H62">
        <v>1</v>
      </c>
      <c r="I62" t="s">
        <v>447</v>
      </c>
      <c r="J62" t="s">
        <v>3</v>
      </c>
      <c r="K62" t="s">
        <v>448</v>
      </c>
      <c r="L62">
        <v>1191</v>
      </c>
      <c r="N62">
        <v>1013</v>
      </c>
      <c r="O62" t="s">
        <v>449</v>
      </c>
      <c r="P62" t="s">
        <v>449</v>
      </c>
      <c r="Q62">
        <v>1</v>
      </c>
      <c r="X62">
        <v>1.47</v>
      </c>
      <c r="Y62">
        <v>0</v>
      </c>
      <c r="Z62">
        <v>0</v>
      </c>
      <c r="AA62">
        <v>0</v>
      </c>
      <c r="AB62">
        <v>681.63</v>
      </c>
      <c r="AC62">
        <v>0</v>
      </c>
      <c r="AD62">
        <v>1</v>
      </c>
      <c r="AE62">
        <v>1</v>
      </c>
      <c r="AF62" t="s">
        <v>49</v>
      </c>
      <c r="AG62">
        <v>1.6904999999999999</v>
      </c>
      <c r="AH62">
        <v>2</v>
      </c>
      <c r="AI62">
        <v>80308615</v>
      </c>
      <c r="AJ62">
        <v>66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ROW(Source!A86)</f>
        <v>86</v>
      </c>
      <c r="B63">
        <v>80308625</v>
      </c>
      <c r="C63">
        <v>80308614</v>
      </c>
      <c r="D63">
        <v>77423956</v>
      </c>
      <c r="E63">
        <v>117</v>
      </c>
      <c r="F63">
        <v>1</v>
      </c>
      <c r="G63">
        <v>1</v>
      </c>
      <c r="H63">
        <v>1</v>
      </c>
      <c r="I63" t="s">
        <v>450</v>
      </c>
      <c r="J63" t="s">
        <v>3</v>
      </c>
      <c r="K63" t="s">
        <v>451</v>
      </c>
      <c r="L63">
        <v>1191</v>
      </c>
      <c r="N63">
        <v>1013</v>
      </c>
      <c r="O63" t="s">
        <v>449</v>
      </c>
      <c r="P63" t="s">
        <v>449</v>
      </c>
      <c r="Q63">
        <v>1</v>
      </c>
      <c r="X63">
        <v>0.02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2</v>
      </c>
      <c r="AF63" t="s">
        <v>48</v>
      </c>
      <c r="AG63">
        <v>2.5000000000000001E-2</v>
      </c>
      <c r="AH63">
        <v>2</v>
      </c>
      <c r="AI63">
        <v>80308616</v>
      </c>
      <c r="AJ63">
        <v>67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ROW(Source!A86)</f>
        <v>86</v>
      </c>
      <c r="B64">
        <v>80308626</v>
      </c>
      <c r="C64">
        <v>80308614</v>
      </c>
      <c r="D64">
        <v>77431339</v>
      </c>
      <c r="E64">
        <v>1</v>
      </c>
      <c r="F64">
        <v>1</v>
      </c>
      <c r="G64">
        <v>1</v>
      </c>
      <c r="H64">
        <v>2</v>
      </c>
      <c r="I64" t="s">
        <v>452</v>
      </c>
      <c r="J64" t="s">
        <v>453</v>
      </c>
      <c r="K64" t="s">
        <v>454</v>
      </c>
      <c r="L64">
        <v>1368</v>
      </c>
      <c r="N64">
        <v>1011</v>
      </c>
      <c r="O64" t="s">
        <v>455</v>
      </c>
      <c r="P64" t="s">
        <v>455</v>
      </c>
      <c r="Q64">
        <v>1</v>
      </c>
      <c r="X64">
        <v>0.02</v>
      </c>
      <c r="Y64">
        <v>0</v>
      </c>
      <c r="Z64">
        <v>643.29</v>
      </c>
      <c r="AA64">
        <v>722.05</v>
      </c>
      <c r="AB64">
        <v>0</v>
      </c>
      <c r="AC64">
        <v>0</v>
      </c>
      <c r="AD64">
        <v>1</v>
      </c>
      <c r="AE64">
        <v>0</v>
      </c>
      <c r="AF64" t="s">
        <v>48</v>
      </c>
      <c r="AG64">
        <v>2.5000000000000001E-2</v>
      </c>
      <c r="AH64">
        <v>2</v>
      </c>
      <c r="AI64">
        <v>80308617</v>
      </c>
      <c r="AJ64">
        <v>68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ROW(Source!A86)</f>
        <v>86</v>
      </c>
      <c r="B65">
        <v>80308627</v>
      </c>
      <c r="C65">
        <v>80308614</v>
      </c>
      <c r="D65">
        <v>77431535</v>
      </c>
      <c r="E65">
        <v>1</v>
      </c>
      <c r="F65">
        <v>1</v>
      </c>
      <c r="G65">
        <v>1</v>
      </c>
      <c r="H65">
        <v>2</v>
      </c>
      <c r="I65" t="s">
        <v>477</v>
      </c>
      <c r="J65" t="s">
        <v>478</v>
      </c>
      <c r="K65" t="s">
        <v>479</v>
      </c>
      <c r="L65">
        <v>1368</v>
      </c>
      <c r="N65">
        <v>1011</v>
      </c>
      <c r="O65" t="s">
        <v>455</v>
      </c>
      <c r="P65" t="s">
        <v>455</v>
      </c>
      <c r="Q65">
        <v>1</v>
      </c>
      <c r="X65">
        <v>0.35</v>
      </c>
      <c r="Y65">
        <v>0</v>
      </c>
      <c r="Z65">
        <v>32.26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48</v>
      </c>
      <c r="AG65">
        <v>0.4375</v>
      </c>
      <c r="AH65">
        <v>2</v>
      </c>
      <c r="AI65">
        <v>80308618</v>
      </c>
      <c r="AJ65">
        <v>69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ROW(Source!A86)</f>
        <v>86</v>
      </c>
      <c r="B66">
        <v>80308628</v>
      </c>
      <c r="C66">
        <v>80308614</v>
      </c>
      <c r="D66">
        <v>77495881</v>
      </c>
      <c r="E66">
        <v>1</v>
      </c>
      <c r="F66">
        <v>1</v>
      </c>
      <c r="G66">
        <v>1</v>
      </c>
      <c r="H66">
        <v>3</v>
      </c>
      <c r="I66" t="s">
        <v>527</v>
      </c>
      <c r="J66" t="s">
        <v>528</v>
      </c>
      <c r="K66" t="s">
        <v>529</v>
      </c>
      <c r="L66">
        <v>1407</v>
      </c>
      <c r="N66">
        <v>1013</v>
      </c>
      <c r="O66" t="s">
        <v>460</v>
      </c>
      <c r="P66" t="s">
        <v>460</v>
      </c>
      <c r="Q66">
        <v>1</v>
      </c>
      <c r="X66">
        <v>2E-3</v>
      </c>
      <c r="Y66">
        <v>7023.63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2E-3</v>
      </c>
      <c r="AH66">
        <v>2</v>
      </c>
      <c r="AI66">
        <v>80308619</v>
      </c>
      <c r="AJ66">
        <v>70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ROW(Source!A86)</f>
        <v>86</v>
      </c>
      <c r="B67">
        <v>80308629</v>
      </c>
      <c r="C67">
        <v>80308614</v>
      </c>
      <c r="D67">
        <v>77498850</v>
      </c>
      <c r="E67">
        <v>1</v>
      </c>
      <c r="F67">
        <v>1</v>
      </c>
      <c r="G67">
        <v>1</v>
      </c>
      <c r="H67">
        <v>3</v>
      </c>
      <c r="I67" t="s">
        <v>480</v>
      </c>
      <c r="J67" t="s">
        <v>481</v>
      </c>
      <c r="K67" t="s">
        <v>482</v>
      </c>
      <c r="L67">
        <v>1346</v>
      </c>
      <c r="N67">
        <v>1009</v>
      </c>
      <c r="O67" t="s">
        <v>295</v>
      </c>
      <c r="P67" t="s">
        <v>295</v>
      </c>
      <c r="Q67">
        <v>1</v>
      </c>
      <c r="X67">
        <v>0.14000000000000001</v>
      </c>
      <c r="Y67">
        <v>155.63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3</v>
      </c>
      <c r="AG67">
        <v>0.14000000000000001</v>
      </c>
      <c r="AH67">
        <v>2</v>
      </c>
      <c r="AI67">
        <v>80308620</v>
      </c>
      <c r="AJ67">
        <v>71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ROW(Source!A86)</f>
        <v>86</v>
      </c>
      <c r="B68">
        <v>80308630</v>
      </c>
      <c r="C68">
        <v>80308614</v>
      </c>
      <c r="D68">
        <v>77499589</v>
      </c>
      <c r="E68">
        <v>1</v>
      </c>
      <c r="F68">
        <v>1</v>
      </c>
      <c r="G68">
        <v>1</v>
      </c>
      <c r="H68">
        <v>3</v>
      </c>
      <c r="I68" t="s">
        <v>483</v>
      </c>
      <c r="J68" t="s">
        <v>484</v>
      </c>
      <c r="K68" t="s">
        <v>485</v>
      </c>
      <c r="L68">
        <v>1348</v>
      </c>
      <c r="N68">
        <v>1009</v>
      </c>
      <c r="O68" t="s">
        <v>35</v>
      </c>
      <c r="P68" t="s">
        <v>35</v>
      </c>
      <c r="Q68">
        <v>1000</v>
      </c>
      <c r="X68">
        <v>1.1000000000000001E-3</v>
      </c>
      <c r="Y68">
        <v>145801.49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1.1000000000000001E-3</v>
      </c>
      <c r="AH68">
        <v>2</v>
      </c>
      <c r="AI68">
        <v>80308621</v>
      </c>
      <c r="AJ68">
        <v>72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ROW(Source!A86)</f>
        <v>86</v>
      </c>
      <c r="B69">
        <v>80308631</v>
      </c>
      <c r="C69">
        <v>80308614</v>
      </c>
      <c r="D69">
        <v>77428062</v>
      </c>
      <c r="E69">
        <v>117</v>
      </c>
      <c r="F69">
        <v>1</v>
      </c>
      <c r="G69">
        <v>1</v>
      </c>
      <c r="H69">
        <v>3</v>
      </c>
      <c r="I69" t="s">
        <v>625</v>
      </c>
      <c r="J69" t="s">
        <v>3</v>
      </c>
      <c r="K69" t="s">
        <v>627</v>
      </c>
      <c r="L69">
        <v>1371</v>
      </c>
      <c r="N69">
        <v>1013</v>
      </c>
      <c r="O69" t="s">
        <v>30</v>
      </c>
      <c r="P69" t="s">
        <v>30</v>
      </c>
      <c r="Q69">
        <v>1</v>
      </c>
      <c r="X69">
        <v>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 t="s">
        <v>3</v>
      </c>
      <c r="AG69">
        <v>1</v>
      </c>
      <c r="AH69">
        <v>3</v>
      </c>
      <c r="AI69">
        <v>-1</v>
      </c>
      <c r="AJ69" t="s">
        <v>3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ROW(Source!A86)</f>
        <v>86</v>
      </c>
      <c r="B70">
        <v>80308632</v>
      </c>
      <c r="C70">
        <v>80308614</v>
      </c>
      <c r="D70">
        <v>77429216</v>
      </c>
      <c r="E70">
        <v>117</v>
      </c>
      <c r="F70">
        <v>1</v>
      </c>
      <c r="G70">
        <v>1</v>
      </c>
      <c r="H70">
        <v>3</v>
      </c>
      <c r="I70" t="s">
        <v>628</v>
      </c>
      <c r="J70" t="s">
        <v>3</v>
      </c>
      <c r="K70" t="s">
        <v>629</v>
      </c>
      <c r="L70">
        <v>1371</v>
      </c>
      <c r="N70">
        <v>1013</v>
      </c>
      <c r="O70" t="s">
        <v>30</v>
      </c>
      <c r="P70" t="s">
        <v>30</v>
      </c>
      <c r="Q70">
        <v>1</v>
      </c>
      <c r="X70">
        <v>2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 t="s">
        <v>3</v>
      </c>
      <c r="AG70">
        <v>2</v>
      </c>
      <c r="AH70">
        <v>3</v>
      </c>
      <c r="AI70">
        <v>-1</v>
      </c>
      <c r="AJ70" t="s">
        <v>3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ROW(Source!A89)</f>
        <v>89</v>
      </c>
      <c r="B71">
        <v>80308638</v>
      </c>
      <c r="C71">
        <v>80308635</v>
      </c>
      <c r="D71">
        <v>77423762</v>
      </c>
      <c r="E71">
        <v>117</v>
      </c>
      <c r="F71">
        <v>1</v>
      </c>
      <c r="G71">
        <v>1</v>
      </c>
      <c r="H71">
        <v>1</v>
      </c>
      <c r="I71" t="s">
        <v>464</v>
      </c>
      <c r="J71" t="s">
        <v>3</v>
      </c>
      <c r="K71" t="s">
        <v>465</v>
      </c>
      <c r="L71">
        <v>1191</v>
      </c>
      <c r="N71">
        <v>1013</v>
      </c>
      <c r="O71" t="s">
        <v>449</v>
      </c>
      <c r="P71" t="s">
        <v>449</v>
      </c>
      <c r="Q71">
        <v>1</v>
      </c>
      <c r="X71">
        <v>159</v>
      </c>
      <c r="Y71">
        <v>0</v>
      </c>
      <c r="Z71">
        <v>0</v>
      </c>
      <c r="AA71">
        <v>0</v>
      </c>
      <c r="AB71">
        <v>641.22</v>
      </c>
      <c r="AC71">
        <v>0</v>
      </c>
      <c r="AD71">
        <v>1</v>
      </c>
      <c r="AE71">
        <v>1</v>
      </c>
      <c r="AF71" t="s">
        <v>3</v>
      </c>
      <c r="AG71">
        <v>159</v>
      </c>
      <c r="AH71">
        <v>2</v>
      </c>
      <c r="AI71">
        <v>80308636</v>
      </c>
      <c r="AJ71">
        <v>75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ROW(Source!A89)</f>
        <v>89</v>
      </c>
      <c r="B72">
        <v>80308639</v>
      </c>
      <c r="C72">
        <v>80308635</v>
      </c>
      <c r="D72">
        <v>77429794</v>
      </c>
      <c r="E72">
        <v>117</v>
      </c>
      <c r="F72">
        <v>1</v>
      </c>
      <c r="G72">
        <v>1</v>
      </c>
      <c r="H72">
        <v>3</v>
      </c>
      <c r="I72" t="s">
        <v>33</v>
      </c>
      <c r="J72" t="s">
        <v>3</v>
      </c>
      <c r="K72" t="s">
        <v>34</v>
      </c>
      <c r="L72">
        <v>1348</v>
      </c>
      <c r="N72">
        <v>1009</v>
      </c>
      <c r="O72" t="s">
        <v>35</v>
      </c>
      <c r="P72" t="s">
        <v>35</v>
      </c>
      <c r="Q72">
        <v>1000</v>
      </c>
      <c r="X72">
        <v>5.3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 t="s">
        <v>3</v>
      </c>
      <c r="AG72">
        <v>5.3</v>
      </c>
      <c r="AH72">
        <v>2</v>
      </c>
      <c r="AI72">
        <v>80308637</v>
      </c>
      <c r="AJ72">
        <v>76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ROW(Source!A91)</f>
        <v>91</v>
      </c>
      <c r="B73">
        <v>80308653</v>
      </c>
      <c r="C73">
        <v>80308641</v>
      </c>
      <c r="D73">
        <v>77423776</v>
      </c>
      <c r="E73">
        <v>117</v>
      </c>
      <c r="F73">
        <v>1</v>
      </c>
      <c r="G73">
        <v>1</v>
      </c>
      <c r="H73">
        <v>1</v>
      </c>
      <c r="I73" t="s">
        <v>530</v>
      </c>
      <c r="J73" t="s">
        <v>3</v>
      </c>
      <c r="K73" t="s">
        <v>531</v>
      </c>
      <c r="L73">
        <v>1191</v>
      </c>
      <c r="N73">
        <v>1013</v>
      </c>
      <c r="O73" t="s">
        <v>449</v>
      </c>
      <c r="P73" t="s">
        <v>449</v>
      </c>
      <c r="Q73">
        <v>1</v>
      </c>
      <c r="X73">
        <v>3.58</v>
      </c>
      <c r="Y73">
        <v>0</v>
      </c>
      <c r="Z73">
        <v>0</v>
      </c>
      <c r="AA73">
        <v>0</v>
      </c>
      <c r="AB73">
        <v>697.8</v>
      </c>
      <c r="AC73">
        <v>0</v>
      </c>
      <c r="AD73">
        <v>1</v>
      </c>
      <c r="AE73">
        <v>1</v>
      </c>
      <c r="AF73" t="s">
        <v>49</v>
      </c>
      <c r="AG73">
        <v>4.117</v>
      </c>
      <c r="AH73">
        <v>2</v>
      </c>
      <c r="AI73">
        <v>80308642</v>
      </c>
      <c r="AJ73">
        <v>77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ROW(Source!A91)</f>
        <v>91</v>
      </c>
      <c r="B74">
        <v>80308654</v>
      </c>
      <c r="C74">
        <v>80308641</v>
      </c>
      <c r="D74">
        <v>77423956</v>
      </c>
      <c r="E74">
        <v>117</v>
      </c>
      <c r="F74">
        <v>1</v>
      </c>
      <c r="G74">
        <v>1</v>
      </c>
      <c r="H74">
        <v>1</v>
      </c>
      <c r="I74" t="s">
        <v>450</v>
      </c>
      <c r="J74" t="s">
        <v>3</v>
      </c>
      <c r="K74" t="s">
        <v>451</v>
      </c>
      <c r="L74">
        <v>1191</v>
      </c>
      <c r="N74">
        <v>1013</v>
      </c>
      <c r="O74" t="s">
        <v>449</v>
      </c>
      <c r="P74" t="s">
        <v>449</v>
      </c>
      <c r="Q74">
        <v>1</v>
      </c>
      <c r="X74">
        <v>0.04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2</v>
      </c>
      <c r="AF74" t="s">
        <v>48</v>
      </c>
      <c r="AG74">
        <v>0.05</v>
      </c>
      <c r="AH74">
        <v>2</v>
      </c>
      <c r="AI74">
        <v>80308643</v>
      </c>
      <c r="AJ74">
        <v>78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ROW(Source!A91)</f>
        <v>91</v>
      </c>
      <c r="B75">
        <v>80308655</v>
      </c>
      <c r="C75">
        <v>80308641</v>
      </c>
      <c r="D75">
        <v>77430445</v>
      </c>
      <c r="E75">
        <v>1</v>
      </c>
      <c r="F75">
        <v>1</v>
      </c>
      <c r="G75">
        <v>1</v>
      </c>
      <c r="H75">
        <v>2</v>
      </c>
      <c r="I75" t="s">
        <v>474</v>
      </c>
      <c r="J75" t="s">
        <v>475</v>
      </c>
      <c r="K75" t="s">
        <v>476</v>
      </c>
      <c r="L75">
        <v>1368</v>
      </c>
      <c r="N75">
        <v>1011</v>
      </c>
      <c r="O75" t="s">
        <v>455</v>
      </c>
      <c r="P75" t="s">
        <v>455</v>
      </c>
      <c r="Q75">
        <v>1</v>
      </c>
      <c r="X75">
        <v>0.02</v>
      </c>
      <c r="Y75">
        <v>0</v>
      </c>
      <c r="Z75">
        <v>1629.55</v>
      </c>
      <c r="AA75">
        <v>969.91</v>
      </c>
      <c r="AB75">
        <v>0</v>
      </c>
      <c r="AC75">
        <v>0</v>
      </c>
      <c r="AD75">
        <v>1</v>
      </c>
      <c r="AE75">
        <v>0</v>
      </c>
      <c r="AF75" t="s">
        <v>48</v>
      </c>
      <c r="AG75">
        <v>2.5000000000000001E-2</v>
      </c>
      <c r="AH75">
        <v>2</v>
      </c>
      <c r="AI75">
        <v>80308644</v>
      </c>
      <c r="AJ75">
        <v>79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ROW(Source!A91)</f>
        <v>91</v>
      </c>
      <c r="B76">
        <v>80308656</v>
      </c>
      <c r="C76">
        <v>80308641</v>
      </c>
      <c r="D76">
        <v>77431339</v>
      </c>
      <c r="E76">
        <v>1</v>
      </c>
      <c r="F76">
        <v>1</v>
      </c>
      <c r="G76">
        <v>1</v>
      </c>
      <c r="H76">
        <v>2</v>
      </c>
      <c r="I76" t="s">
        <v>452</v>
      </c>
      <c r="J76" t="s">
        <v>453</v>
      </c>
      <c r="K76" t="s">
        <v>454</v>
      </c>
      <c r="L76">
        <v>1368</v>
      </c>
      <c r="N76">
        <v>1011</v>
      </c>
      <c r="O76" t="s">
        <v>455</v>
      </c>
      <c r="P76" t="s">
        <v>455</v>
      </c>
      <c r="Q76">
        <v>1</v>
      </c>
      <c r="X76">
        <v>0.02</v>
      </c>
      <c r="Y76">
        <v>0</v>
      </c>
      <c r="Z76">
        <v>643.29</v>
      </c>
      <c r="AA76">
        <v>722.05</v>
      </c>
      <c r="AB76">
        <v>0</v>
      </c>
      <c r="AC76">
        <v>0</v>
      </c>
      <c r="AD76">
        <v>1</v>
      </c>
      <c r="AE76">
        <v>0</v>
      </c>
      <c r="AF76" t="s">
        <v>48</v>
      </c>
      <c r="AG76">
        <v>2.5000000000000001E-2</v>
      </c>
      <c r="AH76">
        <v>2</v>
      </c>
      <c r="AI76">
        <v>80308645</v>
      </c>
      <c r="AJ76">
        <v>80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ROW(Source!A91)</f>
        <v>91</v>
      </c>
      <c r="B77">
        <v>80308657</v>
      </c>
      <c r="C77">
        <v>80308641</v>
      </c>
      <c r="D77">
        <v>77431535</v>
      </c>
      <c r="E77">
        <v>1</v>
      </c>
      <c r="F77">
        <v>1</v>
      </c>
      <c r="G77">
        <v>1</v>
      </c>
      <c r="H77">
        <v>2</v>
      </c>
      <c r="I77" t="s">
        <v>477</v>
      </c>
      <c r="J77" t="s">
        <v>478</v>
      </c>
      <c r="K77" t="s">
        <v>479</v>
      </c>
      <c r="L77">
        <v>1368</v>
      </c>
      <c r="N77">
        <v>1011</v>
      </c>
      <c r="O77" t="s">
        <v>455</v>
      </c>
      <c r="P77" t="s">
        <v>455</v>
      </c>
      <c r="Q77">
        <v>1</v>
      </c>
      <c r="X77">
        <v>1.2</v>
      </c>
      <c r="Y77">
        <v>0</v>
      </c>
      <c r="Z77">
        <v>32.26</v>
      </c>
      <c r="AA77">
        <v>0</v>
      </c>
      <c r="AB77">
        <v>0</v>
      </c>
      <c r="AC77">
        <v>0</v>
      </c>
      <c r="AD77">
        <v>1</v>
      </c>
      <c r="AE77">
        <v>0</v>
      </c>
      <c r="AF77" t="s">
        <v>48</v>
      </c>
      <c r="AG77">
        <v>1.5</v>
      </c>
      <c r="AH77">
        <v>2</v>
      </c>
      <c r="AI77">
        <v>80308646</v>
      </c>
      <c r="AJ77">
        <v>81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ROW(Source!A91)</f>
        <v>91</v>
      </c>
      <c r="B78">
        <v>80308658</v>
      </c>
      <c r="C78">
        <v>80308641</v>
      </c>
      <c r="D78">
        <v>77495868</v>
      </c>
      <c r="E78">
        <v>1</v>
      </c>
      <c r="F78">
        <v>1</v>
      </c>
      <c r="G78">
        <v>1</v>
      </c>
      <c r="H78">
        <v>3</v>
      </c>
      <c r="I78" t="s">
        <v>532</v>
      </c>
      <c r="J78" t="s">
        <v>533</v>
      </c>
      <c r="K78" t="s">
        <v>534</v>
      </c>
      <c r="L78">
        <v>1348</v>
      </c>
      <c r="N78">
        <v>1009</v>
      </c>
      <c r="O78" t="s">
        <v>35</v>
      </c>
      <c r="P78" t="s">
        <v>35</v>
      </c>
      <c r="Q78">
        <v>1000</v>
      </c>
      <c r="X78">
        <v>3.0000000000000001E-3</v>
      </c>
      <c r="Y78">
        <v>50110.25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3.0000000000000001E-3</v>
      </c>
      <c r="AH78">
        <v>2</v>
      </c>
      <c r="AI78">
        <v>80308647</v>
      </c>
      <c r="AJ78">
        <v>82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ROW(Source!A91)</f>
        <v>91</v>
      </c>
      <c r="B79">
        <v>80308659</v>
      </c>
      <c r="C79">
        <v>80308641</v>
      </c>
      <c r="D79">
        <v>77495882</v>
      </c>
      <c r="E79">
        <v>1</v>
      </c>
      <c r="F79">
        <v>1</v>
      </c>
      <c r="G79">
        <v>1</v>
      </c>
      <c r="H79">
        <v>3</v>
      </c>
      <c r="I79" t="s">
        <v>457</v>
      </c>
      <c r="J79" t="s">
        <v>458</v>
      </c>
      <c r="K79" t="s">
        <v>459</v>
      </c>
      <c r="L79">
        <v>1407</v>
      </c>
      <c r="N79">
        <v>1013</v>
      </c>
      <c r="O79" t="s">
        <v>460</v>
      </c>
      <c r="P79" t="s">
        <v>460</v>
      </c>
      <c r="Q79">
        <v>1</v>
      </c>
      <c r="X79">
        <v>4.0000000000000001E-3</v>
      </c>
      <c r="Y79">
        <v>13680.39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4.0000000000000001E-3</v>
      </c>
      <c r="AH79">
        <v>2</v>
      </c>
      <c r="AI79">
        <v>80308648</v>
      </c>
      <c r="AJ79">
        <v>83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ROW(Source!A91)</f>
        <v>91</v>
      </c>
      <c r="B80">
        <v>80308660</v>
      </c>
      <c r="C80">
        <v>80308641</v>
      </c>
      <c r="D80">
        <v>77498850</v>
      </c>
      <c r="E80">
        <v>1</v>
      </c>
      <c r="F80">
        <v>1</v>
      </c>
      <c r="G80">
        <v>1</v>
      </c>
      <c r="H80">
        <v>3</v>
      </c>
      <c r="I80" t="s">
        <v>480</v>
      </c>
      <c r="J80" t="s">
        <v>481</v>
      </c>
      <c r="K80" t="s">
        <v>482</v>
      </c>
      <c r="L80">
        <v>1346</v>
      </c>
      <c r="N80">
        <v>1009</v>
      </c>
      <c r="O80" t="s">
        <v>295</v>
      </c>
      <c r="P80" t="s">
        <v>295</v>
      </c>
      <c r="Q80">
        <v>1</v>
      </c>
      <c r="X80">
        <v>1</v>
      </c>
      <c r="Y80">
        <v>155.63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3</v>
      </c>
      <c r="AG80">
        <v>1</v>
      </c>
      <c r="AH80">
        <v>2</v>
      </c>
      <c r="AI80">
        <v>80308649</v>
      </c>
      <c r="AJ80">
        <v>84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ROW(Source!A91)</f>
        <v>91</v>
      </c>
      <c r="B81">
        <v>80308661</v>
      </c>
      <c r="C81">
        <v>80308641</v>
      </c>
      <c r="D81">
        <v>77499588</v>
      </c>
      <c r="E81">
        <v>1</v>
      </c>
      <c r="F81">
        <v>1</v>
      </c>
      <c r="G81">
        <v>1</v>
      </c>
      <c r="H81">
        <v>3</v>
      </c>
      <c r="I81" t="s">
        <v>535</v>
      </c>
      <c r="J81" t="s">
        <v>536</v>
      </c>
      <c r="K81" t="s">
        <v>537</v>
      </c>
      <c r="L81">
        <v>1348</v>
      </c>
      <c r="N81">
        <v>1009</v>
      </c>
      <c r="O81" t="s">
        <v>35</v>
      </c>
      <c r="P81" t="s">
        <v>35</v>
      </c>
      <c r="Q81">
        <v>1000</v>
      </c>
      <c r="X81">
        <v>2.0200000000000001E-3</v>
      </c>
      <c r="Y81">
        <v>135460.68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2.0200000000000001E-3</v>
      </c>
      <c r="AH81">
        <v>2</v>
      </c>
      <c r="AI81">
        <v>80308650</v>
      </c>
      <c r="AJ81">
        <v>85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ROW(Source!A91)</f>
        <v>91</v>
      </c>
      <c r="B82">
        <v>80308662</v>
      </c>
      <c r="C82">
        <v>80308641</v>
      </c>
      <c r="D82">
        <v>77428363</v>
      </c>
      <c r="E82">
        <v>117</v>
      </c>
      <c r="F82">
        <v>1</v>
      </c>
      <c r="G82">
        <v>1</v>
      </c>
      <c r="H82">
        <v>3</v>
      </c>
      <c r="I82" t="s">
        <v>630</v>
      </c>
      <c r="J82" t="s">
        <v>3</v>
      </c>
      <c r="K82" t="s">
        <v>631</v>
      </c>
      <c r="L82">
        <v>1371</v>
      </c>
      <c r="N82">
        <v>1013</v>
      </c>
      <c r="O82" t="s">
        <v>30</v>
      </c>
      <c r="P82" t="s">
        <v>30</v>
      </c>
      <c r="Q82">
        <v>1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s">
        <v>3</v>
      </c>
      <c r="AG82">
        <v>1</v>
      </c>
      <c r="AH82">
        <v>3</v>
      </c>
      <c r="AI82">
        <v>-1</v>
      </c>
      <c r="AJ82" t="s">
        <v>3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ROW(Source!A91)</f>
        <v>91</v>
      </c>
      <c r="B83">
        <v>80308663</v>
      </c>
      <c r="C83">
        <v>80308641</v>
      </c>
      <c r="D83">
        <v>77429216</v>
      </c>
      <c r="E83">
        <v>117</v>
      </c>
      <c r="F83">
        <v>1</v>
      </c>
      <c r="G83">
        <v>1</v>
      </c>
      <c r="H83">
        <v>3</v>
      </c>
      <c r="I83" t="s">
        <v>628</v>
      </c>
      <c r="J83" t="s">
        <v>3</v>
      </c>
      <c r="K83" t="s">
        <v>629</v>
      </c>
      <c r="L83">
        <v>1371</v>
      </c>
      <c r="N83">
        <v>1013</v>
      </c>
      <c r="O83" t="s">
        <v>30</v>
      </c>
      <c r="P83" t="s">
        <v>30</v>
      </c>
      <c r="Q83">
        <v>1</v>
      </c>
      <c r="X83">
        <v>4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 t="s">
        <v>3</v>
      </c>
      <c r="AG83">
        <v>4</v>
      </c>
      <c r="AH83">
        <v>3</v>
      </c>
      <c r="AI83">
        <v>-1</v>
      </c>
      <c r="AJ83" t="s">
        <v>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ROW(Source!A93)</f>
        <v>93</v>
      </c>
      <c r="B84">
        <v>80308677</v>
      </c>
      <c r="C84">
        <v>80308665</v>
      </c>
      <c r="D84">
        <v>77423776</v>
      </c>
      <c r="E84">
        <v>117</v>
      </c>
      <c r="F84">
        <v>1</v>
      </c>
      <c r="G84">
        <v>1</v>
      </c>
      <c r="H84">
        <v>1</v>
      </c>
      <c r="I84" t="s">
        <v>530</v>
      </c>
      <c r="J84" t="s">
        <v>3</v>
      </c>
      <c r="K84" t="s">
        <v>531</v>
      </c>
      <c r="L84">
        <v>1191</v>
      </c>
      <c r="N84">
        <v>1013</v>
      </c>
      <c r="O84" t="s">
        <v>449</v>
      </c>
      <c r="P84" t="s">
        <v>449</v>
      </c>
      <c r="Q84">
        <v>1</v>
      </c>
      <c r="X84">
        <v>3.58</v>
      </c>
      <c r="Y84">
        <v>0</v>
      </c>
      <c r="Z84">
        <v>0</v>
      </c>
      <c r="AA84">
        <v>0</v>
      </c>
      <c r="AB84">
        <v>697.8</v>
      </c>
      <c r="AC84">
        <v>0</v>
      </c>
      <c r="AD84">
        <v>1</v>
      </c>
      <c r="AE84">
        <v>1</v>
      </c>
      <c r="AF84" t="s">
        <v>49</v>
      </c>
      <c r="AG84">
        <v>4.117</v>
      </c>
      <c r="AH84">
        <v>2</v>
      </c>
      <c r="AI84">
        <v>80308666</v>
      </c>
      <c r="AJ84">
        <v>88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ROW(Source!A93)</f>
        <v>93</v>
      </c>
      <c r="B85">
        <v>80308678</v>
      </c>
      <c r="C85">
        <v>80308665</v>
      </c>
      <c r="D85">
        <v>77423956</v>
      </c>
      <c r="E85">
        <v>117</v>
      </c>
      <c r="F85">
        <v>1</v>
      </c>
      <c r="G85">
        <v>1</v>
      </c>
      <c r="H85">
        <v>1</v>
      </c>
      <c r="I85" t="s">
        <v>450</v>
      </c>
      <c r="J85" t="s">
        <v>3</v>
      </c>
      <c r="K85" t="s">
        <v>451</v>
      </c>
      <c r="L85">
        <v>1191</v>
      </c>
      <c r="N85">
        <v>1013</v>
      </c>
      <c r="O85" t="s">
        <v>449</v>
      </c>
      <c r="P85" t="s">
        <v>449</v>
      </c>
      <c r="Q85">
        <v>1</v>
      </c>
      <c r="X85">
        <v>0.04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2</v>
      </c>
      <c r="AF85" t="s">
        <v>48</v>
      </c>
      <c r="AG85">
        <v>0.05</v>
      </c>
      <c r="AH85">
        <v>2</v>
      </c>
      <c r="AI85">
        <v>80308667</v>
      </c>
      <c r="AJ85">
        <v>89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ROW(Source!A93)</f>
        <v>93</v>
      </c>
      <c r="B86">
        <v>80308679</v>
      </c>
      <c r="C86">
        <v>80308665</v>
      </c>
      <c r="D86">
        <v>77430445</v>
      </c>
      <c r="E86">
        <v>1</v>
      </c>
      <c r="F86">
        <v>1</v>
      </c>
      <c r="G86">
        <v>1</v>
      </c>
      <c r="H86">
        <v>2</v>
      </c>
      <c r="I86" t="s">
        <v>474</v>
      </c>
      <c r="J86" t="s">
        <v>475</v>
      </c>
      <c r="K86" t="s">
        <v>476</v>
      </c>
      <c r="L86">
        <v>1368</v>
      </c>
      <c r="N86">
        <v>1011</v>
      </c>
      <c r="O86" t="s">
        <v>455</v>
      </c>
      <c r="P86" t="s">
        <v>455</v>
      </c>
      <c r="Q86">
        <v>1</v>
      </c>
      <c r="X86">
        <v>0.02</v>
      </c>
      <c r="Y86">
        <v>0</v>
      </c>
      <c r="Z86">
        <v>1629.55</v>
      </c>
      <c r="AA86">
        <v>969.91</v>
      </c>
      <c r="AB86">
        <v>0</v>
      </c>
      <c r="AC86">
        <v>0</v>
      </c>
      <c r="AD86">
        <v>1</v>
      </c>
      <c r="AE86">
        <v>0</v>
      </c>
      <c r="AF86" t="s">
        <v>48</v>
      </c>
      <c r="AG86">
        <v>2.5000000000000001E-2</v>
      </c>
      <c r="AH86">
        <v>2</v>
      </c>
      <c r="AI86">
        <v>80308668</v>
      </c>
      <c r="AJ86">
        <v>90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ROW(Source!A93)</f>
        <v>93</v>
      </c>
      <c r="B87">
        <v>80308680</v>
      </c>
      <c r="C87">
        <v>80308665</v>
      </c>
      <c r="D87">
        <v>77431339</v>
      </c>
      <c r="E87">
        <v>1</v>
      </c>
      <c r="F87">
        <v>1</v>
      </c>
      <c r="G87">
        <v>1</v>
      </c>
      <c r="H87">
        <v>2</v>
      </c>
      <c r="I87" t="s">
        <v>452</v>
      </c>
      <c r="J87" t="s">
        <v>453</v>
      </c>
      <c r="K87" t="s">
        <v>454</v>
      </c>
      <c r="L87">
        <v>1368</v>
      </c>
      <c r="N87">
        <v>1011</v>
      </c>
      <c r="O87" t="s">
        <v>455</v>
      </c>
      <c r="P87" t="s">
        <v>455</v>
      </c>
      <c r="Q87">
        <v>1</v>
      </c>
      <c r="X87">
        <v>0.02</v>
      </c>
      <c r="Y87">
        <v>0</v>
      </c>
      <c r="Z87">
        <v>643.29</v>
      </c>
      <c r="AA87">
        <v>722.05</v>
      </c>
      <c r="AB87">
        <v>0</v>
      </c>
      <c r="AC87">
        <v>0</v>
      </c>
      <c r="AD87">
        <v>1</v>
      </c>
      <c r="AE87">
        <v>0</v>
      </c>
      <c r="AF87" t="s">
        <v>48</v>
      </c>
      <c r="AG87">
        <v>2.5000000000000001E-2</v>
      </c>
      <c r="AH87">
        <v>2</v>
      </c>
      <c r="AI87">
        <v>80308669</v>
      </c>
      <c r="AJ87">
        <v>91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ROW(Source!A93)</f>
        <v>93</v>
      </c>
      <c r="B88">
        <v>80308681</v>
      </c>
      <c r="C88">
        <v>80308665</v>
      </c>
      <c r="D88">
        <v>77431535</v>
      </c>
      <c r="E88">
        <v>1</v>
      </c>
      <c r="F88">
        <v>1</v>
      </c>
      <c r="G88">
        <v>1</v>
      </c>
      <c r="H88">
        <v>2</v>
      </c>
      <c r="I88" t="s">
        <v>477</v>
      </c>
      <c r="J88" t="s">
        <v>478</v>
      </c>
      <c r="K88" t="s">
        <v>479</v>
      </c>
      <c r="L88">
        <v>1368</v>
      </c>
      <c r="N88">
        <v>1011</v>
      </c>
      <c r="O88" t="s">
        <v>455</v>
      </c>
      <c r="P88" t="s">
        <v>455</v>
      </c>
      <c r="Q88">
        <v>1</v>
      </c>
      <c r="X88">
        <v>1.21</v>
      </c>
      <c r="Y88">
        <v>0</v>
      </c>
      <c r="Z88">
        <v>32.26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48</v>
      </c>
      <c r="AG88">
        <v>1.5125</v>
      </c>
      <c r="AH88">
        <v>2</v>
      </c>
      <c r="AI88">
        <v>80308670</v>
      </c>
      <c r="AJ88">
        <v>92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ROW(Source!A93)</f>
        <v>93</v>
      </c>
      <c r="B89">
        <v>80308682</v>
      </c>
      <c r="C89">
        <v>80308665</v>
      </c>
      <c r="D89">
        <v>77495868</v>
      </c>
      <c r="E89">
        <v>1</v>
      </c>
      <c r="F89">
        <v>1</v>
      </c>
      <c r="G89">
        <v>1</v>
      </c>
      <c r="H89">
        <v>3</v>
      </c>
      <c r="I89" t="s">
        <v>532</v>
      </c>
      <c r="J89" t="s">
        <v>533</v>
      </c>
      <c r="K89" t="s">
        <v>534</v>
      </c>
      <c r="L89">
        <v>1348</v>
      </c>
      <c r="N89">
        <v>1009</v>
      </c>
      <c r="O89" t="s">
        <v>35</v>
      </c>
      <c r="P89" t="s">
        <v>35</v>
      </c>
      <c r="Q89">
        <v>1000</v>
      </c>
      <c r="X89">
        <v>3.0000000000000001E-3</v>
      </c>
      <c r="Y89">
        <v>50110.25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3.0000000000000001E-3</v>
      </c>
      <c r="AH89">
        <v>2</v>
      </c>
      <c r="AI89">
        <v>80308671</v>
      </c>
      <c r="AJ89">
        <v>93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ROW(Source!A93)</f>
        <v>93</v>
      </c>
      <c r="B90">
        <v>80308683</v>
      </c>
      <c r="C90">
        <v>80308665</v>
      </c>
      <c r="D90">
        <v>77495882</v>
      </c>
      <c r="E90">
        <v>1</v>
      </c>
      <c r="F90">
        <v>1</v>
      </c>
      <c r="G90">
        <v>1</v>
      </c>
      <c r="H90">
        <v>3</v>
      </c>
      <c r="I90" t="s">
        <v>457</v>
      </c>
      <c r="J90" t="s">
        <v>458</v>
      </c>
      <c r="K90" t="s">
        <v>459</v>
      </c>
      <c r="L90">
        <v>1407</v>
      </c>
      <c r="N90">
        <v>1013</v>
      </c>
      <c r="O90" t="s">
        <v>460</v>
      </c>
      <c r="P90" t="s">
        <v>460</v>
      </c>
      <c r="Q90">
        <v>1</v>
      </c>
      <c r="X90">
        <v>4.0000000000000001E-3</v>
      </c>
      <c r="Y90">
        <v>13680.39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 t="s">
        <v>3</v>
      </c>
      <c r="AG90">
        <v>4.0000000000000001E-3</v>
      </c>
      <c r="AH90">
        <v>2</v>
      </c>
      <c r="AI90">
        <v>80308672</v>
      </c>
      <c r="AJ90">
        <v>94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ROW(Source!A93)</f>
        <v>93</v>
      </c>
      <c r="B91">
        <v>80308684</v>
      </c>
      <c r="C91">
        <v>80308665</v>
      </c>
      <c r="D91">
        <v>77498850</v>
      </c>
      <c r="E91">
        <v>1</v>
      </c>
      <c r="F91">
        <v>1</v>
      </c>
      <c r="G91">
        <v>1</v>
      </c>
      <c r="H91">
        <v>3</v>
      </c>
      <c r="I91" t="s">
        <v>480</v>
      </c>
      <c r="J91" t="s">
        <v>481</v>
      </c>
      <c r="K91" t="s">
        <v>482</v>
      </c>
      <c r="L91">
        <v>1346</v>
      </c>
      <c r="N91">
        <v>1009</v>
      </c>
      <c r="O91" t="s">
        <v>295</v>
      </c>
      <c r="P91" t="s">
        <v>295</v>
      </c>
      <c r="Q91">
        <v>1</v>
      </c>
      <c r="X91">
        <v>1</v>
      </c>
      <c r="Y91">
        <v>155.63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1</v>
      </c>
      <c r="AH91">
        <v>2</v>
      </c>
      <c r="AI91">
        <v>80308673</v>
      </c>
      <c r="AJ91">
        <v>95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ROW(Source!A93)</f>
        <v>93</v>
      </c>
      <c r="B92">
        <v>80308685</v>
      </c>
      <c r="C92">
        <v>80308665</v>
      </c>
      <c r="D92">
        <v>77499588</v>
      </c>
      <c r="E92">
        <v>1</v>
      </c>
      <c r="F92">
        <v>1</v>
      </c>
      <c r="G92">
        <v>1</v>
      </c>
      <c r="H92">
        <v>3</v>
      </c>
      <c r="I92" t="s">
        <v>535</v>
      </c>
      <c r="J92" t="s">
        <v>536</v>
      </c>
      <c r="K92" t="s">
        <v>537</v>
      </c>
      <c r="L92">
        <v>1348</v>
      </c>
      <c r="N92">
        <v>1009</v>
      </c>
      <c r="O92" t="s">
        <v>35</v>
      </c>
      <c r="P92" t="s">
        <v>35</v>
      </c>
      <c r="Q92">
        <v>1000</v>
      </c>
      <c r="X92">
        <v>2.0200000000000001E-3</v>
      </c>
      <c r="Y92">
        <v>135460.68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2.0200000000000001E-3</v>
      </c>
      <c r="AH92">
        <v>2</v>
      </c>
      <c r="AI92">
        <v>80308674</v>
      </c>
      <c r="AJ92">
        <v>96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ROW(Source!A93)</f>
        <v>93</v>
      </c>
      <c r="B93">
        <v>80308686</v>
      </c>
      <c r="C93">
        <v>80308665</v>
      </c>
      <c r="D93">
        <v>77428363</v>
      </c>
      <c r="E93">
        <v>117</v>
      </c>
      <c r="F93">
        <v>1</v>
      </c>
      <c r="G93">
        <v>1</v>
      </c>
      <c r="H93">
        <v>3</v>
      </c>
      <c r="I93" t="s">
        <v>630</v>
      </c>
      <c r="J93" t="s">
        <v>3</v>
      </c>
      <c r="K93" t="s">
        <v>631</v>
      </c>
      <c r="L93">
        <v>1371</v>
      </c>
      <c r="N93">
        <v>1013</v>
      </c>
      <c r="O93" t="s">
        <v>30</v>
      </c>
      <c r="P93" t="s">
        <v>30</v>
      </c>
      <c r="Q93">
        <v>1</v>
      </c>
      <c r="X93">
        <v>1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 t="s">
        <v>3</v>
      </c>
      <c r="AG93">
        <v>1</v>
      </c>
      <c r="AH93">
        <v>3</v>
      </c>
      <c r="AI93">
        <v>-1</v>
      </c>
      <c r="AJ93" t="s">
        <v>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ROW(Source!A93)</f>
        <v>93</v>
      </c>
      <c r="B94">
        <v>80308687</v>
      </c>
      <c r="C94">
        <v>80308665</v>
      </c>
      <c r="D94">
        <v>77429216</v>
      </c>
      <c r="E94">
        <v>117</v>
      </c>
      <c r="F94">
        <v>1</v>
      </c>
      <c r="G94">
        <v>1</v>
      </c>
      <c r="H94">
        <v>3</v>
      </c>
      <c r="I94" t="s">
        <v>628</v>
      </c>
      <c r="J94" t="s">
        <v>3</v>
      </c>
      <c r="K94" t="s">
        <v>629</v>
      </c>
      <c r="L94">
        <v>1371</v>
      </c>
      <c r="N94">
        <v>1013</v>
      </c>
      <c r="O94" t="s">
        <v>30</v>
      </c>
      <c r="P94" t="s">
        <v>30</v>
      </c>
      <c r="Q94">
        <v>1</v>
      </c>
      <c r="X94">
        <v>4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 t="s">
        <v>3</v>
      </c>
      <c r="AG94">
        <v>4</v>
      </c>
      <c r="AH94">
        <v>3</v>
      </c>
      <c r="AI94">
        <v>-1</v>
      </c>
      <c r="AJ94" t="s">
        <v>3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ROW(Source!A95)</f>
        <v>95</v>
      </c>
      <c r="B95">
        <v>80308691</v>
      </c>
      <c r="C95">
        <v>80308689</v>
      </c>
      <c r="D95">
        <v>77423762</v>
      </c>
      <c r="E95">
        <v>117</v>
      </c>
      <c r="F95">
        <v>1</v>
      </c>
      <c r="G95">
        <v>1</v>
      </c>
      <c r="H95">
        <v>1</v>
      </c>
      <c r="I95" t="s">
        <v>464</v>
      </c>
      <c r="J95" t="s">
        <v>3</v>
      </c>
      <c r="K95" t="s">
        <v>465</v>
      </c>
      <c r="L95">
        <v>1191</v>
      </c>
      <c r="N95">
        <v>1013</v>
      </c>
      <c r="O95" t="s">
        <v>449</v>
      </c>
      <c r="P95" t="s">
        <v>449</v>
      </c>
      <c r="Q95">
        <v>1</v>
      </c>
      <c r="X95">
        <v>2.31</v>
      </c>
      <c r="Y95">
        <v>0</v>
      </c>
      <c r="Z95">
        <v>0</v>
      </c>
      <c r="AA95">
        <v>0</v>
      </c>
      <c r="AB95">
        <v>641.22</v>
      </c>
      <c r="AC95">
        <v>0</v>
      </c>
      <c r="AD95">
        <v>1</v>
      </c>
      <c r="AE95">
        <v>1</v>
      </c>
      <c r="AF95" t="s">
        <v>3</v>
      </c>
      <c r="AG95">
        <v>2.31</v>
      </c>
      <c r="AH95">
        <v>2</v>
      </c>
      <c r="AI95">
        <v>80308690</v>
      </c>
      <c r="AJ95">
        <v>99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ROW(Source!A96)</f>
        <v>96</v>
      </c>
      <c r="B96">
        <v>80308698</v>
      </c>
      <c r="C96">
        <v>80308692</v>
      </c>
      <c r="D96">
        <v>77423792</v>
      </c>
      <c r="E96">
        <v>117</v>
      </c>
      <c r="F96">
        <v>1</v>
      </c>
      <c r="G96">
        <v>1</v>
      </c>
      <c r="H96">
        <v>1</v>
      </c>
      <c r="I96" t="s">
        <v>525</v>
      </c>
      <c r="J96" t="s">
        <v>3</v>
      </c>
      <c r="K96" t="s">
        <v>526</v>
      </c>
      <c r="L96">
        <v>1191</v>
      </c>
      <c r="N96">
        <v>1013</v>
      </c>
      <c r="O96" t="s">
        <v>449</v>
      </c>
      <c r="P96" t="s">
        <v>449</v>
      </c>
      <c r="Q96">
        <v>1</v>
      </c>
      <c r="X96">
        <v>0.22</v>
      </c>
      <c r="Y96">
        <v>0</v>
      </c>
      <c r="Z96">
        <v>0</v>
      </c>
      <c r="AA96">
        <v>0</v>
      </c>
      <c r="AB96">
        <v>743.6</v>
      </c>
      <c r="AC96">
        <v>0</v>
      </c>
      <c r="AD96">
        <v>1</v>
      </c>
      <c r="AE96">
        <v>1</v>
      </c>
      <c r="AF96" t="s">
        <v>49</v>
      </c>
      <c r="AG96">
        <v>0.253</v>
      </c>
      <c r="AH96">
        <v>2</v>
      </c>
      <c r="AI96">
        <v>80308693</v>
      </c>
      <c r="AJ96">
        <v>100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ROW(Source!A96)</f>
        <v>96</v>
      </c>
      <c r="B97">
        <v>80308699</v>
      </c>
      <c r="C97">
        <v>80308692</v>
      </c>
      <c r="D97">
        <v>77498569</v>
      </c>
      <c r="E97">
        <v>1</v>
      </c>
      <c r="F97">
        <v>1</v>
      </c>
      <c r="G97">
        <v>1</v>
      </c>
      <c r="H97">
        <v>3</v>
      </c>
      <c r="I97" t="s">
        <v>508</v>
      </c>
      <c r="J97" t="s">
        <v>509</v>
      </c>
      <c r="K97" t="s">
        <v>510</v>
      </c>
      <c r="L97">
        <v>1346</v>
      </c>
      <c r="N97">
        <v>1009</v>
      </c>
      <c r="O97" t="s">
        <v>295</v>
      </c>
      <c r="P97" t="s">
        <v>295</v>
      </c>
      <c r="Q97">
        <v>1</v>
      </c>
      <c r="X97">
        <v>0.01</v>
      </c>
      <c r="Y97">
        <v>128.4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</v>
      </c>
      <c r="AG97">
        <v>0.01</v>
      </c>
      <c r="AH97">
        <v>2</v>
      </c>
      <c r="AI97">
        <v>80308694</v>
      </c>
      <c r="AJ97">
        <v>101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ROW(Source!A96)</f>
        <v>96</v>
      </c>
      <c r="B98">
        <v>80308700</v>
      </c>
      <c r="C98">
        <v>80308692</v>
      </c>
      <c r="D98">
        <v>77516782</v>
      </c>
      <c r="E98">
        <v>1</v>
      </c>
      <c r="F98">
        <v>1</v>
      </c>
      <c r="G98">
        <v>1</v>
      </c>
      <c r="H98">
        <v>3</v>
      </c>
      <c r="I98" t="s">
        <v>511</v>
      </c>
      <c r="J98" t="s">
        <v>512</v>
      </c>
      <c r="K98" t="s">
        <v>513</v>
      </c>
      <c r="L98">
        <v>1346</v>
      </c>
      <c r="N98">
        <v>1009</v>
      </c>
      <c r="O98" t="s">
        <v>295</v>
      </c>
      <c r="P98" t="s">
        <v>295</v>
      </c>
      <c r="Q98">
        <v>1</v>
      </c>
      <c r="X98">
        <v>0.02</v>
      </c>
      <c r="Y98">
        <v>79.88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3</v>
      </c>
      <c r="AG98">
        <v>0.02</v>
      </c>
      <c r="AH98">
        <v>2</v>
      </c>
      <c r="AI98">
        <v>80308695</v>
      </c>
      <c r="AJ98">
        <v>102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ROW(Source!A96)</f>
        <v>96</v>
      </c>
      <c r="B99">
        <v>80308701</v>
      </c>
      <c r="C99">
        <v>80308692</v>
      </c>
      <c r="D99">
        <v>77517067</v>
      </c>
      <c r="E99">
        <v>1</v>
      </c>
      <c r="F99">
        <v>1</v>
      </c>
      <c r="G99">
        <v>1</v>
      </c>
      <c r="H99">
        <v>3</v>
      </c>
      <c r="I99" t="s">
        <v>514</v>
      </c>
      <c r="J99" t="s">
        <v>515</v>
      </c>
      <c r="K99" t="s">
        <v>516</v>
      </c>
      <c r="L99">
        <v>1348</v>
      </c>
      <c r="N99">
        <v>1009</v>
      </c>
      <c r="O99" t="s">
        <v>35</v>
      </c>
      <c r="P99" t="s">
        <v>35</v>
      </c>
      <c r="Q99">
        <v>1000</v>
      </c>
      <c r="X99">
        <v>1.0000000000000001E-5</v>
      </c>
      <c r="Y99">
        <v>60697.21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3</v>
      </c>
      <c r="AG99">
        <v>1.0000000000000001E-5</v>
      </c>
      <c r="AH99">
        <v>2</v>
      </c>
      <c r="AI99">
        <v>80308696</v>
      </c>
      <c r="AJ99">
        <v>103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ROW(Source!A98)</f>
        <v>98</v>
      </c>
      <c r="B100">
        <v>80308712</v>
      </c>
      <c r="C100">
        <v>80308703</v>
      </c>
      <c r="D100">
        <v>77423772</v>
      </c>
      <c r="E100">
        <v>117</v>
      </c>
      <c r="F100">
        <v>1</v>
      </c>
      <c r="G100">
        <v>1</v>
      </c>
      <c r="H100">
        <v>1</v>
      </c>
      <c r="I100" t="s">
        <v>447</v>
      </c>
      <c r="J100" t="s">
        <v>3</v>
      </c>
      <c r="K100" t="s">
        <v>448</v>
      </c>
      <c r="L100">
        <v>1191</v>
      </c>
      <c r="N100">
        <v>1013</v>
      </c>
      <c r="O100" t="s">
        <v>449</v>
      </c>
      <c r="P100" t="s">
        <v>449</v>
      </c>
      <c r="Q100">
        <v>1</v>
      </c>
      <c r="X100">
        <v>133</v>
      </c>
      <c r="Y100">
        <v>0</v>
      </c>
      <c r="Z100">
        <v>0</v>
      </c>
      <c r="AA100">
        <v>0</v>
      </c>
      <c r="AB100">
        <v>681.63</v>
      </c>
      <c r="AC100">
        <v>0</v>
      </c>
      <c r="AD100">
        <v>1</v>
      </c>
      <c r="AE100">
        <v>1</v>
      </c>
      <c r="AF100" t="s">
        <v>3</v>
      </c>
      <c r="AG100">
        <v>133</v>
      </c>
      <c r="AH100">
        <v>2</v>
      </c>
      <c r="AI100">
        <v>80308704</v>
      </c>
      <c r="AJ100">
        <v>105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ROW(Source!A98)</f>
        <v>98</v>
      </c>
      <c r="B101">
        <v>80308713</v>
      </c>
      <c r="C101">
        <v>80308703</v>
      </c>
      <c r="D101">
        <v>77423956</v>
      </c>
      <c r="E101">
        <v>117</v>
      </c>
      <c r="F101">
        <v>1</v>
      </c>
      <c r="G101">
        <v>1</v>
      </c>
      <c r="H101">
        <v>1</v>
      </c>
      <c r="I101" t="s">
        <v>450</v>
      </c>
      <c r="J101" t="s">
        <v>3</v>
      </c>
      <c r="K101" t="s">
        <v>451</v>
      </c>
      <c r="L101">
        <v>1191</v>
      </c>
      <c r="N101">
        <v>1013</v>
      </c>
      <c r="O101" t="s">
        <v>449</v>
      </c>
      <c r="P101" t="s">
        <v>449</v>
      </c>
      <c r="Q101">
        <v>1</v>
      </c>
      <c r="X101">
        <v>0.26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2</v>
      </c>
      <c r="AF101" t="s">
        <v>3</v>
      </c>
      <c r="AG101">
        <v>0.26</v>
      </c>
      <c r="AH101">
        <v>2</v>
      </c>
      <c r="AI101">
        <v>80308705</v>
      </c>
      <c r="AJ101">
        <v>106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ROW(Source!A98)</f>
        <v>98</v>
      </c>
      <c r="B102">
        <v>80308714</v>
      </c>
      <c r="C102">
        <v>80308703</v>
      </c>
      <c r="D102">
        <v>77431339</v>
      </c>
      <c r="E102">
        <v>1</v>
      </c>
      <c r="F102">
        <v>1</v>
      </c>
      <c r="G102">
        <v>1</v>
      </c>
      <c r="H102">
        <v>2</v>
      </c>
      <c r="I102" t="s">
        <v>452</v>
      </c>
      <c r="J102" t="s">
        <v>453</v>
      </c>
      <c r="K102" t="s">
        <v>454</v>
      </c>
      <c r="L102">
        <v>1368</v>
      </c>
      <c r="N102">
        <v>1011</v>
      </c>
      <c r="O102" t="s">
        <v>455</v>
      </c>
      <c r="P102" t="s">
        <v>455</v>
      </c>
      <c r="Q102">
        <v>1</v>
      </c>
      <c r="X102">
        <v>0.26</v>
      </c>
      <c r="Y102">
        <v>0</v>
      </c>
      <c r="Z102">
        <v>643.29</v>
      </c>
      <c r="AA102">
        <v>722.05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0.26</v>
      </c>
      <c r="AH102">
        <v>2</v>
      </c>
      <c r="AI102">
        <v>80308706</v>
      </c>
      <c r="AJ102">
        <v>107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ROW(Source!A98)</f>
        <v>98</v>
      </c>
      <c r="B103">
        <v>80308715</v>
      </c>
      <c r="C103">
        <v>80308703</v>
      </c>
      <c r="D103">
        <v>77498569</v>
      </c>
      <c r="E103">
        <v>1</v>
      </c>
      <c r="F103">
        <v>1</v>
      </c>
      <c r="G103">
        <v>1</v>
      </c>
      <c r="H103">
        <v>3</v>
      </c>
      <c r="I103" t="s">
        <v>508</v>
      </c>
      <c r="J103" t="s">
        <v>509</v>
      </c>
      <c r="K103" t="s">
        <v>510</v>
      </c>
      <c r="L103">
        <v>1346</v>
      </c>
      <c r="N103">
        <v>1009</v>
      </c>
      <c r="O103" t="s">
        <v>295</v>
      </c>
      <c r="P103" t="s">
        <v>295</v>
      </c>
      <c r="Q103">
        <v>1</v>
      </c>
      <c r="X103">
        <v>1.84</v>
      </c>
      <c r="Y103">
        <v>128.4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 t="s">
        <v>3</v>
      </c>
      <c r="AG103">
        <v>1.84</v>
      </c>
      <c r="AH103">
        <v>2</v>
      </c>
      <c r="AI103">
        <v>80308707</v>
      </c>
      <c r="AJ103">
        <v>108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ROW(Source!A98)</f>
        <v>98</v>
      </c>
      <c r="B104">
        <v>80308716</v>
      </c>
      <c r="C104">
        <v>80308703</v>
      </c>
      <c r="D104">
        <v>77516782</v>
      </c>
      <c r="E104">
        <v>1</v>
      </c>
      <c r="F104">
        <v>1</v>
      </c>
      <c r="G104">
        <v>1</v>
      </c>
      <c r="H104">
        <v>3</v>
      </c>
      <c r="I104" t="s">
        <v>511</v>
      </c>
      <c r="J104" t="s">
        <v>512</v>
      </c>
      <c r="K104" t="s">
        <v>513</v>
      </c>
      <c r="L104">
        <v>1346</v>
      </c>
      <c r="N104">
        <v>1009</v>
      </c>
      <c r="O104" t="s">
        <v>295</v>
      </c>
      <c r="P104" t="s">
        <v>295</v>
      </c>
      <c r="Q104">
        <v>1</v>
      </c>
      <c r="X104">
        <v>3.7</v>
      </c>
      <c r="Y104">
        <v>79.88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 t="s">
        <v>3</v>
      </c>
      <c r="AG104">
        <v>3.7</v>
      </c>
      <c r="AH104">
        <v>2</v>
      </c>
      <c r="AI104">
        <v>80308708</v>
      </c>
      <c r="AJ104">
        <v>109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ROW(Source!A98)</f>
        <v>98</v>
      </c>
      <c r="B105">
        <v>80308717</v>
      </c>
      <c r="C105">
        <v>80308703</v>
      </c>
      <c r="D105">
        <v>77517067</v>
      </c>
      <c r="E105">
        <v>1</v>
      </c>
      <c r="F105">
        <v>1</v>
      </c>
      <c r="G105">
        <v>1</v>
      </c>
      <c r="H105">
        <v>3</v>
      </c>
      <c r="I105" t="s">
        <v>514</v>
      </c>
      <c r="J105" t="s">
        <v>515</v>
      </c>
      <c r="K105" t="s">
        <v>516</v>
      </c>
      <c r="L105">
        <v>1348</v>
      </c>
      <c r="N105">
        <v>1009</v>
      </c>
      <c r="O105" t="s">
        <v>35</v>
      </c>
      <c r="P105" t="s">
        <v>35</v>
      </c>
      <c r="Q105">
        <v>1000</v>
      </c>
      <c r="X105">
        <v>1.8E-3</v>
      </c>
      <c r="Y105">
        <v>60697.21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1.8E-3</v>
      </c>
      <c r="AH105">
        <v>2</v>
      </c>
      <c r="AI105">
        <v>80308709</v>
      </c>
      <c r="AJ105">
        <v>110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ROW(Source!A98)</f>
        <v>98</v>
      </c>
      <c r="B106">
        <v>80308718</v>
      </c>
      <c r="C106">
        <v>80308703</v>
      </c>
      <c r="D106">
        <v>77428121</v>
      </c>
      <c r="E106">
        <v>117</v>
      </c>
      <c r="F106">
        <v>1</v>
      </c>
      <c r="G106">
        <v>1</v>
      </c>
      <c r="H106">
        <v>3</v>
      </c>
      <c r="I106" t="s">
        <v>632</v>
      </c>
      <c r="J106" t="s">
        <v>3</v>
      </c>
      <c r="K106" t="s">
        <v>633</v>
      </c>
      <c r="L106">
        <v>1371</v>
      </c>
      <c r="N106">
        <v>1013</v>
      </c>
      <c r="O106" t="s">
        <v>30</v>
      </c>
      <c r="P106" t="s">
        <v>30</v>
      </c>
      <c r="Q106">
        <v>1</v>
      </c>
      <c r="X106">
        <v>100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 t="s">
        <v>3</v>
      </c>
      <c r="AG106">
        <v>100</v>
      </c>
      <c r="AH106">
        <v>3</v>
      </c>
      <c r="AI106">
        <v>-1</v>
      </c>
      <c r="AJ106" t="s">
        <v>3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ROW(Source!A98)</f>
        <v>98</v>
      </c>
      <c r="B107">
        <v>80308719</v>
      </c>
      <c r="C107">
        <v>80308703</v>
      </c>
      <c r="D107">
        <v>77429794</v>
      </c>
      <c r="E107">
        <v>117</v>
      </c>
      <c r="F107">
        <v>1</v>
      </c>
      <c r="G107">
        <v>1</v>
      </c>
      <c r="H107">
        <v>3</v>
      </c>
      <c r="I107" t="s">
        <v>33</v>
      </c>
      <c r="J107" t="s">
        <v>3</v>
      </c>
      <c r="K107" t="s">
        <v>34</v>
      </c>
      <c r="L107">
        <v>1348</v>
      </c>
      <c r="N107">
        <v>1009</v>
      </c>
      <c r="O107" t="s">
        <v>35</v>
      </c>
      <c r="P107" t="s">
        <v>35</v>
      </c>
      <c r="Q107">
        <v>1000</v>
      </c>
      <c r="X107">
        <v>0.24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 t="s">
        <v>3</v>
      </c>
      <c r="AG107">
        <v>0.24</v>
      </c>
      <c r="AH107">
        <v>2</v>
      </c>
      <c r="AI107">
        <v>80308710</v>
      </c>
      <c r="AJ107">
        <v>112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ROW(Source!A136)</f>
        <v>136</v>
      </c>
      <c r="B108">
        <v>80308729</v>
      </c>
      <c r="C108">
        <v>80308722</v>
      </c>
      <c r="D108">
        <v>77423764</v>
      </c>
      <c r="E108">
        <v>117</v>
      </c>
      <c r="F108">
        <v>1</v>
      </c>
      <c r="G108">
        <v>1</v>
      </c>
      <c r="H108">
        <v>1</v>
      </c>
      <c r="I108" t="s">
        <v>517</v>
      </c>
      <c r="J108" t="s">
        <v>3</v>
      </c>
      <c r="K108" t="s">
        <v>518</v>
      </c>
      <c r="L108">
        <v>1191</v>
      </c>
      <c r="N108">
        <v>1013</v>
      </c>
      <c r="O108" t="s">
        <v>449</v>
      </c>
      <c r="P108" t="s">
        <v>449</v>
      </c>
      <c r="Q108">
        <v>1</v>
      </c>
      <c r="X108">
        <v>302.39999999999998</v>
      </c>
      <c r="Y108">
        <v>0</v>
      </c>
      <c r="Z108">
        <v>0</v>
      </c>
      <c r="AA108">
        <v>0</v>
      </c>
      <c r="AB108">
        <v>649.29999999999995</v>
      </c>
      <c r="AC108">
        <v>0</v>
      </c>
      <c r="AD108">
        <v>1</v>
      </c>
      <c r="AE108">
        <v>1</v>
      </c>
      <c r="AF108" t="s">
        <v>3</v>
      </c>
      <c r="AG108">
        <v>302.39999999999998</v>
      </c>
      <c r="AH108">
        <v>2</v>
      </c>
      <c r="AI108">
        <v>80308723</v>
      </c>
      <c r="AJ108">
        <v>113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ROW(Source!A136)</f>
        <v>136</v>
      </c>
      <c r="B109">
        <v>80308730</v>
      </c>
      <c r="C109">
        <v>80308722</v>
      </c>
      <c r="D109">
        <v>77423956</v>
      </c>
      <c r="E109">
        <v>117</v>
      </c>
      <c r="F109">
        <v>1</v>
      </c>
      <c r="G109">
        <v>1</v>
      </c>
      <c r="H109">
        <v>1</v>
      </c>
      <c r="I109" t="s">
        <v>450</v>
      </c>
      <c r="J109" t="s">
        <v>3</v>
      </c>
      <c r="K109" t="s">
        <v>451</v>
      </c>
      <c r="L109">
        <v>1191</v>
      </c>
      <c r="N109">
        <v>1013</v>
      </c>
      <c r="O109" t="s">
        <v>449</v>
      </c>
      <c r="P109" t="s">
        <v>449</v>
      </c>
      <c r="Q109">
        <v>1</v>
      </c>
      <c r="X109">
        <v>0.01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2</v>
      </c>
      <c r="AF109" t="s">
        <v>3</v>
      </c>
      <c r="AG109">
        <v>0.01</v>
      </c>
      <c r="AH109">
        <v>2</v>
      </c>
      <c r="AI109">
        <v>80308724</v>
      </c>
      <c r="AJ109">
        <v>114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ROW(Source!A136)</f>
        <v>136</v>
      </c>
      <c r="B110">
        <v>80308731</v>
      </c>
      <c r="C110">
        <v>80308722</v>
      </c>
      <c r="D110">
        <v>77431339</v>
      </c>
      <c r="E110">
        <v>1</v>
      </c>
      <c r="F110">
        <v>1</v>
      </c>
      <c r="G110">
        <v>1</v>
      </c>
      <c r="H110">
        <v>2</v>
      </c>
      <c r="I110" t="s">
        <v>452</v>
      </c>
      <c r="J110" t="s">
        <v>453</v>
      </c>
      <c r="K110" t="s">
        <v>454</v>
      </c>
      <c r="L110">
        <v>1368</v>
      </c>
      <c r="N110">
        <v>1011</v>
      </c>
      <c r="O110" t="s">
        <v>455</v>
      </c>
      <c r="P110" t="s">
        <v>455</v>
      </c>
      <c r="Q110">
        <v>1</v>
      </c>
      <c r="X110">
        <v>0.01</v>
      </c>
      <c r="Y110">
        <v>0</v>
      </c>
      <c r="Z110">
        <v>643.29</v>
      </c>
      <c r="AA110">
        <v>722.05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0.01</v>
      </c>
      <c r="AH110">
        <v>2</v>
      </c>
      <c r="AI110">
        <v>80308725</v>
      </c>
      <c r="AJ110">
        <v>115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ROW(Source!A136)</f>
        <v>136</v>
      </c>
      <c r="B111">
        <v>80308732</v>
      </c>
      <c r="C111">
        <v>80308722</v>
      </c>
      <c r="D111">
        <v>77495947</v>
      </c>
      <c r="E111">
        <v>1</v>
      </c>
      <c r="F111">
        <v>1</v>
      </c>
      <c r="G111">
        <v>1</v>
      </c>
      <c r="H111">
        <v>3</v>
      </c>
      <c r="I111" t="s">
        <v>544</v>
      </c>
      <c r="J111" t="s">
        <v>545</v>
      </c>
      <c r="K111" t="s">
        <v>546</v>
      </c>
      <c r="L111">
        <v>1346</v>
      </c>
      <c r="N111">
        <v>1009</v>
      </c>
      <c r="O111" t="s">
        <v>295</v>
      </c>
      <c r="P111" t="s">
        <v>295</v>
      </c>
      <c r="Q111">
        <v>1</v>
      </c>
      <c r="X111">
        <v>25.2</v>
      </c>
      <c r="Y111">
        <v>137.59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25.2</v>
      </c>
      <c r="AH111">
        <v>2</v>
      </c>
      <c r="AI111">
        <v>80308726</v>
      </c>
      <c r="AJ111">
        <v>116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ROW(Source!A136)</f>
        <v>136</v>
      </c>
      <c r="B112">
        <v>80308733</v>
      </c>
      <c r="C112">
        <v>80308722</v>
      </c>
      <c r="D112">
        <v>77496069</v>
      </c>
      <c r="E112">
        <v>1</v>
      </c>
      <c r="F112">
        <v>1</v>
      </c>
      <c r="G112">
        <v>1</v>
      </c>
      <c r="H112">
        <v>3</v>
      </c>
      <c r="I112" t="s">
        <v>547</v>
      </c>
      <c r="J112" t="s">
        <v>548</v>
      </c>
      <c r="K112" t="s">
        <v>549</v>
      </c>
      <c r="L112">
        <v>1346</v>
      </c>
      <c r="N112">
        <v>1009</v>
      </c>
      <c r="O112" t="s">
        <v>295</v>
      </c>
      <c r="P112" t="s">
        <v>295</v>
      </c>
      <c r="Q112">
        <v>1</v>
      </c>
      <c r="X112">
        <v>7.8</v>
      </c>
      <c r="Y112">
        <v>58.53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3</v>
      </c>
      <c r="AG112">
        <v>7.8</v>
      </c>
      <c r="AH112">
        <v>2</v>
      </c>
      <c r="AI112">
        <v>80308727</v>
      </c>
      <c r="AJ112">
        <v>117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ROW(Source!A136)</f>
        <v>136</v>
      </c>
      <c r="B113">
        <v>80308734</v>
      </c>
      <c r="C113">
        <v>80308722</v>
      </c>
      <c r="D113">
        <v>77498398</v>
      </c>
      <c r="E113">
        <v>1</v>
      </c>
      <c r="F113">
        <v>1</v>
      </c>
      <c r="G113">
        <v>1</v>
      </c>
      <c r="H113">
        <v>3</v>
      </c>
      <c r="I113" t="s">
        <v>550</v>
      </c>
      <c r="J113" t="s">
        <v>551</v>
      </c>
      <c r="K113" t="s">
        <v>552</v>
      </c>
      <c r="L113">
        <v>1346</v>
      </c>
      <c r="N113">
        <v>1009</v>
      </c>
      <c r="O113" t="s">
        <v>295</v>
      </c>
      <c r="P113" t="s">
        <v>295</v>
      </c>
      <c r="Q113">
        <v>1</v>
      </c>
      <c r="X113">
        <v>3.5</v>
      </c>
      <c r="Y113">
        <v>303.95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3.5</v>
      </c>
      <c r="AH113">
        <v>2</v>
      </c>
      <c r="AI113">
        <v>80308728</v>
      </c>
      <c r="AJ113">
        <v>118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ROW(Source!A137)</f>
        <v>137</v>
      </c>
      <c r="B114">
        <v>80308742</v>
      </c>
      <c r="C114">
        <v>80308735</v>
      </c>
      <c r="D114">
        <v>77423834</v>
      </c>
      <c r="E114">
        <v>117</v>
      </c>
      <c r="F114">
        <v>1</v>
      </c>
      <c r="G114">
        <v>1</v>
      </c>
      <c r="H114">
        <v>1</v>
      </c>
      <c r="I114" t="s">
        <v>500</v>
      </c>
      <c r="J114" t="s">
        <v>3</v>
      </c>
      <c r="K114" t="s">
        <v>501</v>
      </c>
      <c r="L114">
        <v>1191</v>
      </c>
      <c r="N114">
        <v>1013</v>
      </c>
      <c r="O114" t="s">
        <v>449</v>
      </c>
      <c r="P114" t="s">
        <v>449</v>
      </c>
      <c r="Q114">
        <v>1</v>
      </c>
      <c r="X114">
        <v>5.01</v>
      </c>
      <c r="Y114">
        <v>0</v>
      </c>
      <c r="Z114">
        <v>0</v>
      </c>
      <c r="AA114">
        <v>0</v>
      </c>
      <c r="AB114">
        <v>871.84</v>
      </c>
      <c r="AC114">
        <v>0</v>
      </c>
      <c r="AD114">
        <v>1</v>
      </c>
      <c r="AE114">
        <v>1</v>
      </c>
      <c r="AF114" t="s">
        <v>49</v>
      </c>
      <c r="AG114">
        <v>5.761499999999999</v>
      </c>
      <c r="AH114">
        <v>2</v>
      </c>
      <c r="AI114">
        <v>80308736</v>
      </c>
      <c r="AJ114">
        <v>119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ROW(Source!A137)</f>
        <v>137</v>
      </c>
      <c r="B115">
        <v>80308743</v>
      </c>
      <c r="C115">
        <v>80308735</v>
      </c>
      <c r="D115">
        <v>77431112</v>
      </c>
      <c r="E115">
        <v>1</v>
      </c>
      <c r="F115">
        <v>1</v>
      </c>
      <c r="G115">
        <v>1</v>
      </c>
      <c r="H115">
        <v>2</v>
      </c>
      <c r="I115" t="s">
        <v>502</v>
      </c>
      <c r="J115" t="s">
        <v>503</v>
      </c>
      <c r="K115" t="s">
        <v>504</v>
      </c>
      <c r="L115">
        <v>1368</v>
      </c>
      <c r="N115">
        <v>1011</v>
      </c>
      <c r="O115" t="s">
        <v>455</v>
      </c>
      <c r="P115" t="s">
        <v>455</v>
      </c>
      <c r="Q115">
        <v>1</v>
      </c>
      <c r="X115">
        <v>1.5</v>
      </c>
      <c r="Y115">
        <v>0</v>
      </c>
      <c r="Z115">
        <v>14.13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48</v>
      </c>
      <c r="AG115">
        <v>1.875</v>
      </c>
      <c r="AH115">
        <v>2</v>
      </c>
      <c r="AI115">
        <v>80308737</v>
      </c>
      <c r="AJ115">
        <v>120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ROW(Source!A137)</f>
        <v>137</v>
      </c>
      <c r="B116">
        <v>80308744</v>
      </c>
      <c r="C116">
        <v>80308735</v>
      </c>
      <c r="D116">
        <v>77498097</v>
      </c>
      <c r="E116">
        <v>1</v>
      </c>
      <c r="F116">
        <v>1</v>
      </c>
      <c r="G116">
        <v>1</v>
      </c>
      <c r="H116">
        <v>3</v>
      </c>
      <c r="I116" t="s">
        <v>505</v>
      </c>
      <c r="J116" t="s">
        <v>506</v>
      </c>
      <c r="K116" t="s">
        <v>507</v>
      </c>
      <c r="L116">
        <v>1339</v>
      </c>
      <c r="N116">
        <v>1007</v>
      </c>
      <c r="O116" t="s">
        <v>309</v>
      </c>
      <c r="P116" t="s">
        <v>309</v>
      </c>
      <c r="Q116">
        <v>1</v>
      </c>
      <c r="X116">
        <v>1</v>
      </c>
      <c r="Y116">
        <v>35.71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 t="s">
        <v>3</v>
      </c>
      <c r="AG116">
        <v>1</v>
      </c>
      <c r="AH116">
        <v>2</v>
      </c>
      <c r="AI116">
        <v>80308738</v>
      </c>
      <c r="AJ116">
        <v>121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ROW(Source!A137)</f>
        <v>137</v>
      </c>
      <c r="B117">
        <v>80308745</v>
      </c>
      <c r="C117">
        <v>80308735</v>
      </c>
      <c r="D117">
        <v>77498569</v>
      </c>
      <c r="E117">
        <v>1</v>
      </c>
      <c r="F117">
        <v>1</v>
      </c>
      <c r="G117">
        <v>1</v>
      </c>
      <c r="H117">
        <v>3</v>
      </c>
      <c r="I117" t="s">
        <v>508</v>
      </c>
      <c r="J117" t="s">
        <v>509</v>
      </c>
      <c r="K117" t="s">
        <v>510</v>
      </c>
      <c r="L117">
        <v>1346</v>
      </c>
      <c r="N117">
        <v>1009</v>
      </c>
      <c r="O117" t="s">
        <v>295</v>
      </c>
      <c r="P117" t="s">
        <v>295</v>
      </c>
      <c r="Q117">
        <v>1</v>
      </c>
      <c r="X117">
        <v>0.02</v>
      </c>
      <c r="Y117">
        <v>128.4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</v>
      </c>
      <c r="AG117">
        <v>0.02</v>
      </c>
      <c r="AH117">
        <v>2</v>
      </c>
      <c r="AI117">
        <v>80308739</v>
      </c>
      <c r="AJ117">
        <v>122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ROW(Source!A137)</f>
        <v>137</v>
      </c>
      <c r="B118">
        <v>80308746</v>
      </c>
      <c r="C118">
        <v>80308735</v>
      </c>
      <c r="D118">
        <v>77516782</v>
      </c>
      <c r="E118">
        <v>1</v>
      </c>
      <c r="F118">
        <v>1</v>
      </c>
      <c r="G118">
        <v>1</v>
      </c>
      <c r="H118">
        <v>3</v>
      </c>
      <c r="I118" t="s">
        <v>511</v>
      </c>
      <c r="J118" t="s">
        <v>512</v>
      </c>
      <c r="K118" t="s">
        <v>513</v>
      </c>
      <c r="L118">
        <v>1346</v>
      </c>
      <c r="N118">
        <v>1009</v>
      </c>
      <c r="O118" t="s">
        <v>295</v>
      </c>
      <c r="P118" t="s">
        <v>295</v>
      </c>
      <c r="Q118">
        <v>1</v>
      </c>
      <c r="X118">
        <v>0.05</v>
      </c>
      <c r="Y118">
        <v>79.88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</v>
      </c>
      <c r="AG118">
        <v>0.05</v>
      </c>
      <c r="AH118">
        <v>2</v>
      </c>
      <c r="AI118">
        <v>80308740</v>
      </c>
      <c r="AJ118">
        <v>123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ROW(Source!A137)</f>
        <v>137</v>
      </c>
      <c r="B119">
        <v>80308747</v>
      </c>
      <c r="C119">
        <v>80308735</v>
      </c>
      <c r="D119">
        <v>77517067</v>
      </c>
      <c r="E119">
        <v>1</v>
      </c>
      <c r="F119">
        <v>1</v>
      </c>
      <c r="G119">
        <v>1</v>
      </c>
      <c r="H119">
        <v>3</v>
      </c>
      <c r="I119" t="s">
        <v>514</v>
      </c>
      <c r="J119" t="s">
        <v>515</v>
      </c>
      <c r="K119" t="s">
        <v>516</v>
      </c>
      <c r="L119">
        <v>1348</v>
      </c>
      <c r="N119">
        <v>1009</v>
      </c>
      <c r="O119" t="s">
        <v>35</v>
      </c>
      <c r="P119" t="s">
        <v>35</v>
      </c>
      <c r="Q119">
        <v>1000</v>
      </c>
      <c r="X119">
        <v>2.0000000000000002E-5</v>
      </c>
      <c r="Y119">
        <v>60697.21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2.0000000000000002E-5</v>
      </c>
      <c r="AH119">
        <v>2</v>
      </c>
      <c r="AI119">
        <v>80308741</v>
      </c>
      <c r="AJ119">
        <v>124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ROW(Source!A138)</f>
        <v>138</v>
      </c>
      <c r="B120">
        <v>80308755</v>
      </c>
      <c r="C120">
        <v>80308748</v>
      </c>
      <c r="D120">
        <v>77423834</v>
      </c>
      <c r="E120">
        <v>117</v>
      </c>
      <c r="F120">
        <v>1</v>
      </c>
      <c r="G120">
        <v>1</v>
      </c>
      <c r="H120">
        <v>1</v>
      </c>
      <c r="I120" t="s">
        <v>500</v>
      </c>
      <c r="J120" t="s">
        <v>3</v>
      </c>
      <c r="K120" t="s">
        <v>501</v>
      </c>
      <c r="L120">
        <v>1191</v>
      </c>
      <c r="N120">
        <v>1013</v>
      </c>
      <c r="O120" t="s">
        <v>449</v>
      </c>
      <c r="P120" t="s">
        <v>449</v>
      </c>
      <c r="Q120">
        <v>1</v>
      </c>
      <c r="X120">
        <v>5.01</v>
      </c>
      <c r="Y120">
        <v>0</v>
      </c>
      <c r="Z120">
        <v>0</v>
      </c>
      <c r="AA120">
        <v>0</v>
      </c>
      <c r="AB120">
        <v>871.84</v>
      </c>
      <c r="AC120">
        <v>0</v>
      </c>
      <c r="AD120">
        <v>1</v>
      </c>
      <c r="AE120">
        <v>1</v>
      </c>
      <c r="AF120" t="s">
        <v>49</v>
      </c>
      <c r="AG120">
        <v>5.761499999999999</v>
      </c>
      <c r="AH120">
        <v>2</v>
      </c>
      <c r="AI120">
        <v>80308749</v>
      </c>
      <c r="AJ120">
        <v>125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ROW(Source!A138)</f>
        <v>138</v>
      </c>
      <c r="B121">
        <v>80308756</v>
      </c>
      <c r="C121">
        <v>80308748</v>
      </c>
      <c r="D121">
        <v>77431112</v>
      </c>
      <c r="E121">
        <v>1</v>
      </c>
      <c r="F121">
        <v>1</v>
      </c>
      <c r="G121">
        <v>1</v>
      </c>
      <c r="H121">
        <v>2</v>
      </c>
      <c r="I121" t="s">
        <v>502</v>
      </c>
      <c r="J121" t="s">
        <v>503</v>
      </c>
      <c r="K121" t="s">
        <v>504</v>
      </c>
      <c r="L121">
        <v>1368</v>
      </c>
      <c r="N121">
        <v>1011</v>
      </c>
      <c r="O121" t="s">
        <v>455</v>
      </c>
      <c r="P121" t="s">
        <v>455</v>
      </c>
      <c r="Q121">
        <v>1</v>
      </c>
      <c r="X121">
        <v>1.5</v>
      </c>
      <c r="Y121">
        <v>0</v>
      </c>
      <c r="Z121">
        <v>14.13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48</v>
      </c>
      <c r="AG121">
        <v>1.875</v>
      </c>
      <c r="AH121">
        <v>2</v>
      </c>
      <c r="AI121">
        <v>80308750</v>
      </c>
      <c r="AJ121">
        <v>126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ROW(Source!A138)</f>
        <v>138</v>
      </c>
      <c r="B122">
        <v>80308757</v>
      </c>
      <c r="C122">
        <v>80308748</v>
      </c>
      <c r="D122">
        <v>77498097</v>
      </c>
      <c r="E122">
        <v>1</v>
      </c>
      <c r="F122">
        <v>1</v>
      </c>
      <c r="G122">
        <v>1</v>
      </c>
      <c r="H122">
        <v>3</v>
      </c>
      <c r="I122" t="s">
        <v>505</v>
      </c>
      <c r="J122" t="s">
        <v>506</v>
      </c>
      <c r="K122" t="s">
        <v>507</v>
      </c>
      <c r="L122">
        <v>1339</v>
      </c>
      <c r="N122">
        <v>1007</v>
      </c>
      <c r="O122" t="s">
        <v>309</v>
      </c>
      <c r="P122" t="s">
        <v>309</v>
      </c>
      <c r="Q122">
        <v>1</v>
      </c>
      <c r="X122">
        <v>3.8</v>
      </c>
      <c r="Y122">
        <v>35.71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3.8</v>
      </c>
      <c r="AH122">
        <v>2</v>
      </c>
      <c r="AI122">
        <v>80308751</v>
      </c>
      <c r="AJ122">
        <v>127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ROW(Source!A138)</f>
        <v>138</v>
      </c>
      <c r="B123">
        <v>80308758</v>
      </c>
      <c r="C123">
        <v>80308748</v>
      </c>
      <c r="D123">
        <v>77498569</v>
      </c>
      <c r="E123">
        <v>1</v>
      </c>
      <c r="F123">
        <v>1</v>
      </c>
      <c r="G123">
        <v>1</v>
      </c>
      <c r="H123">
        <v>3</v>
      </c>
      <c r="I123" t="s">
        <v>508</v>
      </c>
      <c r="J123" t="s">
        <v>509</v>
      </c>
      <c r="K123" t="s">
        <v>510</v>
      </c>
      <c r="L123">
        <v>1346</v>
      </c>
      <c r="N123">
        <v>1009</v>
      </c>
      <c r="O123" t="s">
        <v>295</v>
      </c>
      <c r="P123" t="s">
        <v>295</v>
      </c>
      <c r="Q123">
        <v>1</v>
      </c>
      <c r="X123">
        <v>0.02</v>
      </c>
      <c r="Y123">
        <v>128.4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 t="s">
        <v>3</v>
      </c>
      <c r="AG123">
        <v>0.02</v>
      </c>
      <c r="AH123">
        <v>2</v>
      </c>
      <c r="AI123">
        <v>80308752</v>
      </c>
      <c r="AJ123">
        <v>128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ROW(Source!A138)</f>
        <v>138</v>
      </c>
      <c r="B124">
        <v>80308759</v>
      </c>
      <c r="C124">
        <v>80308748</v>
      </c>
      <c r="D124">
        <v>77516782</v>
      </c>
      <c r="E124">
        <v>1</v>
      </c>
      <c r="F124">
        <v>1</v>
      </c>
      <c r="G124">
        <v>1</v>
      </c>
      <c r="H124">
        <v>3</v>
      </c>
      <c r="I124" t="s">
        <v>511</v>
      </c>
      <c r="J124" t="s">
        <v>512</v>
      </c>
      <c r="K124" t="s">
        <v>513</v>
      </c>
      <c r="L124">
        <v>1346</v>
      </c>
      <c r="N124">
        <v>1009</v>
      </c>
      <c r="O124" t="s">
        <v>295</v>
      </c>
      <c r="P124" t="s">
        <v>295</v>
      </c>
      <c r="Q124">
        <v>1</v>
      </c>
      <c r="X124">
        <v>0.05</v>
      </c>
      <c r="Y124">
        <v>79.88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0.05</v>
      </c>
      <c r="AH124">
        <v>2</v>
      </c>
      <c r="AI124">
        <v>80308753</v>
      </c>
      <c r="AJ124">
        <v>129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ROW(Source!A138)</f>
        <v>138</v>
      </c>
      <c r="B125">
        <v>80308760</v>
      </c>
      <c r="C125">
        <v>80308748</v>
      </c>
      <c r="D125">
        <v>77517067</v>
      </c>
      <c r="E125">
        <v>1</v>
      </c>
      <c r="F125">
        <v>1</v>
      </c>
      <c r="G125">
        <v>1</v>
      </c>
      <c r="H125">
        <v>3</v>
      </c>
      <c r="I125" t="s">
        <v>514</v>
      </c>
      <c r="J125" t="s">
        <v>515</v>
      </c>
      <c r="K125" t="s">
        <v>516</v>
      </c>
      <c r="L125">
        <v>1348</v>
      </c>
      <c r="N125">
        <v>1009</v>
      </c>
      <c r="O125" t="s">
        <v>35</v>
      </c>
      <c r="P125" t="s">
        <v>35</v>
      </c>
      <c r="Q125">
        <v>1000</v>
      </c>
      <c r="X125">
        <v>2.0000000000000002E-5</v>
      </c>
      <c r="Y125">
        <v>60697.21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 t="s">
        <v>3</v>
      </c>
      <c r="AG125">
        <v>2.0000000000000002E-5</v>
      </c>
      <c r="AH125">
        <v>2</v>
      </c>
      <c r="AI125">
        <v>80308754</v>
      </c>
      <c r="AJ125">
        <v>130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ROW(Source!A139)</f>
        <v>139</v>
      </c>
      <c r="B126">
        <v>80308767</v>
      </c>
      <c r="C126">
        <v>80308761</v>
      </c>
      <c r="D126">
        <v>77423792</v>
      </c>
      <c r="E126">
        <v>117</v>
      </c>
      <c r="F126">
        <v>1</v>
      </c>
      <c r="G126">
        <v>1</v>
      </c>
      <c r="H126">
        <v>1</v>
      </c>
      <c r="I126" t="s">
        <v>525</v>
      </c>
      <c r="J126" t="s">
        <v>3</v>
      </c>
      <c r="K126" t="s">
        <v>526</v>
      </c>
      <c r="L126">
        <v>1191</v>
      </c>
      <c r="N126">
        <v>1013</v>
      </c>
      <c r="O126" t="s">
        <v>449</v>
      </c>
      <c r="P126" t="s">
        <v>449</v>
      </c>
      <c r="Q126">
        <v>1</v>
      </c>
      <c r="X126">
        <v>0.22</v>
      </c>
      <c r="Y126">
        <v>0</v>
      </c>
      <c r="Z126">
        <v>0</v>
      </c>
      <c r="AA126">
        <v>0</v>
      </c>
      <c r="AB126">
        <v>743.6</v>
      </c>
      <c r="AC126">
        <v>0</v>
      </c>
      <c r="AD126">
        <v>1</v>
      </c>
      <c r="AE126">
        <v>1</v>
      </c>
      <c r="AF126" t="s">
        <v>49</v>
      </c>
      <c r="AG126">
        <v>0.253</v>
      </c>
      <c r="AH126">
        <v>2</v>
      </c>
      <c r="AI126">
        <v>80308762</v>
      </c>
      <c r="AJ126">
        <v>131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ROW(Source!A139)</f>
        <v>139</v>
      </c>
      <c r="B127">
        <v>80308768</v>
      </c>
      <c r="C127">
        <v>80308761</v>
      </c>
      <c r="D127">
        <v>77498569</v>
      </c>
      <c r="E127">
        <v>1</v>
      </c>
      <c r="F127">
        <v>1</v>
      </c>
      <c r="G127">
        <v>1</v>
      </c>
      <c r="H127">
        <v>3</v>
      </c>
      <c r="I127" t="s">
        <v>508</v>
      </c>
      <c r="J127" t="s">
        <v>509</v>
      </c>
      <c r="K127" t="s">
        <v>510</v>
      </c>
      <c r="L127">
        <v>1346</v>
      </c>
      <c r="N127">
        <v>1009</v>
      </c>
      <c r="O127" t="s">
        <v>295</v>
      </c>
      <c r="P127" t="s">
        <v>295</v>
      </c>
      <c r="Q127">
        <v>1</v>
      </c>
      <c r="X127">
        <v>0.01</v>
      </c>
      <c r="Y127">
        <v>128.4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0.01</v>
      </c>
      <c r="AH127">
        <v>2</v>
      </c>
      <c r="AI127">
        <v>80308763</v>
      </c>
      <c r="AJ127">
        <v>132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ROW(Source!A139)</f>
        <v>139</v>
      </c>
      <c r="B128">
        <v>80308769</v>
      </c>
      <c r="C128">
        <v>80308761</v>
      </c>
      <c r="D128">
        <v>77516782</v>
      </c>
      <c r="E128">
        <v>1</v>
      </c>
      <c r="F128">
        <v>1</v>
      </c>
      <c r="G128">
        <v>1</v>
      </c>
      <c r="H128">
        <v>3</v>
      </c>
      <c r="I128" t="s">
        <v>511</v>
      </c>
      <c r="J128" t="s">
        <v>512</v>
      </c>
      <c r="K128" t="s">
        <v>513</v>
      </c>
      <c r="L128">
        <v>1346</v>
      </c>
      <c r="N128">
        <v>1009</v>
      </c>
      <c r="O128" t="s">
        <v>295</v>
      </c>
      <c r="P128" t="s">
        <v>295</v>
      </c>
      <c r="Q128">
        <v>1</v>
      </c>
      <c r="X128">
        <v>0.02</v>
      </c>
      <c r="Y128">
        <v>79.88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0.02</v>
      </c>
      <c r="AH128">
        <v>2</v>
      </c>
      <c r="AI128">
        <v>80308764</v>
      </c>
      <c r="AJ128">
        <v>133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ROW(Source!A139)</f>
        <v>139</v>
      </c>
      <c r="B129">
        <v>80308770</v>
      </c>
      <c r="C129">
        <v>80308761</v>
      </c>
      <c r="D129">
        <v>77517067</v>
      </c>
      <c r="E129">
        <v>1</v>
      </c>
      <c r="F129">
        <v>1</v>
      </c>
      <c r="G129">
        <v>1</v>
      </c>
      <c r="H129">
        <v>3</v>
      </c>
      <c r="I129" t="s">
        <v>514</v>
      </c>
      <c r="J129" t="s">
        <v>515</v>
      </c>
      <c r="K129" t="s">
        <v>516</v>
      </c>
      <c r="L129">
        <v>1348</v>
      </c>
      <c r="N129">
        <v>1009</v>
      </c>
      <c r="O129" t="s">
        <v>35</v>
      </c>
      <c r="P129" t="s">
        <v>35</v>
      </c>
      <c r="Q129">
        <v>1000</v>
      </c>
      <c r="X129">
        <v>1.0000000000000001E-5</v>
      </c>
      <c r="Y129">
        <v>60697.21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1.0000000000000001E-5</v>
      </c>
      <c r="AH129">
        <v>2</v>
      </c>
      <c r="AI129">
        <v>80308765</v>
      </c>
      <c r="AJ129">
        <v>134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ROW(Source!A141)</f>
        <v>141</v>
      </c>
      <c r="B130">
        <v>80308788</v>
      </c>
      <c r="C130">
        <v>80308772</v>
      </c>
      <c r="D130">
        <v>77423786</v>
      </c>
      <c r="E130">
        <v>117</v>
      </c>
      <c r="F130">
        <v>1</v>
      </c>
      <c r="G130">
        <v>1</v>
      </c>
      <c r="H130">
        <v>1</v>
      </c>
      <c r="I130" t="s">
        <v>486</v>
      </c>
      <c r="J130" t="s">
        <v>3</v>
      </c>
      <c r="K130" t="s">
        <v>487</v>
      </c>
      <c r="L130">
        <v>1191</v>
      </c>
      <c r="N130">
        <v>1013</v>
      </c>
      <c r="O130" t="s">
        <v>449</v>
      </c>
      <c r="P130" t="s">
        <v>449</v>
      </c>
      <c r="Q130">
        <v>1</v>
      </c>
      <c r="X130">
        <v>121.4</v>
      </c>
      <c r="Y130">
        <v>0</v>
      </c>
      <c r="Z130">
        <v>0</v>
      </c>
      <c r="AA130">
        <v>0</v>
      </c>
      <c r="AB130">
        <v>722.05</v>
      </c>
      <c r="AC130">
        <v>0</v>
      </c>
      <c r="AD130">
        <v>1</v>
      </c>
      <c r="AE130">
        <v>1</v>
      </c>
      <c r="AF130" t="s">
        <v>3</v>
      </c>
      <c r="AG130">
        <v>121.4</v>
      </c>
      <c r="AH130">
        <v>2</v>
      </c>
      <c r="AI130">
        <v>80308773</v>
      </c>
      <c r="AJ130">
        <v>136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ROW(Source!A141)</f>
        <v>141</v>
      </c>
      <c r="B131">
        <v>80308789</v>
      </c>
      <c r="C131">
        <v>80308772</v>
      </c>
      <c r="D131">
        <v>77423956</v>
      </c>
      <c r="E131">
        <v>117</v>
      </c>
      <c r="F131">
        <v>1</v>
      </c>
      <c r="G131">
        <v>1</v>
      </c>
      <c r="H131">
        <v>1</v>
      </c>
      <c r="I131" t="s">
        <v>450</v>
      </c>
      <c r="J131" t="s">
        <v>3</v>
      </c>
      <c r="K131" t="s">
        <v>451</v>
      </c>
      <c r="L131">
        <v>1191</v>
      </c>
      <c r="N131">
        <v>1013</v>
      </c>
      <c r="O131" t="s">
        <v>449</v>
      </c>
      <c r="P131" t="s">
        <v>449</v>
      </c>
      <c r="Q131">
        <v>1</v>
      </c>
      <c r="X131">
        <v>0.42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2</v>
      </c>
      <c r="AF131" t="s">
        <v>3</v>
      </c>
      <c r="AG131">
        <v>0.42</v>
      </c>
      <c r="AH131">
        <v>2</v>
      </c>
      <c r="AI131">
        <v>80308774</v>
      </c>
      <c r="AJ131">
        <v>137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ROW(Source!A141)</f>
        <v>141</v>
      </c>
      <c r="B132">
        <v>80308790</v>
      </c>
      <c r="C132">
        <v>80308772</v>
      </c>
      <c r="D132">
        <v>77430632</v>
      </c>
      <c r="E132">
        <v>1</v>
      </c>
      <c r="F132">
        <v>1</v>
      </c>
      <c r="G132">
        <v>1</v>
      </c>
      <c r="H132">
        <v>2</v>
      </c>
      <c r="I132" t="s">
        <v>466</v>
      </c>
      <c r="J132" t="s">
        <v>467</v>
      </c>
      <c r="K132" t="s">
        <v>468</v>
      </c>
      <c r="L132">
        <v>1368</v>
      </c>
      <c r="N132">
        <v>1011</v>
      </c>
      <c r="O132" t="s">
        <v>455</v>
      </c>
      <c r="P132" t="s">
        <v>455</v>
      </c>
      <c r="Q132">
        <v>1</v>
      </c>
      <c r="X132">
        <v>0.21</v>
      </c>
      <c r="Y132">
        <v>0</v>
      </c>
      <c r="Z132">
        <v>37.32</v>
      </c>
      <c r="AA132">
        <v>641.22</v>
      </c>
      <c r="AB132">
        <v>0</v>
      </c>
      <c r="AC132">
        <v>0</v>
      </c>
      <c r="AD132">
        <v>1</v>
      </c>
      <c r="AE132">
        <v>0</v>
      </c>
      <c r="AF132" t="s">
        <v>3</v>
      </c>
      <c r="AG132">
        <v>0.21</v>
      </c>
      <c r="AH132">
        <v>2</v>
      </c>
      <c r="AI132">
        <v>80308775</v>
      </c>
      <c r="AJ132">
        <v>138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ROW(Source!A141)</f>
        <v>141</v>
      </c>
      <c r="B133">
        <v>80308791</v>
      </c>
      <c r="C133">
        <v>80308772</v>
      </c>
      <c r="D133">
        <v>77431339</v>
      </c>
      <c r="E133">
        <v>1</v>
      </c>
      <c r="F133">
        <v>1</v>
      </c>
      <c r="G133">
        <v>1</v>
      </c>
      <c r="H133">
        <v>2</v>
      </c>
      <c r="I133" t="s">
        <v>452</v>
      </c>
      <c r="J133" t="s">
        <v>453</v>
      </c>
      <c r="K133" t="s">
        <v>454</v>
      </c>
      <c r="L133">
        <v>1368</v>
      </c>
      <c r="N133">
        <v>1011</v>
      </c>
      <c r="O133" t="s">
        <v>455</v>
      </c>
      <c r="P133" t="s">
        <v>455</v>
      </c>
      <c r="Q133">
        <v>1</v>
      </c>
      <c r="X133">
        <v>0.21</v>
      </c>
      <c r="Y133">
        <v>0</v>
      </c>
      <c r="Z133">
        <v>643.29</v>
      </c>
      <c r="AA133">
        <v>722.05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0.21</v>
      </c>
      <c r="AH133">
        <v>2</v>
      </c>
      <c r="AI133">
        <v>80308776</v>
      </c>
      <c r="AJ133">
        <v>139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ROW(Source!A141)</f>
        <v>141</v>
      </c>
      <c r="B134">
        <v>80308792</v>
      </c>
      <c r="C134">
        <v>80308772</v>
      </c>
      <c r="D134">
        <v>77431497</v>
      </c>
      <c r="E134">
        <v>1</v>
      </c>
      <c r="F134">
        <v>1</v>
      </c>
      <c r="G134">
        <v>1</v>
      </c>
      <c r="H134">
        <v>2</v>
      </c>
      <c r="I134" t="s">
        <v>553</v>
      </c>
      <c r="J134" t="s">
        <v>554</v>
      </c>
      <c r="K134" t="s">
        <v>555</v>
      </c>
      <c r="L134">
        <v>1368</v>
      </c>
      <c r="N134">
        <v>1011</v>
      </c>
      <c r="O134" t="s">
        <v>455</v>
      </c>
      <c r="P134" t="s">
        <v>455</v>
      </c>
      <c r="Q134">
        <v>1</v>
      </c>
      <c r="X134">
        <v>3.07</v>
      </c>
      <c r="Y134">
        <v>0</v>
      </c>
      <c r="Z134">
        <v>4.3499999999999996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3.07</v>
      </c>
      <c r="AH134">
        <v>2</v>
      </c>
      <c r="AI134">
        <v>80308777</v>
      </c>
      <c r="AJ134">
        <v>140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ROW(Source!A141)</f>
        <v>141</v>
      </c>
      <c r="B135">
        <v>80308793</v>
      </c>
      <c r="C135">
        <v>80308772</v>
      </c>
      <c r="D135">
        <v>77431535</v>
      </c>
      <c r="E135">
        <v>1</v>
      </c>
      <c r="F135">
        <v>1</v>
      </c>
      <c r="G135">
        <v>1</v>
      </c>
      <c r="H135">
        <v>2</v>
      </c>
      <c r="I135" t="s">
        <v>477</v>
      </c>
      <c r="J135" t="s">
        <v>478</v>
      </c>
      <c r="K135" t="s">
        <v>479</v>
      </c>
      <c r="L135">
        <v>1368</v>
      </c>
      <c r="N135">
        <v>1011</v>
      </c>
      <c r="O135" t="s">
        <v>455</v>
      </c>
      <c r="P135" t="s">
        <v>455</v>
      </c>
      <c r="Q135">
        <v>1</v>
      </c>
      <c r="X135">
        <v>4.58</v>
      </c>
      <c r="Y135">
        <v>0</v>
      </c>
      <c r="Z135">
        <v>32.26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4.58</v>
      </c>
      <c r="AH135">
        <v>2</v>
      </c>
      <c r="AI135">
        <v>80308778</v>
      </c>
      <c r="AJ135">
        <v>141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ROW(Source!A141)</f>
        <v>141</v>
      </c>
      <c r="B136">
        <v>80308794</v>
      </c>
      <c r="C136">
        <v>80308772</v>
      </c>
      <c r="D136">
        <v>77496097</v>
      </c>
      <c r="E136">
        <v>1</v>
      </c>
      <c r="F136">
        <v>1</v>
      </c>
      <c r="G136">
        <v>1</v>
      </c>
      <c r="H136">
        <v>3</v>
      </c>
      <c r="I136" t="s">
        <v>488</v>
      </c>
      <c r="J136" t="s">
        <v>489</v>
      </c>
      <c r="K136" t="s">
        <v>490</v>
      </c>
      <c r="L136">
        <v>1339</v>
      </c>
      <c r="N136">
        <v>1007</v>
      </c>
      <c r="O136" t="s">
        <v>309</v>
      </c>
      <c r="P136" t="s">
        <v>309</v>
      </c>
      <c r="Q136">
        <v>1</v>
      </c>
      <c r="X136">
        <v>0.23</v>
      </c>
      <c r="Y136">
        <v>340.41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0.23</v>
      </c>
      <c r="AH136">
        <v>2</v>
      </c>
      <c r="AI136">
        <v>80308779</v>
      </c>
      <c r="AJ136">
        <v>142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ROW(Source!A141)</f>
        <v>141</v>
      </c>
      <c r="B137">
        <v>80308795</v>
      </c>
      <c r="C137">
        <v>80308772</v>
      </c>
      <c r="D137">
        <v>77496113</v>
      </c>
      <c r="E137">
        <v>1</v>
      </c>
      <c r="F137">
        <v>1</v>
      </c>
      <c r="G137">
        <v>1</v>
      </c>
      <c r="H137">
        <v>3</v>
      </c>
      <c r="I137" t="s">
        <v>491</v>
      </c>
      <c r="J137" t="s">
        <v>492</v>
      </c>
      <c r="K137" t="s">
        <v>493</v>
      </c>
      <c r="L137">
        <v>1339</v>
      </c>
      <c r="N137">
        <v>1007</v>
      </c>
      <c r="O137" t="s">
        <v>309</v>
      </c>
      <c r="P137" t="s">
        <v>309</v>
      </c>
      <c r="Q137">
        <v>1</v>
      </c>
      <c r="X137">
        <v>0.51</v>
      </c>
      <c r="Y137">
        <v>114.64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 t="s">
        <v>3</v>
      </c>
      <c r="AG137">
        <v>0.51</v>
      </c>
      <c r="AH137">
        <v>2</v>
      </c>
      <c r="AI137">
        <v>80308780</v>
      </c>
      <c r="AJ137">
        <v>143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ROW(Source!A141)</f>
        <v>141</v>
      </c>
      <c r="B138">
        <v>80308796</v>
      </c>
      <c r="C138">
        <v>80308772</v>
      </c>
      <c r="D138">
        <v>77498569</v>
      </c>
      <c r="E138">
        <v>1</v>
      </c>
      <c r="F138">
        <v>1</v>
      </c>
      <c r="G138">
        <v>1</v>
      </c>
      <c r="H138">
        <v>3</v>
      </c>
      <c r="I138" t="s">
        <v>508</v>
      </c>
      <c r="J138" t="s">
        <v>509</v>
      </c>
      <c r="K138" t="s">
        <v>510</v>
      </c>
      <c r="L138">
        <v>1346</v>
      </c>
      <c r="N138">
        <v>1009</v>
      </c>
      <c r="O138" t="s">
        <v>295</v>
      </c>
      <c r="P138" t="s">
        <v>295</v>
      </c>
      <c r="Q138">
        <v>1</v>
      </c>
      <c r="X138">
        <v>0.05</v>
      </c>
      <c r="Y138">
        <v>128.4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 t="s">
        <v>3</v>
      </c>
      <c r="AG138">
        <v>0.05</v>
      </c>
      <c r="AH138">
        <v>2</v>
      </c>
      <c r="AI138">
        <v>80308781</v>
      </c>
      <c r="AJ138">
        <v>144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ROW(Source!A141)</f>
        <v>141</v>
      </c>
      <c r="B139">
        <v>80308797</v>
      </c>
      <c r="C139">
        <v>80308772</v>
      </c>
      <c r="D139">
        <v>77498725</v>
      </c>
      <c r="E139">
        <v>1</v>
      </c>
      <c r="F139">
        <v>1</v>
      </c>
      <c r="G139">
        <v>1</v>
      </c>
      <c r="H139">
        <v>3</v>
      </c>
      <c r="I139" t="s">
        <v>556</v>
      </c>
      <c r="J139" t="s">
        <v>557</v>
      </c>
      <c r="K139" t="s">
        <v>558</v>
      </c>
      <c r="L139">
        <v>1348</v>
      </c>
      <c r="N139">
        <v>1009</v>
      </c>
      <c r="O139" t="s">
        <v>35</v>
      </c>
      <c r="P139" t="s">
        <v>35</v>
      </c>
      <c r="Q139">
        <v>1000</v>
      </c>
      <c r="X139">
        <v>4.0000000000000002E-4</v>
      </c>
      <c r="Y139">
        <v>97282.880000000005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</v>
      </c>
      <c r="AG139">
        <v>4.0000000000000002E-4</v>
      </c>
      <c r="AH139">
        <v>2</v>
      </c>
      <c r="AI139">
        <v>80308782</v>
      </c>
      <c r="AJ139">
        <v>145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ROW(Source!A141)</f>
        <v>141</v>
      </c>
      <c r="B140">
        <v>80308798</v>
      </c>
      <c r="C140">
        <v>80308772</v>
      </c>
      <c r="D140">
        <v>77498850</v>
      </c>
      <c r="E140">
        <v>1</v>
      </c>
      <c r="F140">
        <v>1</v>
      </c>
      <c r="G140">
        <v>1</v>
      </c>
      <c r="H140">
        <v>3</v>
      </c>
      <c r="I140" t="s">
        <v>480</v>
      </c>
      <c r="J140" t="s">
        <v>481</v>
      </c>
      <c r="K140" t="s">
        <v>482</v>
      </c>
      <c r="L140">
        <v>1346</v>
      </c>
      <c r="N140">
        <v>1009</v>
      </c>
      <c r="O140" t="s">
        <v>295</v>
      </c>
      <c r="P140" t="s">
        <v>295</v>
      </c>
      <c r="Q140">
        <v>1</v>
      </c>
      <c r="X140">
        <v>1.9</v>
      </c>
      <c r="Y140">
        <v>155.63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</v>
      </c>
      <c r="AG140">
        <v>1.9</v>
      </c>
      <c r="AH140">
        <v>2</v>
      </c>
      <c r="AI140">
        <v>80308783</v>
      </c>
      <c r="AJ140">
        <v>146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ROW(Source!A141)</f>
        <v>141</v>
      </c>
      <c r="B141">
        <v>80308799</v>
      </c>
      <c r="C141">
        <v>80308772</v>
      </c>
      <c r="D141">
        <v>77516782</v>
      </c>
      <c r="E141">
        <v>1</v>
      </c>
      <c r="F141">
        <v>1</v>
      </c>
      <c r="G141">
        <v>1</v>
      </c>
      <c r="H141">
        <v>3</v>
      </c>
      <c r="I141" t="s">
        <v>511</v>
      </c>
      <c r="J141" t="s">
        <v>512</v>
      </c>
      <c r="K141" t="s">
        <v>513</v>
      </c>
      <c r="L141">
        <v>1346</v>
      </c>
      <c r="N141">
        <v>1009</v>
      </c>
      <c r="O141" t="s">
        <v>295</v>
      </c>
      <c r="P141" t="s">
        <v>295</v>
      </c>
      <c r="Q141">
        <v>1</v>
      </c>
      <c r="X141">
        <v>0.11</v>
      </c>
      <c r="Y141">
        <v>79.88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0.11</v>
      </c>
      <c r="AH141">
        <v>2</v>
      </c>
      <c r="AI141">
        <v>80308784</v>
      </c>
      <c r="AJ141">
        <v>147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ROW(Source!A141)</f>
        <v>141</v>
      </c>
      <c r="B142">
        <v>80308800</v>
      </c>
      <c r="C142">
        <v>80308772</v>
      </c>
      <c r="D142">
        <v>77517067</v>
      </c>
      <c r="E142">
        <v>1</v>
      </c>
      <c r="F142">
        <v>1</v>
      </c>
      <c r="G142">
        <v>1</v>
      </c>
      <c r="H142">
        <v>3</v>
      </c>
      <c r="I142" t="s">
        <v>514</v>
      </c>
      <c r="J142" t="s">
        <v>515</v>
      </c>
      <c r="K142" t="s">
        <v>516</v>
      </c>
      <c r="L142">
        <v>1348</v>
      </c>
      <c r="N142">
        <v>1009</v>
      </c>
      <c r="O142" t="s">
        <v>35</v>
      </c>
      <c r="P142" t="s">
        <v>35</v>
      </c>
      <c r="Q142">
        <v>1000</v>
      </c>
      <c r="X142">
        <v>5.0000000000000002E-5</v>
      </c>
      <c r="Y142">
        <v>60697.21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</v>
      </c>
      <c r="AG142">
        <v>5.0000000000000002E-5</v>
      </c>
      <c r="AH142">
        <v>2</v>
      </c>
      <c r="AI142">
        <v>80308785</v>
      </c>
      <c r="AJ142">
        <v>148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ROW(Source!A141)</f>
        <v>141</v>
      </c>
      <c r="B143">
        <v>80308801</v>
      </c>
      <c r="C143">
        <v>80308772</v>
      </c>
      <c r="D143">
        <v>77428104</v>
      </c>
      <c r="E143">
        <v>117</v>
      </c>
      <c r="F143">
        <v>1</v>
      </c>
      <c r="G143">
        <v>1</v>
      </c>
      <c r="H143">
        <v>3</v>
      </c>
      <c r="I143" t="s">
        <v>634</v>
      </c>
      <c r="J143" t="s">
        <v>3</v>
      </c>
      <c r="K143" t="s">
        <v>635</v>
      </c>
      <c r="L143">
        <v>1371</v>
      </c>
      <c r="N143">
        <v>1013</v>
      </c>
      <c r="O143" t="s">
        <v>30</v>
      </c>
      <c r="P143" t="s">
        <v>30</v>
      </c>
      <c r="Q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 t="s">
        <v>3</v>
      </c>
      <c r="AG143">
        <v>0</v>
      </c>
      <c r="AH143">
        <v>3</v>
      </c>
      <c r="AI143">
        <v>-1</v>
      </c>
      <c r="AJ143" t="s">
        <v>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ROW(Source!A141)</f>
        <v>141</v>
      </c>
      <c r="B144">
        <v>80308802</v>
      </c>
      <c r="C144">
        <v>80308772</v>
      </c>
      <c r="D144">
        <v>77428272</v>
      </c>
      <c r="E144">
        <v>117</v>
      </c>
      <c r="F144">
        <v>1</v>
      </c>
      <c r="G144">
        <v>1</v>
      </c>
      <c r="H144">
        <v>3</v>
      </c>
      <c r="I144" t="s">
        <v>636</v>
      </c>
      <c r="J144" t="s">
        <v>3</v>
      </c>
      <c r="K144" t="s">
        <v>637</v>
      </c>
      <c r="L144">
        <v>1301</v>
      </c>
      <c r="N144">
        <v>1003</v>
      </c>
      <c r="O144" t="s">
        <v>253</v>
      </c>
      <c r="P144" t="s">
        <v>253</v>
      </c>
      <c r="Q144">
        <v>1</v>
      </c>
      <c r="X144">
        <v>100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 t="s">
        <v>3</v>
      </c>
      <c r="AG144">
        <v>100</v>
      </c>
      <c r="AH144">
        <v>3</v>
      </c>
      <c r="AI144">
        <v>-1</v>
      </c>
      <c r="AJ144" t="s">
        <v>3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ROW(Source!A141)</f>
        <v>141</v>
      </c>
      <c r="B145">
        <v>80308803</v>
      </c>
      <c r="C145">
        <v>80308772</v>
      </c>
      <c r="D145">
        <v>77428927</v>
      </c>
      <c r="E145">
        <v>117</v>
      </c>
      <c r="F145">
        <v>1</v>
      </c>
      <c r="G145">
        <v>1</v>
      </c>
      <c r="H145">
        <v>3</v>
      </c>
      <c r="I145" t="s">
        <v>638</v>
      </c>
      <c r="J145" t="s">
        <v>3</v>
      </c>
      <c r="K145" t="s">
        <v>639</v>
      </c>
      <c r="L145">
        <v>1346</v>
      </c>
      <c r="N145">
        <v>1009</v>
      </c>
      <c r="O145" t="s">
        <v>295</v>
      </c>
      <c r="P145" t="s">
        <v>295</v>
      </c>
      <c r="Q145">
        <v>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 t="s">
        <v>3</v>
      </c>
      <c r="AG145">
        <v>0</v>
      </c>
      <c r="AH145">
        <v>3</v>
      </c>
      <c r="AI145">
        <v>-1</v>
      </c>
      <c r="AJ145" t="s">
        <v>3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ROW(Source!A144)</f>
        <v>144</v>
      </c>
      <c r="B146">
        <v>80308819</v>
      </c>
      <c r="C146">
        <v>80308806</v>
      </c>
      <c r="D146">
        <v>77423786</v>
      </c>
      <c r="E146">
        <v>117</v>
      </c>
      <c r="F146">
        <v>1</v>
      </c>
      <c r="G146">
        <v>1</v>
      </c>
      <c r="H146">
        <v>1</v>
      </c>
      <c r="I146" t="s">
        <v>486</v>
      </c>
      <c r="J146" t="s">
        <v>3</v>
      </c>
      <c r="K146" t="s">
        <v>487</v>
      </c>
      <c r="L146">
        <v>1191</v>
      </c>
      <c r="N146">
        <v>1013</v>
      </c>
      <c r="O146" t="s">
        <v>449</v>
      </c>
      <c r="P146" t="s">
        <v>449</v>
      </c>
      <c r="Q146">
        <v>1</v>
      </c>
      <c r="X146">
        <v>220.4</v>
      </c>
      <c r="Y146">
        <v>0</v>
      </c>
      <c r="Z146">
        <v>0</v>
      </c>
      <c r="AA146">
        <v>0</v>
      </c>
      <c r="AB146">
        <v>722.05</v>
      </c>
      <c r="AC146">
        <v>0</v>
      </c>
      <c r="AD146">
        <v>1</v>
      </c>
      <c r="AE146">
        <v>1</v>
      </c>
      <c r="AF146" t="s">
        <v>3</v>
      </c>
      <c r="AG146">
        <v>220.4</v>
      </c>
      <c r="AH146">
        <v>2</v>
      </c>
      <c r="AI146">
        <v>80308807</v>
      </c>
      <c r="AJ146">
        <v>151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ROW(Source!A144)</f>
        <v>144</v>
      </c>
      <c r="B147">
        <v>80308820</v>
      </c>
      <c r="C147">
        <v>80308806</v>
      </c>
      <c r="D147">
        <v>77423956</v>
      </c>
      <c r="E147">
        <v>117</v>
      </c>
      <c r="F147">
        <v>1</v>
      </c>
      <c r="G147">
        <v>1</v>
      </c>
      <c r="H147">
        <v>1</v>
      </c>
      <c r="I147" t="s">
        <v>450</v>
      </c>
      <c r="J147" t="s">
        <v>3</v>
      </c>
      <c r="K147" t="s">
        <v>451</v>
      </c>
      <c r="L147">
        <v>1191</v>
      </c>
      <c r="N147">
        <v>1013</v>
      </c>
      <c r="O147" t="s">
        <v>449</v>
      </c>
      <c r="P147" t="s">
        <v>449</v>
      </c>
      <c r="Q147">
        <v>1</v>
      </c>
      <c r="X147">
        <v>1.34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2</v>
      </c>
      <c r="AF147" t="s">
        <v>3</v>
      </c>
      <c r="AG147">
        <v>1.34</v>
      </c>
      <c r="AH147">
        <v>2</v>
      </c>
      <c r="AI147">
        <v>80308808</v>
      </c>
      <c r="AJ147">
        <v>152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ROW(Source!A144)</f>
        <v>144</v>
      </c>
      <c r="B148">
        <v>80308821</v>
      </c>
      <c r="C148">
        <v>80308806</v>
      </c>
      <c r="D148">
        <v>77430632</v>
      </c>
      <c r="E148">
        <v>1</v>
      </c>
      <c r="F148">
        <v>1</v>
      </c>
      <c r="G148">
        <v>1</v>
      </c>
      <c r="H148">
        <v>2</v>
      </c>
      <c r="I148" t="s">
        <v>466</v>
      </c>
      <c r="J148" t="s">
        <v>467</v>
      </c>
      <c r="K148" t="s">
        <v>468</v>
      </c>
      <c r="L148">
        <v>1368</v>
      </c>
      <c r="N148">
        <v>1011</v>
      </c>
      <c r="O148" t="s">
        <v>455</v>
      </c>
      <c r="P148" t="s">
        <v>455</v>
      </c>
      <c r="Q148">
        <v>1</v>
      </c>
      <c r="X148">
        <v>0.67</v>
      </c>
      <c r="Y148">
        <v>0</v>
      </c>
      <c r="Z148">
        <v>37.32</v>
      </c>
      <c r="AA148">
        <v>641.22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0.67</v>
      </c>
      <c r="AH148">
        <v>2</v>
      </c>
      <c r="AI148">
        <v>80308809</v>
      </c>
      <c r="AJ148">
        <v>153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ROW(Source!A144)</f>
        <v>144</v>
      </c>
      <c r="B149">
        <v>80308822</v>
      </c>
      <c r="C149">
        <v>80308806</v>
      </c>
      <c r="D149">
        <v>77431339</v>
      </c>
      <c r="E149">
        <v>1</v>
      </c>
      <c r="F149">
        <v>1</v>
      </c>
      <c r="G149">
        <v>1</v>
      </c>
      <c r="H149">
        <v>2</v>
      </c>
      <c r="I149" t="s">
        <v>452</v>
      </c>
      <c r="J149" t="s">
        <v>453</v>
      </c>
      <c r="K149" t="s">
        <v>454</v>
      </c>
      <c r="L149">
        <v>1368</v>
      </c>
      <c r="N149">
        <v>1011</v>
      </c>
      <c r="O149" t="s">
        <v>455</v>
      </c>
      <c r="P149" t="s">
        <v>455</v>
      </c>
      <c r="Q149">
        <v>1</v>
      </c>
      <c r="X149">
        <v>0.67</v>
      </c>
      <c r="Y149">
        <v>0</v>
      </c>
      <c r="Z149">
        <v>643.29</v>
      </c>
      <c r="AA149">
        <v>722.05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0.67</v>
      </c>
      <c r="AH149">
        <v>2</v>
      </c>
      <c r="AI149">
        <v>80308810</v>
      </c>
      <c r="AJ149">
        <v>154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ROW(Source!A144)</f>
        <v>144</v>
      </c>
      <c r="B150">
        <v>80308823</v>
      </c>
      <c r="C150">
        <v>80308806</v>
      </c>
      <c r="D150">
        <v>77431497</v>
      </c>
      <c r="E150">
        <v>1</v>
      </c>
      <c r="F150">
        <v>1</v>
      </c>
      <c r="G150">
        <v>1</v>
      </c>
      <c r="H150">
        <v>2</v>
      </c>
      <c r="I150" t="s">
        <v>553</v>
      </c>
      <c r="J150" t="s">
        <v>554</v>
      </c>
      <c r="K150" t="s">
        <v>555</v>
      </c>
      <c r="L150">
        <v>1368</v>
      </c>
      <c r="N150">
        <v>1011</v>
      </c>
      <c r="O150" t="s">
        <v>455</v>
      </c>
      <c r="P150" t="s">
        <v>455</v>
      </c>
      <c r="Q150">
        <v>1</v>
      </c>
      <c r="X150">
        <v>12.8</v>
      </c>
      <c r="Y150">
        <v>0</v>
      </c>
      <c r="Z150">
        <v>4.3499999999999996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12.8</v>
      </c>
      <c r="AH150">
        <v>2</v>
      </c>
      <c r="AI150">
        <v>80308811</v>
      </c>
      <c r="AJ150">
        <v>155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ROW(Source!A144)</f>
        <v>144</v>
      </c>
      <c r="B151">
        <v>80308824</v>
      </c>
      <c r="C151">
        <v>80308806</v>
      </c>
      <c r="D151">
        <v>77431535</v>
      </c>
      <c r="E151">
        <v>1</v>
      </c>
      <c r="F151">
        <v>1</v>
      </c>
      <c r="G151">
        <v>1</v>
      </c>
      <c r="H151">
        <v>2</v>
      </c>
      <c r="I151" t="s">
        <v>477</v>
      </c>
      <c r="J151" t="s">
        <v>478</v>
      </c>
      <c r="K151" t="s">
        <v>479</v>
      </c>
      <c r="L151">
        <v>1368</v>
      </c>
      <c r="N151">
        <v>1011</v>
      </c>
      <c r="O151" t="s">
        <v>455</v>
      </c>
      <c r="P151" t="s">
        <v>455</v>
      </c>
      <c r="Q151">
        <v>1</v>
      </c>
      <c r="X151">
        <v>30.1</v>
      </c>
      <c r="Y151">
        <v>0</v>
      </c>
      <c r="Z151">
        <v>32.26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30.1</v>
      </c>
      <c r="AH151">
        <v>2</v>
      </c>
      <c r="AI151">
        <v>80308812</v>
      </c>
      <c r="AJ151">
        <v>156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ROW(Source!A144)</f>
        <v>144</v>
      </c>
      <c r="B152">
        <v>80308825</v>
      </c>
      <c r="C152">
        <v>80308806</v>
      </c>
      <c r="D152">
        <v>77496097</v>
      </c>
      <c r="E152">
        <v>1</v>
      </c>
      <c r="F152">
        <v>1</v>
      </c>
      <c r="G152">
        <v>1</v>
      </c>
      <c r="H152">
        <v>3</v>
      </c>
      <c r="I152" t="s">
        <v>488</v>
      </c>
      <c r="J152" t="s">
        <v>489</v>
      </c>
      <c r="K152" t="s">
        <v>490</v>
      </c>
      <c r="L152">
        <v>1339</v>
      </c>
      <c r="N152">
        <v>1007</v>
      </c>
      <c r="O152" t="s">
        <v>309</v>
      </c>
      <c r="P152" t="s">
        <v>309</v>
      </c>
      <c r="Q152">
        <v>1</v>
      </c>
      <c r="X152">
        <v>2.79</v>
      </c>
      <c r="Y152">
        <v>340.41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2.79</v>
      </c>
      <c r="AH152">
        <v>2</v>
      </c>
      <c r="AI152">
        <v>80308813</v>
      </c>
      <c r="AJ152">
        <v>157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ROW(Source!A144)</f>
        <v>144</v>
      </c>
      <c r="B153">
        <v>80308826</v>
      </c>
      <c r="C153">
        <v>80308806</v>
      </c>
      <c r="D153">
        <v>77496113</v>
      </c>
      <c r="E153">
        <v>1</v>
      </c>
      <c r="F153">
        <v>1</v>
      </c>
      <c r="G153">
        <v>1</v>
      </c>
      <c r="H153">
        <v>3</v>
      </c>
      <c r="I153" t="s">
        <v>491</v>
      </c>
      <c r="J153" t="s">
        <v>492</v>
      </c>
      <c r="K153" t="s">
        <v>493</v>
      </c>
      <c r="L153">
        <v>1339</v>
      </c>
      <c r="N153">
        <v>1007</v>
      </c>
      <c r="O153" t="s">
        <v>309</v>
      </c>
      <c r="P153" t="s">
        <v>309</v>
      </c>
      <c r="Q153">
        <v>1</v>
      </c>
      <c r="X153">
        <v>3.37</v>
      </c>
      <c r="Y153">
        <v>114.64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3.37</v>
      </c>
      <c r="AH153">
        <v>2</v>
      </c>
      <c r="AI153">
        <v>80308814</v>
      </c>
      <c r="AJ153">
        <v>158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ROW(Source!A144)</f>
        <v>144</v>
      </c>
      <c r="B154">
        <v>80308827</v>
      </c>
      <c r="C154">
        <v>80308806</v>
      </c>
      <c r="D154">
        <v>77498725</v>
      </c>
      <c r="E154">
        <v>1</v>
      </c>
      <c r="F154">
        <v>1</v>
      </c>
      <c r="G154">
        <v>1</v>
      </c>
      <c r="H154">
        <v>3</v>
      </c>
      <c r="I154" t="s">
        <v>556</v>
      </c>
      <c r="J154" t="s">
        <v>557</v>
      </c>
      <c r="K154" t="s">
        <v>558</v>
      </c>
      <c r="L154">
        <v>1348</v>
      </c>
      <c r="N154">
        <v>1009</v>
      </c>
      <c r="O154" t="s">
        <v>35</v>
      </c>
      <c r="P154" t="s">
        <v>35</v>
      </c>
      <c r="Q154">
        <v>1000</v>
      </c>
      <c r="X154">
        <v>1.2999999999999999E-3</v>
      </c>
      <c r="Y154">
        <v>97282.880000000005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 t="s">
        <v>3</v>
      </c>
      <c r="AG154">
        <v>1.2999999999999999E-3</v>
      </c>
      <c r="AH154">
        <v>2</v>
      </c>
      <c r="AI154">
        <v>80308815</v>
      </c>
      <c r="AJ154">
        <v>159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ROW(Source!A144)</f>
        <v>144</v>
      </c>
      <c r="B155">
        <v>80308828</v>
      </c>
      <c r="C155">
        <v>80308806</v>
      </c>
      <c r="D155">
        <v>77498850</v>
      </c>
      <c r="E155">
        <v>1</v>
      </c>
      <c r="F155">
        <v>1</v>
      </c>
      <c r="G155">
        <v>1</v>
      </c>
      <c r="H155">
        <v>3</v>
      </c>
      <c r="I155" t="s">
        <v>480</v>
      </c>
      <c r="J155" t="s">
        <v>481</v>
      </c>
      <c r="K155" t="s">
        <v>482</v>
      </c>
      <c r="L155">
        <v>1346</v>
      </c>
      <c r="N155">
        <v>1009</v>
      </c>
      <c r="O155" t="s">
        <v>295</v>
      </c>
      <c r="P155" t="s">
        <v>295</v>
      </c>
      <c r="Q155">
        <v>1</v>
      </c>
      <c r="X155">
        <v>7</v>
      </c>
      <c r="Y155">
        <v>155.63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7</v>
      </c>
      <c r="AH155">
        <v>2</v>
      </c>
      <c r="AI155">
        <v>80308816</v>
      </c>
      <c r="AJ155">
        <v>160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ROW(Source!A144)</f>
        <v>144</v>
      </c>
      <c r="B156">
        <v>80308829</v>
      </c>
      <c r="C156">
        <v>80308806</v>
      </c>
      <c r="D156">
        <v>77428104</v>
      </c>
      <c r="E156">
        <v>117</v>
      </c>
      <c r="F156">
        <v>1</v>
      </c>
      <c r="G156">
        <v>1</v>
      </c>
      <c r="H156">
        <v>3</v>
      </c>
      <c r="I156" t="s">
        <v>634</v>
      </c>
      <c r="J156" t="s">
        <v>3</v>
      </c>
      <c r="K156" t="s">
        <v>635</v>
      </c>
      <c r="L156">
        <v>1371</v>
      </c>
      <c r="N156">
        <v>1013</v>
      </c>
      <c r="O156" t="s">
        <v>30</v>
      </c>
      <c r="P156" t="s">
        <v>30</v>
      </c>
      <c r="Q156">
        <v>1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0</v>
      </c>
      <c r="AF156" t="s">
        <v>3</v>
      </c>
      <c r="AG156">
        <v>0</v>
      </c>
      <c r="AH156">
        <v>3</v>
      </c>
      <c r="AI156">
        <v>-1</v>
      </c>
      <c r="AJ156" t="s">
        <v>3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ROW(Source!A144)</f>
        <v>144</v>
      </c>
      <c r="B157">
        <v>80308830</v>
      </c>
      <c r="C157">
        <v>80308806</v>
      </c>
      <c r="D157">
        <v>77428272</v>
      </c>
      <c r="E157">
        <v>117</v>
      </c>
      <c r="F157">
        <v>1</v>
      </c>
      <c r="G157">
        <v>1</v>
      </c>
      <c r="H157">
        <v>3</v>
      </c>
      <c r="I157" t="s">
        <v>636</v>
      </c>
      <c r="J157" t="s">
        <v>3</v>
      </c>
      <c r="K157" t="s">
        <v>637</v>
      </c>
      <c r="L157">
        <v>1301</v>
      </c>
      <c r="N157">
        <v>1003</v>
      </c>
      <c r="O157" t="s">
        <v>253</v>
      </c>
      <c r="P157" t="s">
        <v>253</v>
      </c>
      <c r="Q157">
        <v>1</v>
      </c>
      <c r="X157">
        <v>100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 t="s">
        <v>3</v>
      </c>
      <c r="AG157">
        <v>100</v>
      </c>
      <c r="AH157">
        <v>3</v>
      </c>
      <c r="AI157">
        <v>-1</v>
      </c>
      <c r="AJ157" t="s">
        <v>3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ROW(Source!A144)</f>
        <v>144</v>
      </c>
      <c r="B158">
        <v>80308831</v>
      </c>
      <c r="C158">
        <v>80308806</v>
      </c>
      <c r="D158">
        <v>77428927</v>
      </c>
      <c r="E158">
        <v>117</v>
      </c>
      <c r="F158">
        <v>1</v>
      </c>
      <c r="G158">
        <v>1</v>
      </c>
      <c r="H158">
        <v>3</v>
      </c>
      <c r="I158" t="s">
        <v>638</v>
      </c>
      <c r="J158" t="s">
        <v>3</v>
      </c>
      <c r="K158" t="s">
        <v>639</v>
      </c>
      <c r="L158">
        <v>1346</v>
      </c>
      <c r="N158">
        <v>1009</v>
      </c>
      <c r="O158" t="s">
        <v>295</v>
      </c>
      <c r="P158" t="s">
        <v>295</v>
      </c>
      <c r="Q158">
        <v>1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0</v>
      </c>
      <c r="AF158" t="s">
        <v>3</v>
      </c>
      <c r="AG158">
        <v>0</v>
      </c>
      <c r="AH158">
        <v>3</v>
      </c>
      <c r="AI158">
        <v>-1</v>
      </c>
      <c r="AJ158" t="s">
        <v>3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ROW(Source!A147)</f>
        <v>147</v>
      </c>
      <c r="B159">
        <v>80308843</v>
      </c>
      <c r="C159">
        <v>80308834</v>
      </c>
      <c r="D159">
        <v>77423808</v>
      </c>
      <c r="E159">
        <v>117</v>
      </c>
      <c r="F159">
        <v>1</v>
      </c>
      <c r="G159">
        <v>1</v>
      </c>
      <c r="H159">
        <v>1</v>
      </c>
      <c r="I159" t="s">
        <v>559</v>
      </c>
      <c r="J159" t="s">
        <v>3</v>
      </c>
      <c r="K159" t="s">
        <v>560</v>
      </c>
      <c r="L159">
        <v>1191</v>
      </c>
      <c r="N159">
        <v>1013</v>
      </c>
      <c r="O159" t="s">
        <v>449</v>
      </c>
      <c r="P159" t="s">
        <v>449</v>
      </c>
      <c r="Q159">
        <v>1</v>
      </c>
      <c r="X159">
        <v>5.31</v>
      </c>
      <c r="Y159">
        <v>0</v>
      </c>
      <c r="Z159">
        <v>0</v>
      </c>
      <c r="AA159">
        <v>0</v>
      </c>
      <c r="AB159">
        <v>797.48</v>
      </c>
      <c r="AC159">
        <v>0</v>
      </c>
      <c r="AD159">
        <v>1</v>
      </c>
      <c r="AE159">
        <v>1</v>
      </c>
      <c r="AF159" t="s">
        <v>278</v>
      </c>
      <c r="AG159">
        <v>12.212999999999997</v>
      </c>
      <c r="AH159">
        <v>2</v>
      </c>
      <c r="AI159">
        <v>80308835</v>
      </c>
      <c r="AJ159">
        <v>163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ROW(Source!A147)</f>
        <v>147</v>
      </c>
      <c r="B160">
        <v>80308844</v>
      </c>
      <c r="C160">
        <v>80308834</v>
      </c>
      <c r="D160">
        <v>77423956</v>
      </c>
      <c r="E160">
        <v>117</v>
      </c>
      <c r="F160">
        <v>1</v>
      </c>
      <c r="G160">
        <v>1</v>
      </c>
      <c r="H160">
        <v>1</v>
      </c>
      <c r="I160" t="s">
        <v>450</v>
      </c>
      <c r="J160" t="s">
        <v>3</v>
      </c>
      <c r="K160" t="s">
        <v>451</v>
      </c>
      <c r="L160">
        <v>1191</v>
      </c>
      <c r="N160">
        <v>1013</v>
      </c>
      <c r="O160" t="s">
        <v>449</v>
      </c>
      <c r="P160" t="s">
        <v>449</v>
      </c>
      <c r="Q160">
        <v>1</v>
      </c>
      <c r="X160">
        <v>0.02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2</v>
      </c>
      <c r="AF160" t="s">
        <v>277</v>
      </c>
      <c r="AG160">
        <v>0.05</v>
      </c>
      <c r="AH160">
        <v>2</v>
      </c>
      <c r="AI160">
        <v>80308836</v>
      </c>
      <c r="AJ160">
        <v>164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ROW(Source!A147)</f>
        <v>147</v>
      </c>
      <c r="B161">
        <v>80308845</v>
      </c>
      <c r="C161">
        <v>80308834</v>
      </c>
      <c r="D161">
        <v>77430584</v>
      </c>
      <c r="E161">
        <v>1</v>
      </c>
      <c r="F161">
        <v>1</v>
      </c>
      <c r="G161">
        <v>1</v>
      </c>
      <c r="H161">
        <v>2</v>
      </c>
      <c r="I161" t="s">
        <v>561</v>
      </c>
      <c r="J161" t="s">
        <v>562</v>
      </c>
      <c r="K161" t="s">
        <v>563</v>
      </c>
      <c r="L161">
        <v>1368</v>
      </c>
      <c r="N161">
        <v>1011</v>
      </c>
      <c r="O161" t="s">
        <v>455</v>
      </c>
      <c r="P161" t="s">
        <v>455</v>
      </c>
      <c r="Q161">
        <v>1</v>
      </c>
      <c r="X161">
        <v>0.01</v>
      </c>
      <c r="Y161">
        <v>0</v>
      </c>
      <c r="Z161">
        <v>6.62</v>
      </c>
      <c r="AA161">
        <v>0</v>
      </c>
      <c r="AB161">
        <v>0</v>
      </c>
      <c r="AC161">
        <v>0</v>
      </c>
      <c r="AD161">
        <v>1</v>
      </c>
      <c r="AE161">
        <v>0</v>
      </c>
      <c r="AF161" t="s">
        <v>277</v>
      </c>
      <c r="AG161">
        <v>2.5000000000000001E-2</v>
      </c>
      <c r="AH161">
        <v>2</v>
      </c>
      <c r="AI161">
        <v>80308837</v>
      </c>
      <c r="AJ161">
        <v>165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ROW(Source!A147)</f>
        <v>147</v>
      </c>
      <c r="B162">
        <v>80308846</v>
      </c>
      <c r="C162">
        <v>80308834</v>
      </c>
      <c r="D162">
        <v>77430602</v>
      </c>
      <c r="E162">
        <v>1</v>
      </c>
      <c r="F162">
        <v>1</v>
      </c>
      <c r="G162">
        <v>1</v>
      </c>
      <c r="H162">
        <v>2</v>
      </c>
      <c r="I162" t="s">
        <v>564</v>
      </c>
      <c r="J162" t="s">
        <v>565</v>
      </c>
      <c r="K162" t="s">
        <v>566</v>
      </c>
      <c r="L162">
        <v>1368</v>
      </c>
      <c r="N162">
        <v>1011</v>
      </c>
      <c r="O162" t="s">
        <v>455</v>
      </c>
      <c r="P162" t="s">
        <v>455</v>
      </c>
      <c r="Q162">
        <v>1</v>
      </c>
      <c r="X162">
        <v>0.01</v>
      </c>
      <c r="Y162">
        <v>0</v>
      </c>
      <c r="Z162">
        <v>1593.71</v>
      </c>
      <c r="AA162">
        <v>829.81</v>
      </c>
      <c r="AB162">
        <v>0</v>
      </c>
      <c r="AC162">
        <v>0</v>
      </c>
      <c r="AD162">
        <v>1</v>
      </c>
      <c r="AE162">
        <v>0</v>
      </c>
      <c r="AF162" t="s">
        <v>277</v>
      </c>
      <c r="AG162">
        <v>2.5000000000000001E-2</v>
      </c>
      <c r="AH162">
        <v>2</v>
      </c>
      <c r="AI162">
        <v>80308838</v>
      </c>
      <c r="AJ162">
        <v>166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ROW(Source!A147)</f>
        <v>147</v>
      </c>
      <c r="B163">
        <v>80308847</v>
      </c>
      <c r="C163">
        <v>80308834</v>
      </c>
      <c r="D163">
        <v>77431339</v>
      </c>
      <c r="E163">
        <v>1</v>
      </c>
      <c r="F163">
        <v>1</v>
      </c>
      <c r="G163">
        <v>1</v>
      </c>
      <c r="H163">
        <v>2</v>
      </c>
      <c r="I163" t="s">
        <v>452</v>
      </c>
      <c r="J163" t="s">
        <v>453</v>
      </c>
      <c r="K163" t="s">
        <v>454</v>
      </c>
      <c r="L163">
        <v>1368</v>
      </c>
      <c r="N163">
        <v>1011</v>
      </c>
      <c r="O163" t="s">
        <v>455</v>
      </c>
      <c r="P163" t="s">
        <v>455</v>
      </c>
      <c r="Q163">
        <v>1</v>
      </c>
      <c r="X163">
        <v>0.01</v>
      </c>
      <c r="Y163">
        <v>0</v>
      </c>
      <c r="Z163">
        <v>643.29</v>
      </c>
      <c r="AA163">
        <v>722.05</v>
      </c>
      <c r="AB163">
        <v>0</v>
      </c>
      <c r="AC163">
        <v>0</v>
      </c>
      <c r="AD163">
        <v>1</v>
      </c>
      <c r="AE163">
        <v>0</v>
      </c>
      <c r="AF163" t="s">
        <v>277</v>
      </c>
      <c r="AG163">
        <v>2.5000000000000001E-2</v>
      </c>
      <c r="AH163">
        <v>2</v>
      </c>
      <c r="AI163">
        <v>80308839</v>
      </c>
      <c r="AJ163">
        <v>167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ROW(Source!A147)</f>
        <v>147</v>
      </c>
      <c r="B164">
        <v>80308848</v>
      </c>
      <c r="C164">
        <v>80308834</v>
      </c>
      <c r="D164">
        <v>77431896</v>
      </c>
      <c r="E164">
        <v>1</v>
      </c>
      <c r="F164">
        <v>1</v>
      </c>
      <c r="G164">
        <v>1</v>
      </c>
      <c r="H164">
        <v>2</v>
      </c>
      <c r="I164" t="s">
        <v>568</v>
      </c>
      <c r="J164" t="s">
        <v>569</v>
      </c>
      <c r="K164" t="s">
        <v>570</v>
      </c>
      <c r="L164">
        <v>1368</v>
      </c>
      <c r="N164">
        <v>1011</v>
      </c>
      <c r="O164" t="s">
        <v>455</v>
      </c>
      <c r="P164" t="s">
        <v>455</v>
      </c>
      <c r="Q164">
        <v>1</v>
      </c>
      <c r="X164">
        <v>1.1200000000000001</v>
      </c>
      <c r="Y164">
        <v>0</v>
      </c>
      <c r="Z164">
        <v>4.5199999999999996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277</v>
      </c>
      <c r="AG164">
        <v>2.8000000000000003</v>
      </c>
      <c r="AH164">
        <v>2</v>
      </c>
      <c r="AI164">
        <v>80308840</v>
      </c>
      <c r="AJ164">
        <v>168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ROW(Source!A147)</f>
        <v>147</v>
      </c>
      <c r="B165">
        <v>80308849</v>
      </c>
      <c r="C165">
        <v>80308834</v>
      </c>
      <c r="D165">
        <v>77516680</v>
      </c>
      <c r="E165">
        <v>1</v>
      </c>
      <c r="F165">
        <v>1</v>
      </c>
      <c r="G165">
        <v>1</v>
      </c>
      <c r="H165">
        <v>3</v>
      </c>
      <c r="I165" t="s">
        <v>571</v>
      </c>
      <c r="J165" t="s">
        <v>572</v>
      </c>
      <c r="K165" t="s">
        <v>573</v>
      </c>
      <c r="L165">
        <v>1348</v>
      </c>
      <c r="N165">
        <v>1009</v>
      </c>
      <c r="O165" t="s">
        <v>35</v>
      </c>
      <c r="P165" t="s">
        <v>35</v>
      </c>
      <c r="Q165">
        <v>1000</v>
      </c>
      <c r="X165">
        <v>8.9999999999999993E-3</v>
      </c>
      <c r="Y165">
        <v>51280.15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276</v>
      </c>
      <c r="AG165">
        <v>1.7999999999999999E-2</v>
      </c>
      <c r="AH165">
        <v>2</v>
      </c>
      <c r="AI165">
        <v>80308841</v>
      </c>
      <c r="AJ165">
        <v>169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ROW(Source!A147)</f>
        <v>147</v>
      </c>
      <c r="B166">
        <v>80308850</v>
      </c>
      <c r="C166">
        <v>80308834</v>
      </c>
      <c r="D166">
        <v>77517151</v>
      </c>
      <c r="E166">
        <v>1</v>
      </c>
      <c r="F166">
        <v>1</v>
      </c>
      <c r="G166">
        <v>1</v>
      </c>
      <c r="H166">
        <v>3</v>
      </c>
      <c r="I166" t="s">
        <v>574</v>
      </c>
      <c r="J166" t="s">
        <v>575</v>
      </c>
      <c r="K166" t="s">
        <v>576</v>
      </c>
      <c r="L166">
        <v>1348</v>
      </c>
      <c r="N166">
        <v>1009</v>
      </c>
      <c r="O166" t="s">
        <v>35</v>
      </c>
      <c r="P166" t="s">
        <v>35</v>
      </c>
      <c r="Q166">
        <v>1000</v>
      </c>
      <c r="X166">
        <v>1.5E-3</v>
      </c>
      <c r="Y166">
        <v>75885.63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276</v>
      </c>
      <c r="AG166">
        <v>3.0000000000000001E-3</v>
      </c>
      <c r="AH166">
        <v>2</v>
      </c>
      <c r="AI166">
        <v>80308842</v>
      </c>
      <c r="AJ166">
        <v>170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ROW(Source!A148)</f>
        <v>148</v>
      </c>
      <c r="B167">
        <v>80308859</v>
      </c>
      <c r="C167">
        <v>80308851</v>
      </c>
      <c r="D167">
        <v>77423768</v>
      </c>
      <c r="E167">
        <v>117</v>
      </c>
      <c r="F167">
        <v>1</v>
      </c>
      <c r="G167">
        <v>1</v>
      </c>
      <c r="H167">
        <v>1</v>
      </c>
      <c r="I167" t="s">
        <v>577</v>
      </c>
      <c r="J167" t="s">
        <v>3</v>
      </c>
      <c r="K167" t="s">
        <v>578</v>
      </c>
      <c r="L167">
        <v>1191</v>
      </c>
      <c r="N167">
        <v>1013</v>
      </c>
      <c r="O167" t="s">
        <v>449</v>
      </c>
      <c r="P167" t="s">
        <v>449</v>
      </c>
      <c r="Q167">
        <v>1</v>
      </c>
      <c r="X167">
        <v>36.9</v>
      </c>
      <c r="Y167">
        <v>0</v>
      </c>
      <c r="Z167">
        <v>0</v>
      </c>
      <c r="AA167">
        <v>0</v>
      </c>
      <c r="AB167">
        <v>665.47</v>
      </c>
      <c r="AC167">
        <v>0</v>
      </c>
      <c r="AD167">
        <v>1</v>
      </c>
      <c r="AE167">
        <v>1</v>
      </c>
      <c r="AF167" t="s">
        <v>49</v>
      </c>
      <c r="AG167">
        <v>42.434999999999995</v>
      </c>
      <c r="AH167">
        <v>2</v>
      </c>
      <c r="AI167">
        <v>80308852</v>
      </c>
      <c r="AJ167">
        <v>171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ROW(Source!A148)</f>
        <v>148</v>
      </c>
      <c r="B168">
        <v>80308860</v>
      </c>
      <c r="C168">
        <v>80308851</v>
      </c>
      <c r="D168">
        <v>77423956</v>
      </c>
      <c r="E168">
        <v>117</v>
      </c>
      <c r="F168">
        <v>1</v>
      </c>
      <c r="G168">
        <v>1</v>
      </c>
      <c r="H168">
        <v>1</v>
      </c>
      <c r="I168" t="s">
        <v>450</v>
      </c>
      <c r="J168" t="s">
        <v>3</v>
      </c>
      <c r="K168" t="s">
        <v>451</v>
      </c>
      <c r="L168">
        <v>1191</v>
      </c>
      <c r="N168">
        <v>1013</v>
      </c>
      <c r="O168" t="s">
        <v>449</v>
      </c>
      <c r="P168" t="s">
        <v>449</v>
      </c>
      <c r="Q168">
        <v>1</v>
      </c>
      <c r="X168">
        <v>0.04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2</v>
      </c>
      <c r="AF168" t="s">
        <v>48</v>
      </c>
      <c r="AG168">
        <v>0.05</v>
      </c>
      <c r="AH168">
        <v>2</v>
      </c>
      <c r="AI168">
        <v>80308853</v>
      </c>
      <c r="AJ168">
        <v>172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ROW(Source!A148)</f>
        <v>148</v>
      </c>
      <c r="B169">
        <v>80308861</v>
      </c>
      <c r="C169">
        <v>80308851</v>
      </c>
      <c r="D169">
        <v>77430632</v>
      </c>
      <c r="E169">
        <v>1</v>
      </c>
      <c r="F169">
        <v>1</v>
      </c>
      <c r="G169">
        <v>1</v>
      </c>
      <c r="H169">
        <v>2</v>
      </c>
      <c r="I169" t="s">
        <v>466</v>
      </c>
      <c r="J169" t="s">
        <v>467</v>
      </c>
      <c r="K169" t="s">
        <v>468</v>
      </c>
      <c r="L169">
        <v>1368</v>
      </c>
      <c r="N169">
        <v>1011</v>
      </c>
      <c r="O169" t="s">
        <v>455</v>
      </c>
      <c r="P169" t="s">
        <v>455</v>
      </c>
      <c r="Q169">
        <v>1</v>
      </c>
      <c r="X169">
        <v>0.01</v>
      </c>
      <c r="Y169">
        <v>0</v>
      </c>
      <c r="Z169">
        <v>37.32</v>
      </c>
      <c r="AA169">
        <v>641.22</v>
      </c>
      <c r="AB169">
        <v>0</v>
      </c>
      <c r="AC169">
        <v>0</v>
      </c>
      <c r="AD169">
        <v>1</v>
      </c>
      <c r="AE169">
        <v>0</v>
      </c>
      <c r="AF169" t="s">
        <v>48</v>
      </c>
      <c r="AG169">
        <v>1.2500000000000001E-2</v>
      </c>
      <c r="AH169">
        <v>2</v>
      </c>
      <c r="AI169">
        <v>80308854</v>
      </c>
      <c r="AJ169">
        <v>173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ROW(Source!A148)</f>
        <v>148</v>
      </c>
      <c r="B170">
        <v>80308862</v>
      </c>
      <c r="C170">
        <v>80308851</v>
      </c>
      <c r="D170">
        <v>77431339</v>
      </c>
      <c r="E170">
        <v>1</v>
      </c>
      <c r="F170">
        <v>1</v>
      </c>
      <c r="G170">
        <v>1</v>
      </c>
      <c r="H170">
        <v>2</v>
      </c>
      <c r="I170" t="s">
        <v>452</v>
      </c>
      <c r="J170" t="s">
        <v>453</v>
      </c>
      <c r="K170" t="s">
        <v>454</v>
      </c>
      <c r="L170">
        <v>1368</v>
      </c>
      <c r="N170">
        <v>1011</v>
      </c>
      <c r="O170" t="s">
        <v>455</v>
      </c>
      <c r="P170" t="s">
        <v>455</v>
      </c>
      <c r="Q170">
        <v>1</v>
      </c>
      <c r="X170">
        <v>0.03</v>
      </c>
      <c r="Y170">
        <v>0</v>
      </c>
      <c r="Z170">
        <v>643.29</v>
      </c>
      <c r="AA170">
        <v>722.05</v>
      </c>
      <c r="AB170">
        <v>0</v>
      </c>
      <c r="AC170">
        <v>0</v>
      </c>
      <c r="AD170">
        <v>1</v>
      </c>
      <c r="AE170">
        <v>0</v>
      </c>
      <c r="AF170" t="s">
        <v>48</v>
      </c>
      <c r="AG170">
        <v>3.7499999999999999E-2</v>
      </c>
      <c r="AH170">
        <v>2</v>
      </c>
      <c r="AI170">
        <v>80308855</v>
      </c>
      <c r="AJ170">
        <v>174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ROW(Source!A148)</f>
        <v>148</v>
      </c>
      <c r="B171">
        <v>80308863</v>
      </c>
      <c r="C171">
        <v>80308851</v>
      </c>
      <c r="D171">
        <v>77500752</v>
      </c>
      <c r="E171">
        <v>1</v>
      </c>
      <c r="F171">
        <v>1</v>
      </c>
      <c r="G171">
        <v>1</v>
      </c>
      <c r="H171">
        <v>3</v>
      </c>
      <c r="I171" t="s">
        <v>579</v>
      </c>
      <c r="J171" t="s">
        <v>580</v>
      </c>
      <c r="K171" t="s">
        <v>581</v>
      </c>
      <c r="L171">
        <v>1346</v>
      </c>
      <c r="N171">
        <v>1009</v>
      </c>
      <c r="O171" t="s">
        <v>295</v>
      </c>
      <c r="P171" t="s">
        <v>295</v>
      </c>
      <c r="Q171">
        <v>1</v>
      </c>
      <c r="X171">
        <v>0.3</v>
      </c>
      <c r="Y171">
        <v>56.11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3</v>
      </c>
      <c r="AG171">
        <v>0.3</v>
      </c>
      <c r="AH171">
        <v>2</v>
      </c>
      <c r="AI171">
        <v>80308856</v>
      </c>
      <c r="AJ171">
        <v>175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ROW(Source!A148)</f>
        <v>148</v>
      </c>
      <c r="B172">
        <v>80308864</v>
      </c>
      <c r="C172">
        <v>80308851</v>
      </c>
      <c r="D172">
        <v>77427696</v>
      </c>
      <c r="E172">
        <v>117</v>
      </c>
      <c r="F172">
        <v>1</v>
      </c>
      <c r="G172">
        <v>1</v>
      </c>
      <c r="H172">
        <v>3</v>
      </c>
      <c r="I172" t="s">
        <v>640</v>
      </c>
      <c r="J172" t="s">
        <v>3</v>
      </c>
      <c r="K172" t="s">
        <v>641</v>
      </c>
      <c r="L172">
        <v>1346</v>
      </c>
      <c r="N172">
        <v>1009</v>
      </c>
      <c r="O172" t="s">
        <v>295</v>
      </c>
      <c r="P172" t="s">
        <v>295</v>
      </c>
      <c r="Q172">
        <v>1</v>
      </c>
      <c r="X172">
        <v>24.6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t="s">
        <v>3</v>
      </c>
      <c r="AG172">
        <v>24.6</v>
      </c>
      <c r="AH172">
        <v>3</v>
      </c>
      <c r="AI172">
        <v>-1</v>
      </c>
      <c r="AJ172" t="s">
        <v>3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ROW(Source!A148)</f>
        <v>148</v>
      </c>
      <c r="B173">
        <v>80308865</v>
      </c>
      <c r="C173">
        <v>80308851</v>
      </c>
      <c r="D173">
        <v>77517068</v>
      </c>
      <c r="E173">
        <v>1</v>
      </c>
      <c r="F173">
        <v>1</v>
      </c>
      <c r="G173">
        <v>1</v>
      </c>
      <c r="H173">
        <v>3</v>
      </c>
      <c r="I173" t="s">
        <v>582</v>
      </c>
      <c r="J173" t="s">
        <v>583</v>
      </c>
      <c r="K173" t="s">
        <v>584</v>
      </c>
      <c r="L173">
        <v>1346</v>
      </c>
      <c r="N173">
        <v>1009</v>
      </c>
      <c r="O173" t="s">
        <v>295</v>
      </c>
      <c r="P173" t="s">
        <v>295</v>
      </c>
      <c r="Q173">
        <v>1</v>
      </c>
      <c r="X173">
        <v>2.7</v>
      </c>
      <c r="Y173">
        <v>133.31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</v>
      </c>
      <c r="AG173">
        <v>2.7</v>
      </c>
      <c r="AH173">
        <v>2</v>
      </c>
      <c r="AI173">
        <v>80308857</v>
      </c>
      <c r="AJ173">
        <v>177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ROW(Source!A150)</f>
        <v>150</v>
      </c>
      <c r="B174">
        <v>80308869</v>
      </c>
      <c r="C174">
        <v>80308867</v>
      </c>
      <c r="D174">
        <v>77423752</v>
      </c>
      <c r="E174">
        <v>117</v>
      </c>
      <c r="F174">
        <v>1</v>
      </c>
      <c r="G174">
        <v>1</v>
      </c>
      <c r="H174">
        <v>1</v>
      </c>
      <c r="I174" t="s">
        <v>585</v>
      </c>
      <c r="J174" t="s">
        <v>3</v>
      </c>
      <c r="K174" t="s">
        <v>586</v>
      </c>
      <c r="L174">
        <v>1191</v>
      </c>
      <c r="N174">
        <v>1013</v>
      </c>
      <c r="O174" t="s">
        <v>449</v>
      </c>
      <c r="P174" t="s">
        <v>449</v>
      </c>
      <c r="Q174">
        <v>1</v>
      </c>
      <c r="X174">
        <v>19.100000000000001</v>
      </c>
      <c r="Y174">
        <v>0</v>
      </c>
      <c r="Z174">
        <v>0</v>
      </c>
      <c r="AA174">
        <v>0</v>
      </c>
      <c r="AB174">
        <v>625.04999999999995</v>
      </c>
      <c r="AC174">
        <v>0</v>
      </c>
      <c r="AD174">
        <v>1</v>
      </c>
      <c r="AE174">
        <v>1</v>
      </c>
      <c r="AF174" t="s">
        <v>3</v>
      </c>
      <c r="AG174">
        <v>19.100000000000001</v>
      </c>
      <c r="AH174">
        <v>2</v>
      </c>
      <c r="AI174">
        <v>80308868</v>
      </c>
      <c r="AJ174">
        <v>178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ROW(Source!A151)</f>
        <v>151</v>
      </c>
      <c r="B175">
        <v>80308881</v>
      </c>
      <c r="C175">
        <v>80308870</v>
      </c>
      <c r="D175">
        <v>77423774</v>
      </c>
      <c r="E175">
        <v>117</v>
      </c>
      <c r="F175">
        <v>1</v>
      </c>
      <c r="G175">
        <v>1</v>
      </c>
      <c r="H175">
        <v>1</v>
      </c>
      <c r="I175" t="s">
        <v>587</v>
      </c>
      <c r="J175" t="s">
        <v>3</v>
      </c>
      <c r="K175" t="s">
        <v>588</v>
      </c>
      <c r="L175">
        <v>1191</v>
      </c>
      <c r="N175">
        <v>1013</v>
      </c>
      <c r="O175" t="s">
        <v>449</v>
      </c>
      <c r="P175" t="s">
        <v>449</v>
      </c>
      <c r="Q175">
        <v>1</v>
      </c>
      <c r="X175">
        <v>18.45</v>
      </c>
      <c r="Y175">
        <v>0</v>
      </c>
      <c r="Z175">
        <v>0</v>
      </c>
      <c r="AA175">
        <v>0</v>
      </c>
      <c r="AB175">
        <v>689.72</v>
      </c>
      <c r="AC175">
        <v>0</v>
      </c>
      <c r="AD175">
        <v>1</v>
      </c>
      <c r="AE175">
        <v>1</v>
      </c>
      <c r="AF175" t="s">
        <v>49</v>
      </c>
      <c r="AG175">
        <v>21.217499999999998</v>
      </c>
      <c r="AH175">
        <v>2</v>
      </c>
      <c r="AI175">
        <v>80308871</v>
      </c>
      <c r="AJ175">
        <v>179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ROW(Source!A151)</f>
        <v>151</v>
      </c>
      <c r="B176">
        <v>80308882</v>
      </c>
      <c r="C176">
        <v>80308870</v>
      </c>
      <c r="D176">
        <v>77423956</v>
      </c>
      <c r="E176">
        <v>117</v>
      </c>
      <c r="F176">
        <v>1</v>
      </c>
      <c r="G176">
        <v>1</v>
      </c>
      <c r="H176">
        <v>1</v>
      </c>
      <c r="I176" t="s">
        <v>450</v>
      </c>
      <c r="J176" t="s">
        <v>3</v>
      </c>
      <c r="K176" t="s">
        <v>451</v>
      </c>
      <c r="L176">
        <v>1191</v>
      </c>
      <c r="N176">
        <v>1013</v>
      </c>
      <c r="O176" t="s">
        <v>449</v>
      </c>
      <c r="P176" t="s">
        <v>449</v>
      </c>
      <c r="Q176">
        <v>1</v>
      </c>
      <c r="X176">
        <v>0.37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2</v>
      </c>
      <c r="AF176" t="s">
        <v>48</v>
      </c>
      <c r="AG176">
        <v>0.46250000000000002</v>
      </c>
      <c r="AH176">
        <v>2</v>
      </c>
      <c r="AI176">
        <v>80308872</v>
      </c>
      <c r="AJ176">
        <v>180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ROW(Source!A151)</f>
        <v>151</v>
      </c>
      <c r="B177">
        <v>80308883</v>
      </c>
      <c r="C177">
        <v>80308870</v>
      </c>
      <c r="D177">
        <v>77431339</v>
      </c>
      <c r="E177">
        <v>1</v>
      </c>
      <c r="F177">
        <v>1</v>
      </c>
      <c r="G177">
        <v>1</v>
      </c>
      <c r="H177">
        <v>2</v>
      </c>
      <c r="I177" t="s">
        <v>452</v>
      </c>
      <c r="J177" t="s">
        <v>453</v>
      </c>
      <c r="K177" t="s">
        <v>454</v>
      </c>
      <c r="L177">
        <v>1368</v>
      </c>
      <c r="N177">
        <v>1011</v>
      </c>
      <c r="O177" t="s">
        <v>455</v>
      </c>
      <c r="P177" t="s">
        <v>455</v>
      </c>
      <c r="Q177">
        <v>1</v>
      </c>
      <c r="X177">
        <v>0.37</v>
      </c>
      <c r="Y177">
        <v>0</v>
      </c>
      <c r="Z177">
        <v>643.29</v>
      </c>
      <c r="AA177">
        <v>722.05</v>
      </c>
      <c r="AB177">
        <v>0</v>
      </c>
      <c r="AC177">
        <v>0</v>
      </c>
      <c r="AD177">
        <v>1</v>
      </c>
      <c r="AE177">
        <v>0</v>
      </c>
      <c r="AF177" t="s">
        <v>48</v>
      </c>
      <c r="AG177">
        <v>0.46250000000000002</v>
      </c>
      <c r="AH177">
        <v>2</v>
      </c>
      <c r="AI177">
        <v>80308873</v>
      </c>
      <c r="AJ177">
        <v>181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ROW(Source!A151)</f>
        <v>151</v>
      </c>
      <c r="B178">
        <v>80308884</v>
      </c>
      <c r="C178">
        <v>80308870</v>
      </c>
      <c r="D178">
        <v>77432088</v>
      </c>
      <c r="E178">
        <v>1</v>
      </c>
      <c r="F178">
        <v>1</v>
      </c>
      <c r="G178">
        <v>1</v>
      </c>
      <c r="H178">
        <v>2</v>
      </c>
      <c r="I178" t="s">
        <v>589</v>
      </c>
      <c r="J178" t="s">
        <v>590</v>
      </c>
      <c r="K178" t="s">
        <v>591</v>
      </c>
      <c r="L178">
        <v>1368</v>
      </c>
      <c r="N178">
        <v>1011</v>
      </c>
      <c r="O178" t="s">
        <v>455</v>
      </c>
      <c r="P178" t="s">
        <v>455</v>
      </c>
      <c r="Q178">
        <v>1</v>
      </c>
      <c r="X178">
        <v>1.18</v>
      </c>
      <c r="Y178">
        <v>0</v>
      </c>
      <c r="Z178">
        <v>21.39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48</v>
      </c>
      <c r="AG178">
        <v>1.4749999999999999</v>
      </c>
      <c r="AH178">
        <v>2</v>
      </c>
      <c r="AI178">
        <v>80308874</v>
      </c>
      <c r="AJ178">
        <v>182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ROW(Source!A151)</f>
        <v>151</v>
      </c>
      <c r="B179">
        <v>80308885</v>
      </c>
      <c r="C179">
        <v>80308870</v>
      </c>
      <c r="D179">
        <v>77499974</v>
      </c>
      <c r="E179">
        <v>1</v>
      </c>
      <c r="F179">
        <v>1</v>
      </c>
      <c r="G179">
        <v>1</v>
      </c>
      <c r="H179">
        <v>3</v>
      </c>
      <c r="I179" t="s">
        <v>592</v>
      </c>
      <c r="J179" t="s">
        <v>593</v>
      </c>
      <c r="K179" t="s">
        <v>594</v>
      </c>
      <c r="L179">
        <v>1348</v>
      </c>
      <c r="N179">
        <v>1009</v>
      </c>
      <c r="O179" t="s">
        <v>35</v>
      </c>
      <c r="P179" t="s">
        <v>35</v>
      </c>
      <c r="Q179">
        <v>1000</v>
      </c>
      <c r="X179">
        <v>4.0000000000000003E-5</v>
      </c>
      <c r="Y179">
        <v>263215.45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4.0000000000000003E-5</v>
      </c>
      <c r="AH179">
        <v>2</v>
      </c>
      <c r="AI179">
        <v>80308875</v>
      </c>
      <c r="AJ179">
        <v>183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ROW(Source!A151)</f>
        <v>151</v>
      </c>
      <c r="B180">
        <v>80308886</v>
      </c>
      <c r="C180">
        <v>80308870</v>
      </c>
      <c r="D180">
        <v>77506748</v>
      </c>
      <c r="E180">
        <v>1</v>
      </c>
      <c r="F180">
        <v>1</v>
      </c>
      <c r="G180">
        <v>1</v>
      </c>
      <c r="H180">
        <v>3</v>
      </c>
      <c r="I180" t="s">
        <v>595</v>
      </c>
      <c r="J180" t="s">
        <v>596</v>
      </c>
      <c r="K180" t="s">
        <v>597</v>
      </c>
      <c r="L180">
        <v>1348</v>
      </c>
      <c r="N180">
        <v>1009</v>
      </c>
      <c r="O180" t="s">
        <v>35</v>
      </c>
      <c r="P180" t="s">
        <v>35</v>
      </c>
      <c r="Q180">
        <v>1000</v>
      </c>
      <c r="X180">
        <v>1.09E-2</v>
      </c>
      <c r="Y180">
        <v>89073.2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 t="s">
        <v>3</v>
      </c>
      <c r="AG180">
        <v>1.09E-2</v>
      </c>
      <c r="AH180">
        <v>2</v>
      </c>
      <c r="AI180">
        <v>80308876</v>
      </c>
      <c r="AJ180">
        <v>184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ROW(Source!A151)</f>
        <v>151</v>
      </c>
      <c r="B181">
        <v>80308887</v>
      </c>
      <c r="C181">
        <v>80308870</v>
      </c>
      <c r="D181">
        <v>77506800</v>
      </c>
      <c r="E181">
        <v>1</v>
      </c>
      <c r="F181">
        <v>1</v>
      </c>
      <c r="G181">
        <v>1</v>
      </c>
      <c r="H181">
        <v>3</v>
      </c>
      <c r="I181" t="s">
        <v>598</v>
      </c>
      <c r="J181" t="s">
        <v>599</v>
      </c>
      <c r="K181" t="s">
        <v>600</v>
      </c>
      <c r="L181">
        <v>1348</v>
      </c>
      <c r="N181">
        <v>1009</v>
      </c>
      <c r="O181" t="s">
        <v>35</v>
      </c>
      <c r="P181" t="s">
        <v>35</v>
      </c>
      <c r="Q181">
        <v>1000</v>
      </c>
      <c r="X181">
        <v>1.1000000000000001E-3</v>
      </c>
      <c r="Y181">
        <v>129575.7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1.1000000000000001E-3</v>
      </c>
      <c r="AH181">
        <v>2</v>
      </c>
      <c r="AI181">
        <v>80308877</v>
      </c>
      <c r="AJ181">
        <v>185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ROW(Source!A151)</f>
        <v>151</v>
      </c>
      <c r="B182">
        <v>80308888</v>
      </c>
      <c r="C182">
        <v>80308870</v>
      </c>
      <c r="D182">
        <v>77506801</v>
      </c>
      <c r="E182">
        <v>1</v>
      </c>
      <c r="F182">
        <v>1</v>
      </c>
      <c r="G182">
        <v>1</v>
      </c>
      <c r="H182">
        <v>3</v>
      </c>
      <c r="I182" t="s">
        <v>601</v>
      </c>
      <c r="J182" t="s">
        <v>602</v>
      </c>
      <c r="K182" t="s">
        <v>603</v>
      </c>
      <c r="L182">
        <v>1348</v>
      </c>
      <c r="N182">
        <v>1009</v>
      </c>
      <c r="O182" t="s">
        <v>35</v>
      </c>
      <c r="P182" t="s">
        <v>35</v>
      </c>
      <c r="Q182">
        <v>1000</v>
      </c>
      <c r="X182">
        <v>4.0000000000000001E-3</v>
      </c>
      <c r="Y182">
        <v>87245.7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3</v>
      </c>
      <c r="AG182">
        <v>4.0000000000000001E-3</v>
      </c>
      <c r="AH182">
        <v>2</v>
      </c>
      <c r="AI182">
        <v>80308878</v>
      </c>
      <c r="AJ182">
        <v>186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ROW(Source!A151)</f>
        <v>151</v>
      </c>
      <c r="B183">
        <v>80308889</v>
      </c>
      <c r="C183">
        <v>80308870</v>
      </c>
      <c r="D183">
        <v>77506958</v>
      </c>
      <c r="E183">
        <v>1</v>
      </c>
      <c r="F183">
        <v>1</v>
      </c>
      <c r="G183">
        <v>1</v>
      </c>
      <c r="H183">
        <v>3</v>
      </c>
      <c r="I183" t="s">
        <v>604</v>
      </c>
      <c r="J183" t="s">
        <v>605</v>
      </c>
      <c r="K183" t="s">
        <v>606</v>
      </c>
      <c r="L183">
        <v>1348</v>
      </c>
      <c r="N183">
        <v>1009</v>
      </c>
      <c r="O183" t="s">
        <v>35</v>
      </c>
      <c r="P183" t="s">
        <v>35</v>
      </c>
      <c r="Q183">
        <v>1000</v>
      </c>
      <c r="X183">
        <v>3.9E-2</v>
      </c>
      <c r="Y183">
        <v>75628.100000000006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 t="s">
        <v>3</v>
      </c>
      <c r="AG183">
        <v>3.9E-2</v>
      </c>
      <c r="AH183">
        <v>2</v>
      </c>
      <c r="AI183">
        <v>80308879</v>
      </c>
      <c r="AJ183">
        <v>187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ROW(Source!A151)</f>
        <v>151</v>
      </c>
      <c r="B184">
        <v>80308890</v>
      </c>
      <c r="C184">
        <v>80308870</v>
      </c>
      <c r="D184">
        <v>77427419</v>
      </c>
      <c r="E184">
        <v>117</v>
      </c>
      <c r="F184">
        <v>1</v>
      </c>
      <c r="G184">
        <v>1</v>
      </c>
      <c r="H184">
        <v>3</v>
      </c>
      <c r="I184" t="s">
        <v>642</v>
      </c>
      <c r="J184" t="s">
        <v>3</v>
      </c>
      <c r="K184" t="s">
        <v>643</v>
      </c>
      <c r="L184">
        <v>1339</v>
      </c>
      <c r="N184">
        <v>1007</v>
      </c>
      <c r="O184" t="s">
        <v>309</v>
      </c>
      <c r="P184" t="s">
        <v>309</v>
      </c>
      <c r="Q184">
        <v>1</v>
      </c>
      <c r="X184">
        <v>1.032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 t="s">
        <v>3</v>
      </c>
      <c r="AG184">
        <v>1.032</v>
      </c>
      <c r="AH184">
        <v>3</v>
      </c>
      <c r="AI184">
        <v>-1</v>
      </c>
      <c r="AJ184" t="s">
        <v>3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ROW(Source!A153)</f>
        <v>153</v>
      </c>
      <c r="B185">
        <v>80308894</v>
      </c>
      <c r="C185">
        <v>80308892</v>
      </c>
      <c r="D185">
        <v>77423762</v>
      </c>
      <c r="E185">
        <v>117</v>
      </c>
      <c r="F185">
        <v>1</v>
      </c>
      <c r="G185">
        <v>1</v>
      </c>
      <c r="H185">
        <v>1</v>
      </c>
      <c r="I185" t="s">
        <v>464</v>
      </c>
      <c r="J185" t="s">
        <v>3</v>
      </c>
      <c r="K185" t="s">
        <v>465</v>
      </c>
      <c r="L185">
        <v>1191</v>
      </c>
      <c r="N185">
        <v>1013</v>
      </c>
      <c r="O185" t="s">
        <v>449</v>
      </c>
      <c r="P185" t="s">
        <v>449</v>
      </c>
      <c r="Q185">
        <v>1</v>
      </c>
      <c r="X185">
        <v>1.27</v>
      </c>
      <c r="Y185">
        <v>0</v>
      </c>
      <c r="Z185">
        <v>0</v>
      </c>
      <c r="AA185">
        <v>0</v>
      </c>
      <c r="AB185">
        <v>641.22</v>
      </c>
      <c r="AC185">
        <v>0</v>
      </c>
      <c r="AD185">
        <v>1</v>
      </c>
      <c r="AE185">
        <v>1</v>
      </c>
      <c r="AF185" t="s">
        <v>3</v>
      </c>
      <c r="AG185">
        <v>1.27</v>
      </c>
      <c r="AH185">
        <v>2</v>
      </c>
      <c r="AI185">
        <v>80308893</v>
      </c>
      <c r="AJ185">
        <v>189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ROW(Source!A154)</f>
        <v>154</v>
      </c>
      <c r="B186">
        <v>80308908</v>
      </c>
      <c r="C186">
        <v>80308895</v>
      </c>
      <c r="D186">
        <v>77423786</v>
      </c>
      <c r="E186">
        <v>117</v>
      </c>
      <c r="F186">
        <v>1</v>
      </c>
      <c r="G186">
        <v>1</v>
      </c>
      <c r="H186">
        <v>1</v>
      </c>
      <c r="I186" t="s">
        <v>486</v>
      </c>
      <c r="J186" t="s">
        <v>3</v>
      </c>
      <c r="K186" t="s">
        <v>487</v>
      </c>
      <c r="L186">
        <v>1191</v>
      </c>
      <c r="N186">
        <v>1013</v>
      </c>
      <c r="O186" t="s">
        <v>449</v>
      </c>
      <c r="P186" t="s">
        <v>449</v>
      </c>
      <c r="Q186">
        <v>1</v>
      </c>
      <c r="X186">
        <v>62</v>
      </c>
      <c r="Y186">
        <v>0</v>
      </c>
      <c r="Z186">
        <v>0</v>
      </c>
      <c r="AA186">
        <v>0</v>
      </c>
      <c r="AB186">
        <v>722.05</v>
      </c>
      <c r="AC186">
        <v>0</v>
      </c>
      <c r="AD186">
        <v>1</v>
      </c>
      <c r="AE186">
        <v>1</v>
      </c>
      <c r="AF186" t="s">
        <v>73</v>
      </c>
      <c r="AG186">
        <v>18.599999999999998</v>
      </c>
      <c r="AH186">
        <v>2</v>
      </c>
      <c r="AI186">
        <v>80308896</v>
      </c>
      <c r="AJ186">
        <v>190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ROW(Source!A154)</f>
        <v>154</v>
      </c>
      <c r="B187">
        <v>80308909</v>
      </c>
      <c r="C187">
        <v>80308895</v>
      </c>
      <c r="D187">
        <v>77423956</v>
      </c>
      <c r="E187">
        <v>117</v>
      </c>
      <c r="F187">
        <v>1</v>
      </c>
      <c r="G187">
        <v>1</v>
      </c>
      <c r="H187">
        <v>1</v>
      </c>
      <c r="I187" t="s">
        <v>450</v>
      </c>
      <c r="J187" t="s">
        <v>3</v>
      </c>
      <c r="K187" t="s">
        <v>451</v>
      </c>
      <c r="L187">
        <v>1191</v>
      </c>
      <c r="N187">
        <v>1013</v>
      </c>
      <c r="O187" t="s">
        <v>449</v>
      </c>
      <c r="P187" t="s">
        <v>449</v>
      </c>
      <c r="Q187">
        <v>1</v>
      </c>
      <c r="X187">
        <v>1.3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2</v>
      </c>
      <c r="AF187" t="s">
        <v>73</v>
      </c>
      <c r="AG187">
        <v>0.39</v>
      </c>
      <c r="AH187">
        <v>2</v>
      </c>
      <c r="AI187">
        <v>80308897</v>
      </c>
      <c r="AJ187">
        <v>191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ROW(Source!A154)</f>
        <v>154</v>
      </c>
      <c r="B188">
        <v>80308910</v>
      </c>
      <c r="C188">
        <v>80308895</v>
      </c>
      <c r="D188">
        <v>77430445</v>
      </c>
      <c r="E188">
        <v>1</v>
      </c>
      <c r="F188">
        <v>1</v>
      </c>
      <c r="G188">
        <v>1</v>
      </c>
      <c r="H188">
        <v>2</v>
      </c>
      <c r="I188" t="s">
        <v>474</v>
      </c>
      <c r="J188" t="s">
        <v>475</v>
      </c>
      <c r="K188" t="s">
        <v>476</v>
      </c>
      <c r="L188">
        <v>1368</v>
      </c>
      <c r="N188">
        <v>1011</v>
      </c>
      <c r="O188" t="s">
        <v>455</v>
      </c>
      <c r="P188" t="s">
        <v>455</v>
      </c>
      <c r="Q188">
        <v>1</v>
      </c>
      <c r="X188">
        <v>0.65</v>
      </c>
      <c r="Y188">
        <v>0</v>
      </c>
      <c r="Z188">
        <v>1629.55</v>
      </c>
      <c r="AA188">
        <v>969.91</v>
      </c>
      <c r="AB188">
        <v>0</v>
      </c>
      <c r="AC188">
        <v>0</v>
      </c>
      <c r="AD188">
        <v>1</v>
      </c>
      <c r="AE188">
        <v>0</v>
      </c>
      <c r="AF188" t="s">
        <v>73</v>
      </c>
      <c r="AG188">
        <v>0.19500000000000001</v>
      </c>
      <c r="AH188">
        <v>2</v>
      </c>
      <c r="AI188">
        <v>80308898</v>
      </c>
      <c r="AJ188">
        <v>192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ROW(Source!A154)</f>
        <v>154</v>
      </c>
      <c r="B189">
        <v>80308911</v>
      </c>
      <c r="C189">
        <v>80308895</v>
      </c>
      <c r="D189">
        <v>77430579</v>
      </c>
      <c r="E189">
        <v>1</v>
      </c>
      <c r="F189">
        <v>1</v>
      </c>
      <c r="G189">
        <v>1</v>
      </c>
      <c r="H189">
        <v>2</v>
      </c>
      <c r="I189" t="s">
        <v>607</v>
      </c>
      <c r="J189" t="s">
        <v>608</v>
      </c>
      <c r="K189" t="s">
        <v>609</v>
      </c>
      <c r="L189">
        <v>1368</v>
      </c>
      <c r="N189">
        <v>1011</v>
      </c>
      <c r="O189" t="s">
        <v>455</v>
      </c>
      <c r="P189" t="s">
        <v>455</v>
      </c>
      <c r="Q189">
        <v>1</v>
      </c>
      <c r="X189">
        <v>0.95</v>
      </c>
      <c r="Y189">
        <v>0</v>
      </c>
      <c r="Z189">
        <v>11.45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73</v>
      </c>
      <c r="AG189">
        <v>0.28499999999999998</v>
      </c>
      <c r="AH189">
        <v>2</v>
      </c>
      <c r="AI189">
        <v>80308899</v>
      </c>
      <c r="AJ189">
        <v>193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ROW(Source!A154)</f>
        <v>154</v>
      </c>
      <c r="B190">
        <v>80308912</v>
      </c>
      <c r="C190">
        <v>80308895</v>
      </c>
      <c r="D190">
        <v>77430645</v>
      </c>
      <c r="E190">
        <v>1</v>
      </c>
      <c r="F190">
        <v>1</v>
      </c>
      <c r="G190">
        <v>1</v>
      </c>
      <c r="H190">
        <v>2</v>
      </c>
      <c r="I190" t="s">
        <v>610</v>
      </c>
      <c r="J190" t="s">
        <v>611</v>
      </c>
      <c r="K190" t="s">
        <v>612</v>
      </c>
      <c r="L190">
        <v>1368</v>
      </c>
      <c r="N190">
        <v>1011</v>
      </c>
      <c r="O190" t="s">
        <v>455</v>
      </c>
      <c r="P190" t="s">
        <v>455</v>
      </c>
      <c r="Q190">
        <v>1</v>
      </c>
      <c r="X190">
        <v>11.1</v>
      </c>
      <c r="Y190">
        <v>0</v>
      </c>
      <c r="Z190">
        <v>5.47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73</v>
      </c>
      <c r="AG190">
        <v>3.3299999999999996</v>
      </c>
      <c r="AH190">
        <v>2</v>
      </c>
      <c r="AI190">
        <v>80308900</v>
      </c>
      <c r="AJ190">
        <v>194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ROW(Source!A154)</f>
        <v>154</v>
      </c>
      <c r="B191">
        <v>80308913</v>
      </c>
      <c r="C191">
        <v>80308895</v>
      </c>
      <c r="D191">
        <v>77431339</v>
      </c>
      <c r="E191">
        <v>1</v>
      </c>
      <c r="F191">
        <v>1</v>
      </c>
      <c r="G191">
        <v>1</v>
      </c>
      <c r="H191">
        <v>2</v>
      </c>
      <c r="I191" t="s">
        <v>452</v>
      </c>
      <c r="J191" t="s">
        <v>453</v>
      </c>
      <c r="K191" t="s">
        <v>454</v>
      </c>
      <c r="L191">
        <v>1368</v>
      </c>
      <c r="N191">
        <v>1011</v>
      </c>
      <c r="O191" t="s">
        <v>455</v>
      </c>
      <c r="P191" t="s">
        <v>455</v>
      </c>
      <c r="Q191">
        <v>1</v>
      </c>
      <c r="X191">
        <v>0.65</v>
      </c>
      <c r="Y191">
        <v>0</v>
      </c>
      <c r="Z191">
        <v>643.29</v>
      </c>
      <c r="AA191">
        <v>722.05</v>
      </c>
      <c r="AB191">
        <v>0</v>
      </c>
      <c r="AC191">
        <v>0</v>
      </c>
      <c r="AD191">
        <v>1</v>
      </c>
      <c r="AE191">
        <v>0</v>
      </c>
      <c r="AF191" t="s">
        <v>73</v>
      </c>
      <c r="AG191">
        <v>0.19500000000000001</v>
      </c>
      <c r="AH191">
        <v>2</v>
      </c>
      <c r="AI191">
        <v>80308901</v>
      </c>
      <c r="AJ191">
        <v>195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ROW(Source!A154)</f>
        <v>154</v>
      </c>
      <c r="B192">
        <v>80308914</v>
      </c>
      <c r="C192">
        <v>80308895</v>
      </c>
      <c r="D192">
        <v>77431535</v>
      </c>
      <c r="E192">
        <v>1</v>
      </c>
      <c r="F192">
        <v>1</v>
      </c>
      <c r="G192">
        <v>1</v>
      </c>
      <c r="H192">
        <v>2</v>
      </c>
      <c r="I192" t="s">
        <v>477</v>
      </c>
      <c r="J192" t="s">
        <v>478</v>
      </c>
      <c r="K192" t="s">
        <v>479</v>
      </c>
      <c r="L192">
        <v>1368</v>
      </c>
      <c r="N192">
        <v>1011</v>
      </c>
      <c r="O192" t="s">
        <v>455</v>
      </c>
      <c r="P192" t="s">
        <v>455</v>
      </c>
      <c r="Q192">
        <v>1</v>
      </c>
      <c r="X192">
        <v>7.5</v>
      </c>
      <c r="Y192">
        <v>0</v>
      </c>
      <c r="Z192">
        <v>32.26</v>
      </c>
      <c r="AA192">
        <v>0</v>
      </c>
      <c r="AB192">
        <v>0</v>
      </c>
      <c r="AC192">
        <v>0</v>
      </c>
      <c r="AD192">
        <v>1</v>
      </c>
      <c r="AE192">
        <v>0</v>
      </c>
      <c r="AF192" t="s">
        <v>73</v>
      </c>
      <c r="AG192">
        <v>2.25</v>
      </c>
      <c r="AH192">
        <v>2</v>
      </c>
      <c r="AI192">
        <v>80308902</v>
      </c>
      <c r="AJ192">
        <v>196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ROW(Source!A154)</f>
        <v>154</v>
      </c>
      <c r="B193">
        <v>80308915</v>
      </c>
      <c r="C193">
        <v>80308895</v>
      </c>
      <c r="D193">
        <v>77496097</v>
      </c>
      <c r="E193">
        <v>1</v>
      </c>
      <c r="F193">
        <v>1</v>
      </c>
      <c r="G193">
        <v>1</v>
      </c>
      <c r="H193">
        <v>3</v>
      </c>
      <c r="I193" t="s">
        <v>488</v>
      </c>
      <c r="J193" t="s">
        <v>489</v>
      </c>
      <c r="K193" t="s">
        <v>490</v>
      </c>
      <c r="L193">
        <v>1339</v>
      </c>
      <c r="N193">
        <v>1007</v>
      </c>
      <c r="O193" t="s">
        <v>309</v>
      </c>
      <c r="P193" t="s">
        <v>309</v>
      </c>
      <c r="Q193">
        <v>1</v>
      </c>
      <c r="X193">
        <v>0.154</v>
      </c>
      <c r="Y193">
        <v>340.41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72</v>
      </c>
      <c r="AG193">
        <v>0</v>
      </c>
      <c r="AH193">
        <v>2</v>
      </c>
      <c r="AI193">
        <v>80308903</v>
      </c>
      <c r="AJ193">
        <v>197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ROW(Source!A154)</f>
        <v>154</v>
      </c>
      <c r="B194">
        <v>80308916</v>
      </c>
      <c r="C194">
        <v>80308895</v>
      </c>
      <c r="D194">
        <v>77496113</v>
      </c>
      <c r="E194">
        <v>1</v>
      </c>
      <c r="F194">
        <v>1</v>
      </c>
      <c r="G194">
        <v>1</v>
      </c>
      <c r="H194">
        <v>3</v>
      </c>
      <c r="I194" t="s">
        <v>491</v>
      </c>
      <c r="J194" t="s">
        <v>492</v>
      </c>
      <c r="K194" t="s">
        <v>493</v>
      </c>
      <c r="L194">
        <v>1339</v>
      </c>
      <c r="N194">
        <v>1007</v>
      </c>
      <c r="O194" t="s">
        <v>309</v>
      </c>
      <c r="P194" t="s">
        <v>309</v>
      </c>
      <c r="Q194">
        <v>1</v>
      </c>
      <c r="X194">
        <v>0.7</v>
      </c>
      <c r="Y194">
        <v>114.64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72</v>
      </c>
      <c r="AG194">
        <v>0</v>
      </c>
      <c r="AH194">
        <v>2</v>
      </c>
      <c r="AI194">
        <v>80308904</v>
      </c>
      <c r="AJ194">
        <v>198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ROW(Source!A154)</f>
        <v>154</v>
      </c>
      <c r="B195">
        <v>80308917</v>
      </c>
      <c r="C195">
        <v>80308895</v>
      </c>
      <c r="D195">
        <v>77498109</v>
      </c>
      <c r="E195">
        <v>1</v>
      </c>
      <c r="F195">
        <v>1</v>
      </c>
      <c r="G195">
        <v>1</v>
      </c>
      <c r="H195">
        <v>3</v>
      </c>
      <c r="I195" t="s">
        <v>613</v>
      </c>
      <c r="J195" t="s">
        <v>614</v>
      </c>
      <c r="K195" t="s">
        <v>615</v>
      </c>
      <c r="L195">
        <v>1383</v>
      </c>
      <c r="N195">
        <v>1013</v>
      </c>
      <c r="O195" t="s">
        <v>616</v>
      </c>
      <c r="P195" t="s">
        <v>616</v>
      </c>
      <c r="Q195">
        <v>1</v>
      </c>
      <c r="X195">
        <v>1.71</v>
      </c>
      <c r="Y195">
        <v>6.78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72</v>
      </c>
      <c r="AG195">
        <v>0</v>
      </c>
      <c r="AH195">
        <v>2</v>
      </c>
      <c r="AI195">
        <v>80308905</v>
      </c>
      <c r="AJ195">
        <v>199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ROW(Source!A154)</f>
        <v>154</v>
      </c>
      <c r="B196">
        <v>80308918</v>
      </c>
      <c r="C196">
        <v>80308895</v>
      </c>
      <c r="D196">
        <v>77498792</v>
      </c>
      <c r="E196">
        <v>1</v>
      </c>
      <c r="F196">
        <v>1</v>
      </c>
      <c r="G196">
        <v>1</v>
      </c>
      <c r="H196">
        <v>3</v>
      </c>
      <c r="I196" t="s">
        <v>617</v>
      </c>
      <c r="J196" t="s">
        <v>618</v>
      </c>
      <c r="K196" t="s">
        <v>619</v>
      </c>
      <c r="L196">
        <v>1348</v>
      </c>
      <c r="N196">
        <v>1009</v>
      </c>
      <c r="O196" t="s">
        <v>35</v>
      </c>
      <c r="P196" t="s">
        <v>35</v>
      </c>
      <c r="Q196">
        <v>1000</v>
      </c>
      <c r="X196">
        <v>2.7399999999999998E-3</v>
      </c>
      <c r="Y196">
        <v>158259.47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72</v>
      </c>
      <c r="AG196">
        <v>0</v>
      </c>
      <c r="AH196">
        <v>2</v>
      </c>
      <c r="AI196">
        <v>80308906</v>
      </c>
      <c r="AJ196">
        <v>200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ROW(Source!A154)</f>
        <v>154</v>
      </c>
      <c r="B197">
        <v>80308919</v>
      </c>
      <c r="C197">
        <v>80308895</v>
      </c>
      <c r="D197">
        <v>77429790</v>
      </c>
      <c r="E197">
        <v>117</v>
      </c>
      <c r="F197">
        <v>1</v>
      </c>
      <c r="G197">
        <v>1</v>
      </c>
      <c r="H197">
        <v>3</v>
      </c>
      <c r="I197" t="s">
        <v>81</v>
      </c>
      <c r="J197" t="s">
        <v>3</v>
      </c>
      <c r="K197" t="s">
        <v>82</v>
      </c>
      <c r="L197">
        <v>3277935</v>
      </c>
      <c r="N197">
        <v>1013</v>
      </c>
      <c r="O197" t="s">
        <v>83</v>
      </c>
      <c r="P197" t="s">
        <v>83</v>
      </c>
      <c r="Q197">
        <v>1</v>
      </c>
      <c r="X197">
        <v>2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 t="s">
        <v>72</v>
      </c>
      <c r="AG197">
        <v>0</v>
      </c>
      <c r="AH197">
        <v>2</v>
      </c>
      <c r="AI197">
        <v>80308907</v>
      </c>
      <c r="AJ197">
        <v>201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ROW(Source!A156)</f>
        <v>156</v>
      </c>
      <c r="B198">
        <v>80308934</v>
      </c>
      <c r="C198">
        <v>80308921</v>
      </c>
      <c r="D198">
        <v>77423786</v>
      </c>
      <c r="E198">
        <v>117</v>
      </c>
      <c r="F198">
        <v>1</v>
      </c>
      <c r="G198">
        <v>1</v>
      </c>
      <c r="H198">
        <v>1</v>
      </c>
      <c r="I198" t="s">
        <v>486</v>
      </c>
      <c r="J198" t="s">
        <v>3</v>
      </c>
      <c r="K198" t="s">
        <v>487</v>
      </c>
      <c r="L198">
        <v>1191</v>
      </c>
      <c r="N198">
        <v>1013</v>
      </c>
      <c r="O198" t="s">
        <v>449</v>
      </c>
      <c r="P198" t="s">
        <v>449</v>
      </c>
      <c r="Q198">
        <v>1</v>
      </c>
      <c r="X198">
        <v>62</v>
      </c>
      <c r="Y198">
        <v>0</v>
      </c>
      <c r="Z198">
        <v>0</v>
      </c>
      <c r="AA198">
        <v>0</v>
      </c>
      <c r="AB198">
        <v>722.05</v>
      </c>
      <c r="AC198">
        <v>0</v>
      </c>
      <c r="AD198">
        <v>1</v>
      </c>
      <c r="AE198">
        <v>1</v>
      </c>
      <c r="AF198" t="s">
        <v>3</v>
      </c>
      <c r="AG198">
        <v>62</v>
      </c>
      <c r="AH198">
        <v>2</v>
      </c>
      <c r="AI198">
        <v>80308922</v>
      </c>
      <c r="AJ198">
        <v>202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ROW(Source!A156)</f>
        <v>156</v>
      </c>
      <c r="B199">
        <v>80308935</v>
      </c>
      <c r="C199">
        <v>80308921</v>
      </c>
      <c r="D199">
        <v>77423956</v>
      </c>
      <c r="E199">
        <v>117</v>
      </c>
      <c r="F199">
        <v>1</v>
      </c>
      <c r="G199">
        <v>1</v>
      </c>
      <c r="H199">
        <v>1</v>
      </c>
      <c r="I199" t="s">
        <v>450</v>
      </c>
      <c r="J199" t="s">
        <v>3</v>
      </c>
      <c r="K199" t="s">
        <v>451</v>
      </c>
      <c r="L199">
        <v>1191</v>
      </c>
      <c r="N199">
        <v>1013</v>
      </c>
      <c r="O199" t="s">
        <v>449</v>
      </c>
      <c r="P199" t="s">
        <v>449</v>
      </c>
      <c r="Q199">
        <v>1</v>
      </c>
      <c r="X199">
        <v>1.3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2</v>
      </c>
      <c r="AF199" t="s">
        <v>3</v>
      </c>
      <c r="AG199">
        <v>1.3</v>
      </c>
      <c r="AH199">
        <v>2</v>
      </c>
      <c r="AI199">
        <v>80308923</v>
      </c>
      <c r="AJ199">
        <v>203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ROW(Source!A156)</f>
        <v>156</v>
      </c>
      <c r="B200">
        <v>80308936</v>
      </c>
      <c r="C200">
        <v>80308921</v>
      </c>
      <c r="D200">
        <v>77430445</v>
      </c>
      <c r="E200">
        <v>1</v>
      </c>
      <c r="F200">
        <v>1</v>
      </c>
      <c r="G200">
        <v>1</v>
      </c>
      <c r="H200">
        <v>2</v>
      </c>
      <c r="I200" t="s">
        <v>474</v>
      </c>
      <c r="J200" t="s">
        <v>475</v>
      </c>
      <c r="K200" t="s">
        <v>476</v>
      </c>
      <c r="L200">
        <v>1368</v>
      </c>
      <c r="N200">
        <v>1011</v>
      </c>
      <c r="O200" t="s">
        <v>455</v>
      </c>
      <c r="P200" t="s">
        <v>455</v>
      </c>
      <c r="Q200">
        <v>1</v>
      </c>
      <c r="X200">
        <v>0.65</v>
      </c>
      <c r="Y200">
        <v>0</v>
      </c>
      <c r="Z200">
        <v>1629.55</v>
      </c>
      <c r="AA200">
        <v>969.91</v>
      </c>
      <c r="AB200">
        <v>0</v>
      </c>
      <c r="AC200">
        <v>0</v>
      </c>
      <c r="AD200">
        <v>1</v>
      </c>
      <c r="AE200">
        <v>0</v>
      </c>
      <c r="AF200" t="s">
        <v>3</v>
      </c>
      <c r="AG200">
        <v>0.65</v>
      </c>
      <c r="AH200">
        <v>2</v>
      </c>
      <c r="AI200">
        <v>80308924</v>
      </c>
      <c r="AJ200">
        <v>204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ROW(Source!A156)</f>
        <v>156</v>
      </c>
      <c r="B201">
        <v>80308937</v>
      </c>
      <c r="C201">
        <v>80308921</v>
      </c>
      <c r="D201">
        <v>77430579</v>
      </c>
      <c r="E201">
        <v>1</v>
      </c>
      <c r="F201">
        <v>1</v>
      </c>
      <c r="G201">
        <v>1</v>
      </c>
      <c r="H201">
        <v>2</v>
      </c>
      <c r="I201" t="s">
        <v>607</v>
      </c>
      <c r="J201" t="s">
        <v>608</v>
      </c>
      <c r="K201" t="s">
        <v>609</v>
      </c>
      <c r="L201">
        <v>1368</v>
      </c>
      <c r="N201">
        <v>1011</v>
      </c>
      <c r="O201" t="s">
        <v>455</v>
      </c>
      <c r="P201" t="s">
        <v>455</v>
      </c>
      <c r="Q201">
        <v>1</v>
      </c>
      <c r="X201">
        <v>0.95</v>
      </c>
      <c r="Y201">
        <v>0</v>
      </c>
      <c r="Z201">
        <v>11.45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0.95</v>
      </c>
      <c r="AH201">
        <v>2</v>
      </c>
      <c r="AI201">
        <v>80308925</v>
      </c>
      <c r="AJ201">
        <v>205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ROW(Source!A156)</f>
        <v>156</v>
      </c>
      <c r="B202">
        <v>80308938</v>
      </c>
      <c r="C202">
        <v>80308921</v>
      </c>
      <c r="D202">
        <v>77430645</v>
      </c>
      <c r="E202">
        <v>1</v>
      </c>
      <c r="F202">
        <v>1</v>
      </c>
      <c r="G202">
        <v>1</v>
      </c>
      <c r="H202">
        <v>2</v>
      </c>
      <c r="I202" t="s">
        <v>610</v>
      </c>
      <c r="J202" t="s">
        <v>611</v>
      </c>
      <c r="K202" t="s">
        <v>612</v>
      </c>
      <c r="L202">
        <v>1368</v>
      </c>
      <c r="N202">
        <v>1011</v>
      </c>
      <c r="O202" t="s">
        <v>455</v>
      </c>
      <c r="P202" t="s">
        <v>455</v>
      </c>
      <c r="Q202">
        <v>1</v>
      </c>
      <c r="X202">
        <v>11.1</v>
      </c>
      <c r="Y202">
        <v>0</v>
      </c>
      <c r="Z202">
        <v>5.47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3</v>
      </c>
      <c r="AG202">
        <v>11.1</v>
      </c>
      <c r="AH202">
        <v>2</v>
      </c>
      <c r="AI202">
        <v>80308926</v>
      </c>
      <c r="AJ202">
        <v>206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ROW(Source!A156)</f>
        <v>156</v>
      </c>
      <c r="B203">
        <v>80308939</v>
      </c>
      <c r="C203">
        <v>80308921</v>
      </c>
      <c r="D203">
        <v>77431339</v>
      </c>
      <c r="E203">
        <v>1</v>
      </c>
      <c r="F203">
        <v>1</v>
      </c>
      <c r="G203">
        <v>1</v>
      </c>
      <c r="H203">
        <v>2</v>
      </c>
      <c r="I203" t="s">
        <v>452</v>
      </c>
      <c r="J203" t="s">
        <v>453</v>
      </c>
      <c r="K203" t="s">
        <v>454</v>
      </c>
      <c r="L203">
        <v>1368</v>
      </c>
      <c r="N203">
        <v>1011</v>
      </c>
      <c r="O203" t="s">
        <v>455</v>
      </c>
      <c r="P203" t="s">
        <v>455</v>
      </c>
      <c r="Q203">
        <v>1</v>
      </c>
      <c r="X203">
        <v>0.65</v>
      </c>
      <c r="Y203">
        <v>0</v>
      </c>
      <c r="Z203">
        <v>643.29</v>
      </c>
      <c r="AA203">
        <v>722.05</v>
      </c>
      <c r="AB203">
        <v>0</v>
      </c>
      <c r="AC203">
        <v>0</v>
      </c>
      <c r="AD203">
        <v>1</v>
      </c>
      <c r="AE203">
        <v>0</v>
      </c>
      <c r="AF203" t="s">
        <v>3</v>
      </c>
      <c r="AG203">
        <v>0.65</v>
      </c>
      <c r="AH203">
        <v>2</v>
      </c>
      <c r="AI203">
        <v>80308927</v>
      </c>
      <c r="AJ203">
        <v>207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ROW(Source!A156)</f>
        <v>156</v>
      </c>
      <c r="B204">
        <v>80308940</v>
      </c>
      <c r="C204">
        <v>80308921</v>
      </c>
      <c r="D204">
        <v>77431535</v>
      </c>
      <c r="E204">
        <v>1</v>
      </c>
      <c r="F204">
        <v>1</v>
      </c>
      <c r="G204">
        <v>1</v>
      </c>
      <c r="H204">
        <v>2</v>
      </c>
      <c r="I204" t="s">
        <v>477</v>
      </c>
      <c r="J204" t="s">
        <v>478</v>
      </c>
      <c r="K204" t="s">
        <v>479</v>
      </c>
      <c r="L204">
        <v>1368</v>
      </c>
      <c r="N204">
        <v>1011</v>
      </c>
      <c r="O204" t="s">
        <v>455</v>
      </c>
      <c r="P204" t="s">
        <v>455</v>
      </c>
      <c r="Q204">
        <v>1</v>
      </c>
      <c r="X204">
        <v>7.5</v>
      </c>
      <c r="Y204">
        <v>0</v>
      </c>
      <c r="Z204">
        <v>32.26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7.5</v>
      </c>
      <c r="AH204">
        <v>2</v>
      </c>
      <c r="AI204">
        <v>80308928</v>
      </c>
      <c r="AJ204">
        <v>208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ROW(Source!A156)</f>
        <v>156</v>
      </c>
      <c r="B205">
        <v>80308941</v>
      </c>
      <c r="C205">
        <v>80308921</v>
      </c>
      <c r="D205">
        <v>77496097</v>
      </c>
      <c r="E205">
        <v>1</v>
      </c>
      <c r="F205">
        <v>1</v>
      </c>
      <c r="G205">
        <v>1</v>
      </c>
      <c r="H205">
        <v>3</v>
      </c>
      <c r="I205" t="s">
        <v>488</v>
      </c>
      <c r="J205" t="s">
        <v>489</v>
      </c>
      <c r="K205" t="s">
        <v>490</v>
      </c>
      <c r="L205">
        <v>1339</v>
      </c>
      <c r="N205">
        <v>1007</v>
      </c>
      <c r="O205" t="s">
        <v>309</v>
      </c>
      <c r="P205" t="s">
        <v>309</v>
      </c>
      <c r="Q205">
        <v>1</v>
      </c>
      <c r="X205">
        <v>0.154</v>
      </c>
      <c r="Y205">
        <v>340.41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 t="s">
        <v>3</v>
      </c>
      <c r="AG205">
        <v>0.154</v>
      </c>
      <c r="AH205">
        <v>2</v>
      </c>
      <c r="AI205">
        <v>80308929</v>
      </c>
      <c r="AJ205">
        <v>209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ROW(Source!A156)</f>
        <v>156</v>
      </c>
      <c r="B206">
        <v>80308942</v>
      </c>
      <c r="C206">
        <v>80308921</v>
      </c>
      <c r="D206">
        <v>77496113</v>
      </c>
      <c r="E206">
        <v>1</v>
      </c>
      <c r="F206">
        <v>1</v>
      </c>
      <c r="G206">
        <v>1</v>
      </c>
      <c r="H206">
        <v>3</v>
      </c>
      <c r="I206" t="s">
        <v>491</v>
      </c>
      <c r="J206" t="s">
        <v>492</v>
      </c>
      <c r="K206" t="s">
        <v>493</v>
      </c>
      <c r="L206">
        <v>1339</v>
      </c>
      <c r="N206">
        <v>1007</v>
      </c>
      <c r="O206" t="s">
        <v>309</v>
      </c>
      <c r="P206" t="s">
        <v>309</v>
      </c>
      <c r="Q206">
        <v>1</v>
      </c>
      <c r="X206">
        <v>0.7</v>
      </c>
      <c r="Y206">
        <v>114.64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</v>
      </c>
      <c r="AG206">
        <v>0.7</v>
      </c>
      <c r="AH206">
        <v>2</v>
      </c>
      <c r="AI206">
        <v>80308930</v>
      </c>
      <c r="AJ206">
        <v>210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ROW(Source!A156)</f>
        <v>156</v>
      </c>
      <c r="B207">
        <v>80308943</v>
      </c>
      <c r="C207">
        <v>80308921</v>
      </c>
      <c r="D207">
        <v>77498109</v>
      </c>
      <c r="E207">
        <v>1</v>
      </c>
      <c r="F207">
        <v>1</v>
      </c>
      <c r="G207">
        <v>1</v>
      </c>
      <c r="H207">
        <v>3</v>
      </c>
      <c r="I207" t="s">
        <v>613</v>
      </c>
      <c r="J207" t="s">
        <v>614</v>
      </c>
      <c r="K207" t="s">
        <v>615</v>
      </c>
      <c r="L207">
        <v>1383</v>
      </c>
      <c r="N207">
        <v>1013</v>
      </c>
      <c r="O207" t="s">
        <v>616</v>
      </c>
      <c r="P207" t="s">
        <v>616</v>
      </c>
      <c r="Q207">
        <v>1</v>
      </c>
      <c r="X207">
        <v>1.71</v>
      </c>
      <c r="Y207">
        <v>6.78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</v>
      </c>
      <c r="AG207">
        <v>1.71</v>
      </c>
      <c r="AH207">
        <v>2</v>
      </c>
      <c r="AI207">
        <v>80308931</v>
      </c>
      <c r="AJ207">
        <v>211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ROW(Source!A156)</f>
        <v>156</v>
      </c>
      <c r="B208">
        <v>80308944</v>
      </c>
      <c r="C208">
        <v>80308921</v>
      </c>
      <c r="D208">
        <v>77498792</v>
      </c>
      <c r="E208">
        <v>1</v>
      </c>
      <c r="F208">
        <v>1</v>
      </c>
      <c r="G208">
        <v>1</v>
      </c>
      <c r="H208">
        <v>3</v>
      </c>
      <c r="I208" t="s">
        <v>617</v>
      </c>
      <c r="J208" t="s">
        <v>618</v>
      </c>
      <c r="K208" t="s">
        <v>619</v>
      </c>
      <c r="L208">
        <v>1348</v>
      </c>
      <c r="N208">
        <v>1009</v>
      </c>
      <c r="O208" t="s">
        <v>35</v>
      </c>
      <c r="P208" t="s">
        <v>35</v>
      </c>
      <c r="Q208">
        <v>1000</v>
      </c>
      <c r="X208">
        <v>2.7399999999999998E-3</v>
      </c>
      <c r="Y208">
        <v>158259.47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3</v>
      </c>
      <c r="AG208">
        <v>2.7399999999999998E-3</v>
      </c>
      <c r="AH208">
        <v>2</v>
      </c>
      <c r="AI208">
        <v>80308932</v>
      </c>
      <c r="AJ208">
        <v>212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ROW(Source!A156)</f>
        <v>156</v>
      </c>
      <c r="B209">
        <v>80308945</v>
      </c>
      <c r="C209">
        <v>80308921</v>
      </c>
      <c r="D209">
        <v>77429790</v>
      </c>
      <c r="E209">
        <v>117</v>
      </c>
      <c r="F209">
        <v>1</v>
      </c>
      <c r="G209">
        <v>1</v>
      </c>
      <c r="H209">
        <v>3</v>
      </c>
      <c r="I209" t="s">
        <v>81</v>
      </c>
      <c r="J209" t="s">
        <v>3</v>
      </c>
      <c r="K209" t="s">
        <v>82</v>
      </c>
      <c r="L209">
        <v>3277935</v>
      </c>
      <c r="N209">
        <v>1013</v>
      </c>
      <c r="O209" t="s">
        <v>83</v>
      </c>
      <c r="P209" t="s">
        <v>83</v>
      </c>
      <c r="Q209">
        <v>1</v>
      </c>
      <c r="X209">
        <v>2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 t="s">
        <v>3</v>
      </c>
      <c r="AG209">
        <v>2</v>
      </c>
      <c r="AH209">
        <v>2</v>
      </c>
      <c r="AI209">
        <v>80308933</v>
      </c>
      <c r="AJ209">
        <v>213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ROW(Source!A194)</f>
        <v>194</v>
      </c>
      <c r="B210">
        <v>80308951</v>
      </c>
      <c r="C210">
        <v>80308948</v>
      </c>
      <c r="D210">
        <v>77423688</v>
      </c>
      <c r="E210">
        <v>117</v>
      </c>
      <c r="F210">
        <v>1</v>
      </c>
      <c r="G210">
        <v>1</v>
      </c>
      <c r="H210">
        <v>1</v>
      </c>
      <c r="I210" t="s">
        <v>620</v>
      </c>
      <c r="J210" t="s">
        <v>3</v>
      </c>
      <c r="K210" t="s">
        <v>621</v>
      </c>
      <c r="L210">
        <v>1191</v>
      </c>
      <c r="N210">
        <v>1013</v>
      </c>
      <c r="O210" t="s">
        <v>449</v>
      </c>
      <c r="P210" t="s">
        <v>449</v>
      </c>
      <c r="Q210">
        <v>1</v>
      </c>
      <c r="X210">
        <v>1.03</v>
      </c>
      <c r="Y210">
        <v>0</v>
      </c>
      <c r="Z210">
        <v>0</v>
      </c>
      <c r="AA210">
        <v>0</v>
      </c>
      <c r="AB210">
        <v>538.85</v>
      </c>
      <c r="AC210">
        <v>0</v>
      </c>
      <c r="AD210">
        <v>1</v>
      </c>
      <c r="AE210">
        <v>1</v>
      </c>
      <c r="AF210" t="s">
        <v>3</v>
      </c>
      <c r="AG210">
        <v>1.03</v>
      </c>
      <c r="AH210">
        <v>2</v>
      </c>
      <c r="AI210">
        <v>80308949</v>
      </c>
      <c r="AJ210">
        <v>214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ROW(Source!A194)</f>
        <v>194</v>
      </c>
      <c r="B211">
        <v>80308952</v>
      </c>
      <c r="C211">
        <v>80308948</v>
      </c>
      <c r="D211">
        <v>77500719</v>
      </c>
      <c r="E211">
        <v>1</v>
      </c>
      <c r="F211">
        <v>1</v>
      </c>
      <c r="G211">
        <v>1</v>
      </c>
      <c r="H211">
        <v>3</v>
      </c>
      <c r="I211" t="s">
        <v>622</v>
      </c>
      <c r="J211" t="s">
        <v>623</v>
      </c>
      <c r="K211" t="s">
        <v>624</v>
      </c>
      <c r="L211">
        <v>1425</v>
      </c>
      <c r="N211">
        <v>1013</v>
      </c>
      <c r="O211" t="s">
        <v>19</v>
      </c>
      <c r="P211" t="s">
        <v>19</v>
      </c>
      <c r="Q211">
        <v>1</v>
      </c>
      <c r="X211">
        <v>0.2</v>
      </c>
      <c r="Y211">
        <v>1828.55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 t="s">
        <v>3</v>
      </c>
      <c r="AG211">
        <v>0.2</v>
      </c>
      <c r="AH211">
        <v>2</v>
      </c>
      <c r="AI211">
        <v>80308950</v>
      </c>
      <c r="AJ211">
        <v>215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33</v>
      </c>
      <c r="B1">
        <v>1</v>
      </c>
      <c r="C1" t="s">
        <v>3</v>
      </c>
      <c r="D1" t="s">
        <v>3</v>
      </c>
      <c r="E1" t="s">
        <v>48</v>
      </c>
      <c r="F1" t="s">
        <v>48</v>
      </c>
      <c r="G1" t="s">
        <v>49</v>
      </c>
      <c r="H1" t="s">
        <v>3</v>
      </c>
      <c r="I1" t="s">
        <v>49</v>
      </c>
      <c r="J1" t="s">
        <v>48</v>
      </c>
      <c r="K1" t="s">
        <v>3</v>
      </c>
      <c r="L1" t="s">
        <v>50</v>
      </c>
      <c r="M1" t="s">
        <v>51</v>
      </c>
      <c r="N1" t="s">
        <v>3</v>
      </c>
      <c r="O1" t="s">
        <v>48</v>
      </c>
      <c r="P1" t="s">
        <v>3</v>
      </c>
      <c r="Q1" t="s">
        <v>3</v>
      </c>
      <c r="R1" t="s">
        <v>3</v>
      </c>
      <c r="S1" t="s">
        <v>644</v>
      </c>
      <c r="T1" t="s">
        <v>650</v>
      </c>
      <c r="U1" t="s">
        <v>645</v>
      </c>
    </row>
    <row r="2" spans="1:21" x14ac:dyDescent="0.2">
      <c r="A2">
        <v>36</v>
      </c>
      <c r="B2">
        <v>1</v>
      </c>
      <c r="C2" t="s">
        <v>3</v>
      </c>
      <c r="D2" t="s">
        <v>72</v>
      </c>
      <c r="E2" t="s">
        <v>73</v>
      </c>
      <c r="F2" t="s">
        <v>73</v>
      </c>
      <c r="G2" t="s">
        <v>73</v>
      </c>
      <c r="H2" t="s">
        <v>3</v>
      </c>
      <c r="I2" t="s">
        <v>73</v>
      </c>
      <c r="J2" t="s">
        <v>73</v>
      </c>
      <c r="K2" t="s">
        <v>3</v>
      </c>
      <c r="L2" t="s">
        <v>3</v>
      </c>
      <c r="M2" t="s">
        <v>3</v>
      </c>
      <c r="N2" t="s">
        <v>72</v>
      </c>
      <c r="O2" t="s">
        <v>73</v>
      </c>
      <c r="P2" t="s">
        <v>3</v>
      </c>
      <c r="Q2" t="s">
        <v>3</v>
      </c>
      <c r="R2" t="s">
        <v>3</v>
      </c>
      <c r="S2" t="s">
        <v>646</v>
      </c>
      <c r="T2" t="s">
        <v>647</v>
      </c>
      <c r="U2" t="s">
        <v>648</v>
      </c>
    </row>
    <row r="3" spans="1:21" x14ac:dyDescent="0.2">
      <c r="A3">
        <v>41</v>
      </c>
      <c r="B3">
        <v>1</v>
      </c>
      <c r="C3" t="s">
        <v>3</v>
      </c>
      <c r="D3" t="s">
        <v>3</v>
      </c>
      <c r="E3" t="s">
        <v>48</v>
      </c>
      <c r="F3" t="s">
        <v>48</v>
      </c>
      <c r="G3" t="s">
        <v>49</v>
      </c>
      <c r="H3" t="s">
        <v>3</v>
      </c>
      <c r="I3" t="s">
        <v>49</v>
      </c>
      <c r="J3" t="s">
        <v>48</v>
      </c>
      <c r="K3" t="s">
        <v>3</v>
      </c>
      <c r="L3" t="s">
        <v>50</v>
      </c>
      <c r="M3" t="s">
        <v>51</v>
      </c>
      <c r="N3" t="s">
        <v>3</v>
      </c>
      <c r="O3" t="s">
        <v>48</v>
      </c>
      <c r="P3" t="s">
        <v>3</v>
      </c>
      <c r="Q3" t="s">
        <v>3</v>
      </c>
      <c r="R3" t="s">
        <v>3</v>
      </c>
      <c r="S3" t="s">
        <v>644</v>
      </c>
      <c r="T3" t="s">
        <v>650</v>
      </c>
      <c r="U3" t="s">
        <v>645</v>
      </c>
    </row>
    <row r="4" spans="1:21" x14ac:dyDescent="0.2">
      <c r="A4">
        <v>78</v>
      </c>
      <c r="B4">
        <v>1</v>
      </c>
      <c r="C4" t="s">
        <v>3</v>
      </c>
      <c r="D4" t="s">
        <v>3</v>
      </c>
      <c r="E4" t="s">
        <v>48</v>
      </c>
      <c r="F4" t="s">
        <v>48</v>
      </c>
      <c r="G4" t="s">
        <v>49</v>
      </c>
      <c r="H4" t="s">
        <v>3</v>
      </c>
      <c r="I4" t="s">
        <v>49</v>
      </c>
      <c r="J4" t="s">
        <v>48</v>
      </c>
      <c r="K4" t="s">
        <v>3</v>
      </c>
      <c r="L4" t="s">
        <v>50</v>
      </c>
      <c r="M4" t="s">
        <v>51</v>
      </c>
      <c r="N4" t="s">
        <v>3</v>
      </c>
      <c r="O4" t="s">
        <v>48</v>
      </c>
      <c r="P4" t="s">
        <v>3</v>
      </c>
      <c r="Q4" t="s">
        <v>3</v>
      </c>
      <c r="R4" t="s">
        <v>3</v>
      </c>
      <c r="S4" t="s">
        <v>644</v>
      </c>
      <c r="T4" t="s">
        <v>650</v>
      </c>
      <c r="U4" t="s">
        <v>645</v>
      </c>
    </row>
    <row r="5" spans="1:21" x14ac:dyDescent="0.2">
      <c r="A5">
        <v>82</v>
      </c>
      <c r="B5">
        <v>1</v>
      </c>
      <c r="C5" t="s">
        <v>3</v>
      </c>
      <c r="D5" t="s">
        <v>3</v>
      </c>
      <c r="E5" t="s">
        <v>48</v>
      </c>
      <c r="F5" t="s">
        <v>48</v>
      </c>
      <c r="G5" t="s">
        <v>49</v>
      </c>
      <c r="H5" t="s">
        <v>3</v>
      </c>
      <c r="I5" t="s">
        <v>49</v>
      </c>
      <c r="J5" t="s">
        <v>48</v>
      </c>
      <c r="K5" t="s">
        <v>3</v>
      </c>
      <c r="L5" t="s">
        <v>50</v>
      </c>
      <c r="M5" t="s">
        <v>51</v>
      </c>
      <c r="N5" t="s">
        <v>3</v>
      </c>
      <c r="O5" t="s">
        <v>48</v>
      </c>
      <c r="P5" t="s">
        <v>3</v>
      </c>
      <c r="Q5" t="s">
        <v>3</v>
      </c>
      <c r="R5" t="s">
        <v>3</v>
      </c>
      <c r="S5" t="s">
        <v>644</v>
      </c>
      <c r="T5" t="s">
        <v>650</v>
      </c>
      <c r="U5" t="s">
        <v>645</v>
      </c>
    </row>
    <row r="6" spans="1:21" x14ac:dyDescent="0.2">
      <c r="A6">
        <v>86</v>
      </c>
      <c r="B6">
        <v>1</v>
      </c>
      <c r="C6" t="s">
        <v>3</v>
      </c>
      <c r="D6" t="s">
        <v>3</v>
      </c>
      <c r="E6" t="s">
        <v>48</v>
      </c>
      <c r="F6" t="s">
        <v>48</v>
      </c>
      <c r="G6" t="s">
        <v>49</v>
      </c>
      <c r="H6" t="s">
        <v>3</v>
      </c>
      <c r="I6" t="s">
        <v>49</v>
      </c>
      <c r="J6" t="s">
        <v>48</v>
      </c>
      <c r="K6" t="s">
        <v>3</v>
      </c>
      <c r="L6" t="s">
        <v>50</v>
      </c>
      <c r="M6" t="s">
        <v>51</v>
      </c>
      <c r="N6" t="s">
        <v>3</v>
      </c>
      <c r="O6" t="s">
        <v>48</v>
      </c>
      <c r="P6" t="s">
        <v>3</v>
      </c>
      <c r="Q6" t="s">
        <v>3</v>
      </c>
      <c r="R6" t="s">
        <v>3</v>
      </c>
      <c r="S6" t="s">
        <v>644</v>
      </c>
      <c r="T6" t="s">
        <v>650</v>
      </c>
      <c r="U6" t="s">
        <v>645</v>
      </c>
    </row>
    <row r="7" spans="1:21" x14ac:dyDescent="0.2">
      <c r="A7">
        <v>91</v>
      </c>
      <c r="B7">
        <v>1</v>
      </c>
      <c r="C7" t="s">
        <v>3</v>
      </c>
      <c r="D7" t="s">
        <v>3</v>
      </c>
      <c r="E7" t="s">
        <v>48</v>
      </c>
      <c r="F7" t="s">
        <v>48</v>
      </c>
      <c r="G7" t="s">
        <v>49</v>
      </c>
      <c r="H7" t="s">
        <v>3</v>
      </c>
      <c r="I7" t="s">
        <v>49</v>
      </c>
      <c r="J7" t="s">
        <v>48</v>
      </c>
      <c r="K7" t="s">
        <v>3</v>
      </c>
      <c r="L7" t="s">
        <v>50</v>
      </c>
      <c r="M7" t="s">
        <v>51</v>
      </c>
      <c r="N7" t="s">
        <v>3</v>
      </c>
      <c r="O7" t="s">
        <v>48</v>
      </c>
      <c r="P7" t="s">
        <v>3</v>
      </c>
      <c r="Q7" t="s">
        <v>3</v>
      </c>
      <c r="R7" t="s">
        <v>3</v>
      </c>
      <c r="S7" t="s">
        <v>644</v>
      </c>
      <c r="T7" t="s">
        <v>650</v>
      </c>
      <c r="U7" t="s">
        <v>645</v>
      </c>
    </row>
    <row r="8" spans="1:21" x14ac:dyDescent="0.2">
      <c r="A8">
        <v>93</v>
      </c>
      <c r="B8">
        <v>1</v>
      </c>
      <c r="C8" t="s">
        <v>3</v>
      </c>
      <c r="D8" t="s">
        <v>3</v>
      </c>
      <c r="E8" t="s">
        <v>48</v>
      </c>
      <c r="F8" t="s">
        <v>48</v>
      </c>
      <c r="G8" t="s">
        <v>49</v>
      </c>
      <c r="H8" t="s">
        <v>3</v>
      </c>
      <c r="I8" t="s">
        <v>49</v>
      </c>
      <c r="J8" t="s">
        <v>48</v>
      </c>
      <c r="K8" t="s">
        <v>3</v>
      </c>
      <c r="L8" t="s">
        <v>50</v>
      </c>
      <c r="M8" t="s">
        <v>51</v>
      </c>
      <c r="N8" t="s">
        <v>3</v>
      </c>
      <c r="O8" t="s">
        <v>48</v>
      </c>
      <c r="P8" t="s">
        <v>3</v>
      </c>
      <c r="Q8" t="s">
        <v>3</v>
      </c>
      <c r="R8" t="s">
        <v>3</v>
      </c>
      <c r="S8" t="s">
        <v>644</v>
      </c>
      <c r="T8" t="s">
        <v>650</v>
      </c>
      <c r="U8" t="s">
        <v>645</v>
      </c>
    </row>
    <row r="9" spans="1:21" x14ac:dyDescent="0.2">
      <c r="A9">
        <v>96</v>
      </c>
      <c r="B9">
        <v>1</v>
      </c>
      <c r="C9" t="s">
        <v>3</v>
      </c>
      <c r="D9" t="s">
        <v>3</v>
      </c>
      <c r="E9" t="s">
        <v>48</v>
      </c>
      <c r="F9" t="s">
        <v>48</v>
      </c>
      <c r="G9" t="s">
        <v>49</v>
      </c>
      <c r="H9" t="s">
        <v>3</v>
      </c>
      <c r="I9" t="s">
        <v>49</v>
      </c>
      <c r="J9" t="s">
        <v>48</v>
      </c>
      <c r="K9" t="s">
        <v>3</v>
      </c>
      <c r="L9" t="s">
        <v>50</v>
      </c>
      <c r="M9" t="s">
        <v>51</v>
      </c>
      <c r="N9" t="s">
        <v>3</v>
      </c>
      <c r="O9" t="s">
        <v>48</v>
      </c>
      <c r="P9" t="s">
        <v>3</v>
      </c>
      <c r="Q9" t="s">
        <v>3</v>
      </c>
      <c r="R9" t="s">
        <v>3</v>
      </c>
      <c r="S9" t="s">
        <v>644</v>
      </c>
      <c r="T9" t="s">
        <v>650</v>
      </c>
      <c r="U9" t="s">
        <v>645</v>
      </c>
    </row>
    <row r="10" spans="1:21" x14ac:dyDescent="0.2">
      <c r="A10">
        <v>137</v>
      </c>
      <c r="B10">
        <v>1</v>
      </c>
      <c r="C10" t="s">
        <v>3</v>
      </c>
      <c r="D10" t="s">
        <v>3</v>
      </c>
      <c r="E10" t="s">
        <v>48</v>
      </c>
      <c r="F10" t="s">
        <v>48</v>
      </c>
      <c r="G10" t="s">
        <v>49</v>
      </c>
      <c r="H10" t="s">
        <v>3</v>
      </c>
      <c r="I10" t="s">
        <v>49</v>
      </c>
      <c r="J10" t="s">
        <v>48</v>
      </c>
      <c r="K10" t="s">
        <v>3</v>
      </c>
      <c r="L10" t="s">
        <v>50</v>
      </c>
      <c r="M10" t="s">
        <v>51</v>
      </c>
      <c r="N10" t="s">
        <v>3</v>
      </c>
      <c r="O10" t="s">
        <v>48</v>
      </c>
      <c r="P10" t="s">
        <v>3</v>
      </c>
      <c r="Q10" t="s">
        <v>3</v>
      </c>
      <c r="R10" t="s">
        <v>3</v>
      </c>
      <c r="S10" t="s">
        <v>644</v>
      </c>
      <c r="T10" t="s">
        <v>650</v>
      </c>
      <c r="U10" t="s">
        <v>645</v>
      </c>
    </row>
    <row r="11" spans="1:21" x14ac:dyDescent="0.2">
      <c r="A11">
        <v>138</v>
      </c>
      <c r="B11">
        <v>1</v>
      </c>
      <c r="C11" t="s">
        <v>3</v>
      </c>
      <c r="D11" t="s">
        <v>3</v>
      </c>
      <c r="E11" t="s">
        <v>48</v>
      </c>
      <c r="F11" t="s">
        <v>48</v>
      </c>
      <c r="G11" t="s">
        <v>49</v>
      </c>
      <c r="H11" t="s">
        <v>3</v>
      </c>
      <c r="I11" t="s">
        <v>49</v>
      </c>
      <c r="J11" t="s">
        <v>48</v>
      </c>
      <c r="K11" t="s">
        <v>3</v>
      </c>
      <c r="L11" t="s">
        <v>50</v>
      </c>
      <c r="M11" t="s">
        <v>51</v>
      </c>
      <c r="N11" t="s">
        <v>3</v>
      </c>
      <c r="O11" t="s">
        <v>48</v>
      </c>
      <c r="P11" t="s">
        <v>3</v>
      </c>
      <c r="Q11" t="s">
        <v>3</v>
      </c>
      <c r="R11" t="s">
        <v>3</v>
      </c>
      <c r="S11" t="s">
        <v>644</v>
      </c>
      <c r="T11" t="s">
        <v>650</v>
      </c>
      <c r="U11" t="s">
        <v>645</v>
      </c>
    </row>
    <row r="12" spans="1:21" x14ac:dyDescent="0.2">
      <c r="A12">
        <v>139</v>
      </c>
      <c r="B12">
        <v>1</v>
      </c>
      <c r="C12" t="s">
        <v>3</v>
      </c>
      <c r="D12" t="s">
        <v>3</v>
      </c>
      <c r="E12" t="s">
        <v>48</v>
      </c>
      <c r="F12" t="s">
        <v>48</v>
      </c>
      <c r="G12" t="s">
        <v>49</v>
      </c>
      <c r="H12" t="s">
        <v>3</v>
      </c>
      <c r="I12" t="s">
        <v>49</v>
      </c>
      <c r="J12" t="s">
        <v>48</v>
      </c>
      <c r="K12" t="s">
        <v>3</v>
      </c>
      <c r="L12" t="s">
        <v>50</v>
      </c>
      <c r="M12" t="s">
        <v>51</v>
      </c>
      <c r="N12" t="s">
        <v>3</v>
      </c>
      <c r="O12" t="s">
        <v>48</v>
      </c>
      <c r="P12" t="s">
        <v>3</v>
      </c>
      <c r="Q12" t="s">
        <v>3</v>
      </c>
      <c r="R12" t="s">
        <v>3</v>
      </c>
      <c r="S12" t="s">
        <v>644</v>
      </c>
      <c r="T12" t="s">
        <v>650</v>
      </c>
      <c r="U12" t="s">
        <v>645</v>
      </c>
    </row>
    <row r="13" spans="1:21" x14ac:dyDescent="0.2">
      <c r="A13">
        <v>148</v>
      </c>
      <c r="B13">
        <v>1</v>
      </c>
      <c r="C13" t="s">
        <v>3</v>
      </c>
      <c r="D13" t="s">
        <v>3</v>
      </c>
      <c r="E13" t="s">
        <v>48</v>
      </c>
      <c r="F13" t="s">
        <v>48</v>
      </c>
      <c r="G13" t="s">
        <v>49</v>
      </c>
      <c r="H13" t="s">
        <v>3</v>
      </c>
      <c r="I13" t="s">
        <v>49</v>
      </c>
      <c r="J13" t="s">
        <v>48</v>
      </c>
      <c r="K13" t="s">
        <v>3</v>
      </c>
      <c r="L13" t="s">
        <v>50</v>
      </c>
      <c r="M13" t="s">
        <v>51</v>
      </c>
      <c r="N13" t="s">
        <v>3</v>
      </c>
      <c r="O13" t="s">
        <v>48</v>
      </c>
      <c r="P13" t="s">
        <v>3</v>
      </c>
      <c r="Q13" t="s">
        <v>3</v>
      </c>
      <c r="R13" t="s">
        <v>3</v>
      </c>
      <c r="S13" t="s">
        <v>644</v>
      </c>
      <c r="T13" t="s">
        <v>650</v>
      </c>
      <c r="U13" t="s">
        <v>645</v>
      </c>
    </row>
    <row r="14" spans="1:21" x14ac:dyDescent="0.2">
      <c r="A14">
        <v>151</v>
      </c>
      <c r="B14">
        <v>1</v>
      </c>
      <c r="C14" t="s">
        <v>3</v>
      </c>
      <c r="D14" t="s">
        <v>3</v>
      </c>
      <c r="E14" t="s">
        <v>48</v>
      </c>
      <c r="F14" t="s">
        <v>48</v>
      </c>
      <c r="G14" t="s">
        <v>49</v>
      </c>
      <c r="H14" t="s">
        <v>3</v>
      </c>
      <c r="I14" t="s">
        <v>49</v>
      </c>
      <c r="J14" t="s">
        <v>48</v>
      </c>
      <c r="K14" t="s">
        <v>3</v>
      </c>
      <c r="L14" t="s">
        <v>50</v>
      </c>
      <c r="M14" t="s">
        <v>51</v>
      </c>
      <c r="N14" t="s">
        <v>3</v>
      </c>
      <c r="O14" t="s">
        <v>48</v>
      </c>
      <c r="P14" t="s">
        <v>3</v>
      </c>
      <c r="Q14" t="s">
        <v>3</v>
      </c>
      <c r="R14" t="s">
        <v>3</v>
      </c>
      <c r="S14" t="s">
        <v>644</v>
      </c>
      <c r="T14" t="s">
        <v>650</v>
      </c>
      <c r="U14" t="s">
        <v>645</v>
      </c>
    </row>
    <row r="15" spans="1:21" x14ac:dyDescent="0.2">
      <c r="A15">
        <v>154</v>
      </c>
      <c r="B15">
        <v>1</v>
      </c>
      <c r="C15" t="s">
        <v>3</v>
      </c>
      <c r="D15" t="s">
        <v>72</v>
      </c>
      <c r="E15" t="s">
        <v>73</v>
      </c>
      <c r="F15" t="s">
        <v>73</v>
      </c>
      <c r="G15" t="s">
        <v>73</v>
      </c>
      <c r="H15" t="s">
        <v>3</v>
      </c>
      <c r="I15" t="s">
        <v>73</v>
      </c>
      <c r="J15" t="s">
        <v>73</v>
      </c>
      <c r="K15" t="s">
        <v>3</v>
      </c>
      <c r="L15" t="s">
        <v>3</v>
      </c>
      <c r="M15" t="s">
        <v>3</v>
      </c>
      <c r="N15" t="s">
        <v>72</v>
      </c>
      <c r="O15" t="s">
        <v>73</v>
      </c>
      <c r="P15" t="s">
        <v>3</v>
      </c>
      <c r="Q15" t="s">
        <v>3</v>
      </c>
      <c r="R15" t="s">
        <v>3</v>
      </c>
      <c r="S15" t="s">
        <v>646</v>
      </c>
      <c r="T15" t="s">
        <v>647</v>
      </c>
      <c r="U15" t="s">
        <v>648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72597</v>
      </c>
      <c r="M1">
        <v>63736869</v>
      </c>
      <c r="N1">
        <v>12</v>
      </c>
      <c r="O1">
        <v>1</v>
      </c>
      <c r="P1">
        <v>0</v>
      </c>
      <c r="Q1">
        <v>4</v>
      </c>
    </row>
    <row r="12" spans="1:103" x14ac:dyDescent="0.2">
      <c r="F12" t="str">
        <f>Source!F12</f>
        <v/>
      </c>
      <c r="G12" t="str">
        <f>Source!G12</f>
        <v xml:space="preserve">Замена элементов систем водоснабжения, отопления и канализации с последующими ремонтно-восстановительными работами по адресу: г. Москва, ул.  Ильинка, д. 9, стр.1; ул. Ильинка д. 7; д. Ильинка д. 11/10, стр.1; Биржевая площадь д.1 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по ФСНБ 421+557прРИМ</vt:lpstr>
      <vt:lpstr>Ведомость объемов работ</vt:lpstr>
      <vt:lpstr>Source</vt:lpstr>
      <vt:lpstr>SourceObSm</vt:lpstr>
      <vt:lpstr>SmtRes</vt:lpstr>
      <vt:lpstr>EtalonRes</vt:lpstr>
      <vt:lpstr>SrcPoprs</vt:lpstr>
      <vt:lpstr>SrcKA</vt:lpstr>
      <vt:lpstr>'Ведомость объемов работ'!Заголовки_для_печати</vt:lpstr>
      <vt:lpstr>'Смета по ФСНБ 421+557прРИМ'!Заголовки_для_печати</vt:lpstr>
      <vt:lpstr>'Ведомость объемов работ'!Область_печати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Листикова Наталья Михайловна</dc:creator>
  <cp:lastModifiedBy>Листикова Наталья Михайловна</cp:lastModifiedBy>
  <dcterms:created xsi:type="dcterms:W3CDTF">2026-07-23T06:58:00Z</dcterms:created>
  <dcterms:modified xsi:type="dcterms:W3CDTF">2026-07-30T10:38:10Z</dcterms:modified>
</cp:coreProperties>
</file>