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dmin\Downloads\Согласование проекта договора № 11-ЗуЕП _Строительный контроль_\"/>
    </mc:Choice>
  </mc:AlternateContent>
  <bookViews>
    <workbookView xWindow="32760" yWindow="32760" windowWidth="15360" windowHeight="7485" firstSheet="19" activeTab="24"/>
  </bookViews>
  <sheets>
    <sheet name="ССР 2кв 2024" sheetId="32" state="hidden" r:id="rId1"/>
    <sheet name="01.08.2024" sheetId="31" state="hidden" r:id="rId2"/>
    <sheet name="01.08.2024 (под факт)" sheetId="33" state="hidden" r:id="rId3"/>
    <sheet name="РЗ 02.09.2025 " sheetId="44" state="hidden" r:id="rId4"/>
    <sheet name="РЗ 02.09.2025  (2)" sheetId="48" state="hidden" r:id="rId5"/>
    <sheet name="Прилож.к НМЦК 03,09,25 " sheetId="45" state="hidden" r:id="rId6"/>
    <sheet name="НМЦК 03.09.2025 (3)" sheetId="47" state="hidden" r:id="rId7"/>
    <sheet name="НМЦК 03.09.2025" sheetId="42" state="hidden" r:id="rId8"/>
    <sheet name="02.09.2025 " sheetId="40" state="hidden" r:id="rId9"/>
    <sheet name="НМЦК 03.09.2025 (2)" sheetId="43" state="hidden" r:id="rId10"/>
    <sheet name="Лист3" sheetId="46" state="hidden" r:id="rId11"/>
    <sheet name="РЗ 02.09.2025  (3)" sheetId="49" state="hidden" r:id="rId12"/>
    <sheet name="Прилож.к НМЦК 17.09.2025" sheetId="50" state="hidden" r:id="rId13"/>
    <sheet name="НМЦК 17.09.2025" sheetId="51" state="hidden" r:id="rId14"/>
    <sheet name="НМЦК 17.09.2025 ИТОГ" sheetId="52" state="hidden" r:id="rId15"/>
    <sheet name="НМЦК 17.09.2025 ИТОГ (2)" sheetId="55" state="hidden" r:id="rId16"/>
    <sheet name="НМЦК 17.09.2025 новая доля (2)" sheetId="57" state="hidden" r:id="rId17"/>
    <sheet name="Лист2" sheetId="58" state="hidden" r:id="rId18"/>
    <sheet name="НМЦК 17.09.2025 октябрь" sheetId="59" state="hidden" r:id="rId19"/>
    <sheet name="Сводный расчет " sheetId="75" r:id="rId20"/>
    <sheet name="П  1 КР- к-м 100" sheetId="71" r:id="rId21"/>
    <sheet name="П  2 КР- П 7" sheetId="69" r:id="rId22"/>
    <sheet name="П  3 ТР отопление " sheetId="72" r:id="rId23"/>
    <sheet name="П  4 ТР каб 3-15 (2)" sheetId="74" r:id="rId24"/>
    <sheet name="П  5 ТР каб 3-15" sheetId="73" r:id="rId25"/>
  </sheets>
  <definedNames>
    <definedName name="_xlnm.Print_Area" localSheetId="1">'01.08.2024'!$A$1:$H$59</definedName>
    <definedName name="_xlnm.Print_Area" localSheetId="2">'01.08.2024 (под факт)'!$A$1:$H$67</definedName>
    <definedName name="_xlnm.Print_Area" localSheetId="8">'02.09.2025 '!$A$1:$K$75</definedName>
    <definedName name="_xlnm.Print_Area" localSheetId="7">'НМЦК 03.09.2025'!$A$1:$K$133</definedName>
    <definedName name="_xlnm.Print_Area" localSheetId="9">'НМЦК 03.09.2025 (2)'!$A$1:$K$128</definedName>
    <definedName name="_xlnm.Print_Area" localSheetId="6">'НМЦК 03.09.2025 (3)'!$A$1:$K$133</definedName>
    <definedName name="_xlnm.Print_Area" localSheetId="13">'НМЦК 17.09.2025'!$A$1:$K$134</definedName>
    <definedName name="_xlnm.Print_Area" localSheetId="14">'НМЦК 17.09.2025 ИТОГ'!$A$1:$K$130</definedName>
    <definedName name="_xlnm.Print_Area" localSheetId="15">'НМЦК 17.09.2025 ИТОГ (2)'!$A$1:$K$130</definedName>
    <definedName name="_xlnm.Print_Area" localSheetId="16">'НМЦК 17.09.2025 новая доля (2)'!$A$1:$K$131</definedName>
    <definedName name="_xlnm.Print_Area" localSheetId="18">'НМЦК 17.09.2025 октябрь'!$A$1:$K$131</definedName>
    <definedName name="_xlnm.Print_Area" localSheetId="20">'П  1 КР- к-м 100'!$A$1:$G$64</definedName>
    <definedName name="_xlnm.Print_Area" localSheetId="21">'П  2 КР- П 7'!$A$1:$G$69</definedName>
    <definedName name="_xlnm.Print_Area" localSheetId="3">'РЗ 02.09.2025 '!$A$1:$K$77</definedName>
    <definedName name="_xlnm.Print_Area" localSheetId="4">'РЗ 02.09.2025  (2)'!$A$1:$K$77</definedName>
    <definedName name="_xlnm.Print_Area" localSheetId="11">'РЗ 02.09.2025  (3)'!$A$1:$K$72</definedName>
  </definedNames>
  <calcPr calcId="152511" refMode="R1C1" fullPrecision="0"/>
</workbook>
</file>

<file path=xl/calcChain.xml><?xml version="1.0" encoding="utf-8"?>
<calcChain xmlns="http://schemas.openxmlformats.org/spreadsheetml/2006/main">
  <c r="B15" i="75" l="1"/>
  <c r="B16" i="75" s="1"/>
  <c r="C17" i="75"/>
  <c r="E49" i="74" l="1"/>
  <c r="F48" i="74"/>
  <c r="F47" i="74"/>
  <c r="C39" i="74"/>
  <c r="D43" i="74" s="1"/>
  <c r="F26" i="74"/>
  <c r="B17" i="74"/>
  <c r="B18" i="74" s="1"/>
  <c r="D16" i="74"/>
  <c r="F16" i="74" s="1"/>
  <c r="E49" i="73"/>
  <c r="F48" i="73"/>
  <c r="F47" i="73"/>
  <c r="C39" i="73"/>
  <c r="D43" i="73" s="1"/>
  <c r="F26" i="73"/>
  <c r="B17" i="73"/>
  <c r="D17" i="73" s="1"/>
  <c r="D16" i="73"/>
  <c r="F16" i="73" s="1"/>
  <c r="F26" i="72"/>
  <c r="B19" i="74" l="1"/>
  <c r="B20" i="74" s="1"/>
  <c r="B21" i="74" s="1"/>
  <c r="D17" i="74"/>
  <c r="B18" i="73"/>
  <c r="B19" i="73" s="1"/>
  <c r="F17" i="73"/>
  <c r="F18" i="73" s="1"/>
  <c r="D18" i="73"/>
  <c r="E65" i="69"/>
  <c r="F64" i="69"/>
  <c r="F63" i="69"/>
  <c r="E49" i="72"/>
  <c r="F48" i="72"/>
  <c r="F47" i="72"/>
  <c r="F60" i="71"/>
  <c r="F17" i="74" l="1"/>
  <c r="F18" i="74" s="1"/>
  <c r="D18" i="74"/>
  <c r="B20" i="73"/>
  <c r="B21" i="73" s="1"/>
  <c r="D19" i="73"/>
  <c r="D20" i="73" s="1"/>
  <c r="D21" i="73" s="1"/>
  <c r="F19" i="73"/>
  <c r="F20" i="73" s="1"/>
  <c r="F21" i="73" s="1"/>
  <c r="F59" i="71"/>
  <c r="E61" i="71"/>
  <c r="G63" i="71"/>
  <c r="D19" i="74" l="1"/>
  <c r="D20" i="74" s="1"/>
  <c r="D21" i="74" s="1"/>
  <c r="F19" i="74"/>
  <c r="F20" i="74" s="1"/>
  <c r="F21" i="74" s="1"/>
  <c r="C39" i="72"/>
  <c r="D43" i="72" s="1"/>
  <c r="B17" i="72"/>
  <c r="D16" i="72"/>
  <c r="F16" i="72" s="1"/>
  <c r="D17" i="72" l="1"/>
  <c r="F17" i="72" s="1"/>
  <c r="F18" i="72" s="1"/>
  <c r="B18" i="72"/>
  <c r="C50" i="69"/>
  <c r="C49" i="69"/>
  <c r="C48" i="69"/>
  <c r="C47" i="69"/>
  <c r="C46" i="69"/>
  <c r="C51" i="69" s="1"/>
  <c r="C40" i="71"/>
  <c r="C41" i="71"/>
  <c r="C42" i="71"/>
  <c r="C43" i="71"/>
  <c r="C44" i="71"/>
  <c r="C45" i="71"/>
  <c r="C39" i="71"/>
  <c r="C38" i="71"/>
  <c r="D18" i="72" l="1"/>
  <c r="D19" i="72" s="1"/>
  <c r="D20" i="72" s="1"/>
  <c r="D21" i="72" s="1"/>
  <c r="C47" i="71"/>
  <c r="B19" i="72"/>
  <c r="B20" i="72" s="1"/>
  <c r="B21" i="72" s="1"/>
  <c r="F19" i="72"/>
  <c r="F20" i="72" s="1"/>
  <c r="F21" i="72" s="1"/>
  <c r="F28" i="71"/>
  <c r="B18" i="71" s="1"/>
  <c r="C52" i="71" l="1"/>
  <c r="D56" i="71" s="1"/>
  <c r="C19" i="71"/>
  <c r="B19" i="71"/>
  <c r="C18" i="71"/>
  <c r="D18" i="71" s="1"/>
  <c r="F18" i="71" s="1"/>
  <c r="D19" i="71" l="1"/>
  <c r="D20" i="71" s="1"/>
  <c r="B20" i="71"/>
  <c r="B21" i="71" s="1"/>
  <c r="F19" i="71" l="1"/>
  <c r="F20" i="71" s="1"/>
  <c r="F21" i="71" s="1"/>
  <c r="B22" i="71"/>
  <c r="B23" i="71" s="1"/>
  <c r="B24" i="71" s="1"/>
  <c r="D21" i="71"/>
  <c r="D22" i="71"/>
  <c r="D23" i="71" s="1"/>
  <c r="D24" i="71" s="1"/>
  <c r="F22" i="71" l="1"/>
  <c r="F23" i="71" s="1"/>
  <c r="F24" i="71" s="1"/>
  <c r="C56" i="69" l="1"/>
  <c r="D60" i="69" s="1"/>
  <c r="B19" i="69" l="1"/>
  <c r="C18" i="69"/>
  <c r="D18" i="69" s="1"/>
  <c r="F18" i="69" s="1"/>
  <c r="C19" i="69" l="1"/>
  <c r="E84" i="59"/>
  <c r="J21" i="59"/>
  <c r="J49" i="59"/>
  <c r="L17" i="59"/>
  <c r="J21" i="57"/>
  <c r="L17" i="57"/>
  <c r="C89" i="59"/>
  <c r="D94" i="59"/>
  <c r="C88" i="59"/>
  <c r="D93" i="59"/>
  <c r="C71" i="59"/>
  <c r="C70" i="59"/>
  <c r="C69" i="59"/>
  <c r="C68" i="59"/>
  <c r="F79" i="59"/>
  <c r="I55" i="59"/>
  <c r="L45" i="59"/>
  <c r="I40" i="59"/>
  <c r="H40" i="59"/>
  <c r="G40" i="59"/>
  <c r="M39" i="59"/>
  <c r="B38" i="59"/>
  <c r="B39" i="59"/>
  <c r="B29" i="59"/>
  <c r="B31" i="59"/>
  <c r="B22" i="59"/>
  <c r="B20" i="59"/>
  <c r="B32" i="59"/>
  <c r="B19" i="59"/>
  <c r="C69" i="57"/>
  <c r="M74" i="57"/>
  <c r="C70" i="57"/>
  <c r="C71" i="57"/>
  <c r="C68" i="57"/>
  <c r="C89" i="57"/>
  <c r="D94" i="57"/>
  <c r="C88" i="57"/>
  <c r="D93" i="57"/>
  <c r="E84" i="57"/>
  <c r="I55" i="57"/>
  <c r="L45" i="57"/>
  <c r="I40" i="57"/>
  <c r="H40" i="57"/>
  <c r="G40" i="57"/>
  <c r="M39" i="57"/>
  <c r="B38" i="57"/>
  <c r="B39" i="57"/>
  <c r="B29" i="57"/>
  <c r="B22" i="57"/>
  <c r="B20" i="57"/>
  <c r="B19" i="57"/>
  <c r="C45" i="49"/>
  <c r="L17" i="55"/>
  <c r="B20" i="55"/>
  <c r="J21" i="55"/>
  <c r="L21" i="55"/>
  <c r="B22" i="55"/>
  <c r="B29" i="55"/>
  <c r="B31" i="55"/>
  <c r="B38" i="55"/>
  <c r="B39" i="55"/>
  <c r="M39" i="55"/>
  <c r="G40" i="55"/>
  <c r="H40" i="55"/>
  <c r="I40" i="55"/>
  <c r="L45" i="55"/>
  <c r="I55" i="55"/>
  <c r="L66" i="55"/>
  <c r="M73" i="55"/>
  <c r="F75" i="55"/>
  <c r="C22" i="55"/>
  <c r="M75" i="55"/>
  <c r="O75" i="55"/>
  <c r="F78" i="55"/>
  <c r="M78" i="55"/>
  <c r="C87" i="55"/>
  <c r="D92" i="55"/>
  <c r="C88" i="55"/>
  <c r="D93" i="55"/>
  <c r="C19" i="52"/>
  <c r="B20" i="52"/>
  <c r="L21" i="52"/>
  <c r="B22" i="52"/>
  <c r="L26" i="52"/>
  <c r="B29" i="52"/>
  <c r="C30" i="52"/>
  <c r="D30" i="52"/>
  <c r="C31" i="52"/>
  <c r="B38" i="52"/>
  <c r="B39" i="52"/>
  <c r="M39" i="52"/>
  <c r="G40" i="52"/>
  <c r="H40" i="52"/>
  <c r="I40" i="52"/>
  <c r="I55" i="52"/>
  <c r="L66" i="52"/>
  <c r="M73" i="52"/>
  <c r="F75" i="52"/>
  <c r="C20" i="52"/>
  <c r="D20" i="52"/>
  <c r="M75" i="52"/>
  <c r="O75" i="52"/>
  <c r="F78" i="52"/>
  <c r="C29" i="52"/>
  <c r="M78" i="52"/>
  <c r="C87" i="52"/>
  <c r="D92" i="52"/>
  <c r="C88" i="52"/>
  <c r="D93" i="52"/>
  <c r="B19" i="51"/>
  <c r="C21" i="51"/>
  <c r="D21" i="51"/>
  <c r="C23" i="51"/>
  <c r="L26" i="51"/>
  <c r="C29" i="51"/>
  <c r="D29" i="51"/>
  <c r="B30" i="51"/>
  <c r="D30" i="51"/>
  <c r="C30" i="51"/>
  <c r="B31" i="51"/>
  <c r="C33" i="51"/>
  <c r="B39" i="51"/>
  <c r="M39" i="51"/>
  <c r="G40" i="51"/>
  <c r="H40" i="51"/>
  <c r="I40" i="51"/>
  <c r="I55" i="51"/>
  <c r="M73" i="51"/>
  <c r="F75" i="51"/>
  <c r="C22" i="51"/>
  <c r="D22" i="51"/>
  <c r="M75" i="51"/>
  <c r="O75" i="51"/>
  <c r="F78" i="51"/>
  <c r="C31" i="51"/>
  <c r="D31" i="51"/>
  <c r="L32" i="51"/>
  <c r="L33" i="51"/>
  <c r="M78" i="51"/>
  <c r="C87" i="51"/>
  <c r="D92" i="51"/>
  <c r="C121" i="51"/>
  <c r="E38" i="51"/>
  <c r="C88" i="51"/>
  <c r="D93" i="51"/>
  <c r="H13" i="50"/>
  <c r="H14" i="50"/>
  <c r="D15" i="50"/>
  <c r="D26" i="50"/>
  <c r="D32" i="50"/>
  <c r="E15" i="50"/>
  <c r="H15" i="50"/>
  <c r="H26" i="50"/>
  <c r="D25" i="50"/>
  <c r="E25" i="50"/>
  <c r="F25" i="50"/>
  <c r="F26" i="50"/>
  <c r="F32" i="50"/>
  <c r="F37" i="50"/>
  <c r="F39" i="50"/>
  <c r="H25" i="50"/>
  <c r="E26" i="50"/>
  <c r="G26" i="50"/>
  <c r="H28" i="50"/>
  <c r="H31" i="50"/>
  <c r="H29" i="50"/>
  <c r="H30" i="50"/>
  <c r="D31" i="50"/>
  <c r="E31" i="50"/>
  <c r="F31" i="50"/>
  <c r="G31" i="50"/>
  <c r="G32" i="50"/>
  <c r="G37" i="50"/>
  <c r="F40" i="50"/>
  <c r="F41" i="50"/>
  <c r="F42" i="50"/>
  <c r="F43" i="50"/>
  <c r="G13" i="49"/>
  <c r="H13" i="49"/>
  <c r="K13" i="49"/>
  <c r="G14" i="49"/>
  <c r="I15" i="49"/>
  <c r="J15" i="49"/>
  <c r="K15" i="49"/>
  <c r="I16" i="49"/>
  <c r="I17" i="49"/>
  <c r="I18" i="49"/>
  <c r="J18" i="49"/>
  <c r="K18" i="49"/>
  <c r="I19" i="49"/>
  <c r="J19" i="49"/>
  <c r="K19" i="49"/>
  <c r="I20" i="49"/>
  <c r="J20" i="49"/>
  <c r="K20" i="49"/>
  <c r="I21" i="49"/>
  <c r="J21" i="49"/>
  <c r="K21" i="49"/>
  <c r="C22" i="49"/>
  <c r="I23" i="49"/>
  <c r="J23" i="49"/>
  <c r="K23" i="49"/>
  <c r="I24" i="49"/>
  <c r="J24" i="49"/>
  <c r="K24" i="49"/>
  <c r="I25" i="49"/>
  <c r="J25" i="49"/>
  <c r="K25" i="49"/>
  <c r="N26" i="49"/>
  <c r="D27" i="49"/>
  <c r="C28" i="49"/>
  <c r="C35" i="49"/>
  <c r="E30" i="49"/>
  <c r="F30" i="49"/>
  <c r="G30" i="49"/>
  <c r="C31" i="49"/>
  <c r="F31" i="49"/>
  <c r="J31" i="49"/>
  <c r="E33" i="49"/>
  <c r="F35" i="49"/>
  <c r="I35" i="49"/>
  <c r="J35" i="49"/>
  <c r="K35" i="49"/>
  <c r="D39" i="49"/>
  <c r="F39" i="49"/>
  <c r="L39" i="49"/>
  <c r="L40" i="49"/>
  <c r="D40" i="49"/>
  <c r="I40" i="49"/>
  <c r="K40" i="49"/>
  <c r="D41" i="49"/>
  <c r="D49" i="49"/>
  <c r="I41" i="49"/>
  <c r="K41" i="49"/>
  <c r="D42" i="49"/>
  <c r="I42" i="49"/>
  <c r="K42" i="49"/>
  <c r="D43" i="49"/>
  <c r="D50" i="49"/>
  <c r="I43" i="49"/>
  <c r="K43" i="49"/>
  <c r="C44" i="49"/>
  <c r="D45" i="49"/>
  <c r="F45" i="49"/>
  <c r="C46" i="49"/>
  <c r="D46" i="49"/>
  <c r="C49" i="49"/>
  <c r="E50" i="49"/>
  <c r="L56" i="49"/>
  <c r="C76" i="49"/>
  <c r="C78" i="49"/>
  <c r="B18" i="43"/>
  <c r="B23" i="43"/>
  <c r="L22" i="43"/>
  <c r="L23" i="43"/>
  <c r="B28" i="43"/>
  <c r="B29" i="43"/>
  <c r="G31" i="43"/>
  <c r="H31" i="43"/>
  <c r="I31" i="43"/>
  <c r="I46" i="43"/>
  <c r="M64" i="43"/>
  <c r="F66" i="43"/>
  <c r="C18" i="43"/>
  <c r="M66" i="43"/>
  <c r="O66" i="43"/>
  <c r="F69" i="43"/>
  <c r="C19" i="43"/>
  <c r="D19" i="43"/>
  <c r="M69" i="43"/>
  <c r="C78" i="43"/>
  <c r="C79" i="43"/>
  <c r="D84" i="43"/>
  <c r="D83" i="43"/>
  <c r="C112" i="43"/>
  <c r="E89" i="43"/>
  <c r="E91" i="43"/>
  <c r="E27" i="43"/>
  <c r="G13" i="40"/>
  <c r="H13" i="40"/>
  <c r="G14" i="40"/>
  <c r="I15" i="40"/>
  <c r="J15" i="40"/>
  <c r="I16" i="40"/>
  <c r="J16" i="40"/>
  <c r="K16" i="40"/>
  <c r="I17" i="40"/>
  <c r="J17" i="40"/>
  <c r="K17" i="40"/>
  <c r="I18" i="40"/>
  <c r="J18" i="40"/>
  <c r="K18" i="40"/>
  <c r="I19" i="40"/>
  <c r="J19" i="40"/>
  <c r="K19" i="40"/>
  <c r="I20" i="40"/>
  <c r="J20" i="40"/>
  <c r="K20" i="40"/>
  <c r="I21" i="40"/>
  <c r="J21" i="40"/>
  <c r="K21" i="40"/>
  <c r="I23" i="40"/>
  <c r="J23" i="40"/>
  <c r="K23" i="40"/>
  <c r="I24" i="40"/>
  <c r="J24" i="40"/>
  <c r="K24" i="40"/>
  <c r="C25" i="40"/>
  <c r="F25" i="40"/>
  <c r="N25" i="40"/>
  <c r="C26" i="40"/>
  <c r="F26" i="40"/>
  <c r="D26" i="40"/>
  <c r="D27" i="40"/>
  <c r="E28" i="40"/>
  <c r="E29" i="40"/>
  <c r="E30" i="40"/>
  <c r="F28" i="40"/>
  <c r="F29" i="40"/>
  <c r="I29" i="40"/>
  <c r="K29" i="40"/>
  <c r="C30" i="40"/>
  <c r="F30" i="40"/>
  <c r="J30" i="40"/>
  <c r="E32" i="40"/>
  <c r="K36" i="40"/>
  <c r="C37" i="40"/>
  <c r="C36" i="40"/>
  <c r="D38" i="40"/>
  <c r="F38" i="40"/>
  <c r="I38" i="40"/>
  <c r="H38" i="40"/>
  <c r="K38" i="40"/>
  <c r="D39" i="40"/>
  <c r="I39" i="40"/>
  <c r="K39" i="40"/>
  <c r="D40" i="40"/>
  <c r="I40" i="40"/>
  <c r="K40" i="40"/>
  <c r="D41" i="40"/>
  <c r="I41" i="40"/>
  <c r="K41" i="40"/>
  <c r="C53" i="40"/>
  <c r="C54" i="40"/>
  <c r="C55" i="40"/>
  <c r="C56" i="40"/>
  <c r="B18" i="42"/>
  <c r="B20" i="42"/>
  <c r="L19" i="42"/>
  <c r="L21" i="42"/>
  <c r="L22" i="42"/>
  <c r="L25" i="42"/>
  <c r="L27" i="42"/>
  <c r="B28" i="42"/>
  <c r="B29" i="42"/>
  <c r="B30" i="42"/>
  <c r="B36" i="42"/>
  <c r="G39" i="42"/>
  <c r="H39" i="42"/>
  <c r="I39" i="42"/>
  <c r="I54" i="42"/>
  <c r="M72" i="42"/>
  <c r="F74" i="42"/>
  <c r="C24" i="42"/>
  <c r="M74" i="42"/>
  <c r="O74" i="42"/>
  <c r="F77" i="42"/>
  <c r="C28" i="42"/>
  <c r="D28" i="42"/>
  <c r="M77" i="42"/>
  <c r="C86" i="42"/>
  <c r="D91" i="42"/>
  <c r="C87" i="42"/>
  <c r="D92" i="42"/>
  <c r="B18" i="47"/>
  <c r="B20" i="47"/>
  <c r="L19" i="47"/>
  <c r="L25" i="47"/>
  <c r="L27" i="47"/>
  <c r="B28" i="47"/>
  <c r="B29" i="47"/>
  <c r="B36" i="47"/>
  <c r="G39" i="47"/>
  <c r="H39" i="47"/>
  <c r="I39" i="47"/>
  <c r="I54" i="47"/>
  <c r="M72" i="47"/>
  <c r="F74" i="47"/>
  <c r="M74" i="47"/>
  <c r="O74" i="47"/>
  <c r="F77" i="47"/>
  <c r="M77" i="47"/>
  <c r="C86" i="47"/>
  <c r="D91" i="47"/>
  <c r="C87" i="47"/>
  <c r="D92" i="47"/>
  <c r="D35" i="45"/>
  <c r="E35" i="45"/>
  <c r="F35" i="45"/>
  <c r="G35" i="45"/>
  <c r="H35" i="45"/>
  <c r="D36" i="45"/>
  <c r="E36" i="45"/>
  <c r="E37" i="45"/>
  <c r="E38" i="45"/>
  <c r="E39" i="45"/>
  <c r="F36" i="45"/>
  <c r="F37" i="45"/>
  <c r="F38" i="45"/>
  <c r="F39" i="45"/>
  <c r="G36" i="45"/>
  <c r="G37" i="45"/>
  <c r="G38" i="45"/>
  <c r="G39" i="45"/>
  <c r="H36" i="45"/>
  <c r="H37" i="45"/>
  <c r="D37" i="45"/>
  <c r="D38" i="45"/>
  <c r="D39" i="45"/>
  <c r="H38" i="45"/>
  <c r="H39" i="45"/>
  <c r="G13" i="48"/>
  <c r="G14" i="48"/>
  <c r="H14" i="48"/>
  <c r="K14" i="48"/>
  <c r="C15" i="48"/>
  <c r="I16" i="48"/>
  <c r="J16" i="48"/>
  <c r="K16" i="48"/>
  <c r="I17" i="48"/>
  <c r="J17" i="48"/>
  <c r="K17" i="48"/>
  <c r="I18" i="48"/>
  <c r="J18" i="48"/>
  <c r="I19" i="48"/>
  <c r="J19" i="48"/>
  <c r="K19" i="48"/>
  <c r="I20" i="48"/>
  <c r="J20" i="48"/>
  <c r="K20" i="48"/>
  <c r="I21" i="48"/>
  <c r="J21" i="48"/>
  <c r="K21" i="48"/>
  <c r="I23" i="48"/>
  <c r="J23" i="48"/>
  <c r="K23" i="48"/>
  <c r="I24" i="48"/>
  <c r="J24" i="48"/>
  <c r="K24" i="48"/>
  <c r="D26" i="48"/>
  <c r="D27" i="48"/>
  <c r="E28" i="48"/>
  <c r="F28" i="48"/>
  <c r="C29" i="48"/>
  <c r="F29" i="48"/>
  <c r="J29" i="48"/>
  <c r="E31" i="48"/>
  <c r="D36" i="48"/>
  <c r="H36" i="48"/>
  <c r="D37" i="48"/>
  <c r="D38" i="48"/>
  <c r="H38" i="48"/>
  <c r="K38" i="48"/>
  <c r="F38" i="48"/>
  <c r="I38" i="48"/>
  <c r="L38" i="48"/>
  <c r="L39" i="48"/>
  <c r="D39" i="48"/>
  <c r="I39" i="48"/>
  <c r="K39" i="48"/>
  <c r="D40" i="48"/>
  <c r="I40" i="48"/>
  <c r="K40" i="48"/>
  <c r="D41" i="48"/>
  <c r="I41" i="48"/>
  <c r="K41" i="48"/>
  <c r="D42" i="48"/>
  <c r="I42" i="48"/>
  <c r="K42" i="48"/>
  <c r="D43" i="48"/>
  <c r="I43" i="48"/>
  <c r="K43" i="48"/>
  <c r="C44" i="48"/>
  <c r="C45" i="48"/>
  <c r="C55" i="48"/>
  <c r="C56" i="48"/>
  <c r="C57" i="48"/>
  <c r="C58" i="48"/>
  <c r="G13" i="44"/>
  <c r="G14" i="44"/>
  <c r="H14" i="44"/>
  <c r="K14" i="44"/>
  <c r="I15" i="44"/>
  <c r="I16" i="44"/>
  <c r="J16" i="44"/>
  <c r="I17" i="44"/>
  <c r="J17" i="44"/>
  <c r="K17" i="44"/>
  <c r="I18" i="44"/>
  <c r="J18" i="44"/>
  <c r="K18" i="44"/>
  <c r="I19" i="44"/>
  <c r="J19" i="44"/>
  <c r="K19" i="44"/>
  <c r="I20" i="44"/>
  <c r="J20" i="44"/>
  <c r="K20" i="44"/>
  <c r="I21" i="44"/>
  <c r="J21" i="44"/>
  <c r="K21" i="44"/>
  <c r="I23" i="44"/>
  <c r="J23" i="44"/>
  <c r="K23" i="44"/>
  <c r="I24" i="44"/>
  <c r="J24" i="44"/>
  <c r="K24" i="44"/>
  <c r="C25" i="44"/>
  <c r="N25" i="44"/>
  <c r="D26" i="44"/>
  <c r="D27" i="44"/>
  <c r="D31" i="44"/>
  <c r="D28" i="44"/>
  <c r="E28" i="44"/>
  <c r="F28" i="44"/>
  <c r="G28" i="44"/>
  <c r="C29" i="44"/>
  <c r="F29" i="44"/>
  <c r="I29" i="44"/>
  <c r="J29" i="44"/>
  <c r="E31" i="44"/>
  <c r="C35" i="44"/>
  <c r="C44" i="44"/>
  <c r="C45" i="44"/>
  <c r="D36" i="44"/>
  <c r="H36" i="44"/>
  <c r="D37" i="44"/>
  <c r="H37" i="44"/>
  <c r="D38" i="44"/>
  <c r="D39" i="44"/>
  <c r="I39" i="44"/>
  <c r="K39" i="44"/>
  <c r="D40" i="44"/>
  <c r="I40" i="44"/>
  <c r="K40" i="44"/>
  <c r="D41" i="44"/>
  <c r="I41" i="44"/>
  <c r="K41" i="44"/>
  <c r="D42" i="44"/>
  <c r="I42" i="44"/>
  <c r="K42" i="44"/>
  <c r="D43" i="44"/>
  <c r="I43" i="44"/>
  <c r="K43" i="44"/>
  <c r="C55" i="44"/>
  <c r="C56" i="44"/>
  <c r="C57" i="44"/>
  <c r="C61" i="44"/>
  <c r="K61" i="44"/>
  <c r="C58" i="44"/>
  <c r="G9" i="33"/>
  <c r="C19" i="33"/>
  <c r="F19" i="33"/>
  <c r="G19" i="33"/>
  <c r="D20" i="33"/>
  <c r="G20" i="33"/>
  <c r="E22" i="33"/>
  <c r="E26" i="33"/>
  <c r="F27" i="33"/>
  <c r="G27" i="33"/>
  <c r="H27" i="33"/>
  <c r="D28" i="33"/>
  <c r="D29" i="33"/>
  <c r="D30" i="33"/>
  <c r="F30" i="33"/>
  <c r="G30" i="33"/>
  <c r="H30" i="33"/>
  <c r="D31" i="33"/>
  <c r="F31" i="33"/>
  <c r="G31" i="33"/>
  <c r="D32" i="33"/>
  <c r="D33" i="33"/>
  <c r="C34" i="33"/>
  <c r="C35" i="33"/>
  <c r="F35" i="33"/>
  <c r="G35" i="33"/>
  <c r="H35" i="33"/>
  <c r="E34" i="33"/>
  <c r="E36" i="33"/>
  <c r="D35" i="33"/>
  <c r="C45" i="33"/>
  <c r="C46" i="33"/>
  <c r="C51" i="33"/>
  <c r="C47" i="33"/>
  <c r="C48" i="33"/>
  <c r="G9" i="31"/>
  <c r="C19" i="31"/>
  <c r="F19" i="31"/>
  <c r="G19" i="31"/>
  <c r="D20" i="31"/>
  <c r="D21" i="31"/>
  <c r="D22" i="31"/>
  <c r="E22" i="31"/>
  <c r="E26" i="31"/>
  <c r="E34" i="31"/>
  <c r="E36" i="31"/>
  <c r="F27" i="31"/>
  <c r="G27" i="31"/>
  <c r="H27" i="31"/>
  <c r="D28" i="31"/>
  <c r="D34" i="31"/>
  <c r="F28" i="31"/>
  <c r="D29" i="31"/>
  <c r="D30" i="31"/>
  <c r="F30" i="31"/>
  <c r="G30" i="31"/>
  <c r="H30" i="31"/>
  <c r="D31" i="31"/>
  <c r="F31" i="31"/>
  <c r="G31" i="31"/>
  <c r="H31" i="31"/>
  <c r="D32" i="31"/>
  <c r="D33" i="31"/>
  <c r="C34" i="31"/>
  <c r="C35" i="31"/>
  <c r="D35" i="31"/>
  <c r="C8" i="32"/>
  <c r="I59" i="32"/>
  <c r="J59" i="32"/>
  <c r="C19" i="47"/>
  <c r="D19" i="47"/>
  <c r="C20" i="47"/>
  <c r="C37" i="47"/>
  <c r="B37" i="42"/>
  <c r="D21" i="33"/>
  <c r="H20" i="33"/>
  <c r="C26" i="44"/>
  <c r="F25" i="44"/>
  <c r="M44" i="44"/>
  <c r="C46" i="48"/>
  <c r="K13" i="40"/>
  <c r="G29" i="44"/>
  <c r="E37" i="33"/>
  <c r="E38" i="33"/>
  <c r="E39" i="33"/>
  <c r="E40" i="33"/>
  <c r="E51" i="33"/>
  <c r="G51" i="33"/>
  <c r="C25" i="48"/>
  <c r="I15" i="48"/>
  <c r="N25" i="48"/>
  <c r="J16" i="49"/>
  <c r="C19" i="42"/>
  <c r="D19" i="42"/>
  <c r="C21" i="42"/>
  <c r="D21" i="42"/>
  <c r="C23" i="42"/>
  <c r="C36" i="42"/>
  <c r="C20" i="42"/>
  <c r="D20" i="42"/>
  <c r="C35" i="42"/>
  <c r="D35" i="42"/>
  <c r="C22" i="42"/>
  <c r="G28" i="40"/>
  <c r="I28" i="40"/>
  <c r="B30" i="43"/>
  <c r="G22" i="48"/>
  <c r="H13" i="48"/>
  <c r="C29" i="47"/>
  <c r="C30" i="47"/>
  <c r="C31" i="47"/>
  <c r="C27" i="47"/>
  <c r="D27" i="47"/>
  <c r="C37" i="42"/>
  <c r="C18" i="42"/>
  <c r="D18" i="43"/>
  <c r="C47" i="49"/>
  <c r="D44" i="49"/>
  <c r="D47" i="49"/>
  <c r="D48" i="49"/>
  <c r="B31" i="52"/>
  <c r="B32" i="52"/>
  <c r="D31" i="52"/>
  <c r="D29" i="52"/>
  <c r="D32" i="52"/>
  <c r="B19" i="52"/>
  <c r="F28" i="33"/>
  <c r="G28" i="33"/>
  <c r="H28" i="33"/>
  <c r="F38" i="44"/>
  <c r="I38" i="44"/>
  <c r="D44" i="44"/>
  <c r="H38" i="44"/>
  <c r="K38" i="44"/>
  <c r="B21" i="51"/>
  <c r="L22" i="51"/>
  <c r="L23" i="51"/>
  <c r="L29" i="51"/>
  <c r="L20" i="51"/>
  <c r="M79" i="59"/>
  <c r="M74" i="59"/>
  <c r="O76" i="59"/>
  <c r="J15" i="44"/>
  <c r="C28" i="47"/>
  <c r="D28" i="47"/>
  <c r="C29" i="42"/>
  <c r="D29" i="42"/>
  <c r="C30" i="42"/>
  <c r="D30" i="42"/>
  <c r="C31" i="42"/>
  <c r="C27" i="42"/>
  <c r="D27" i="42"/>
  <c r="D42" i="40"/>
  <c r="D44" i="40"/>
  <c r="H14" i="49"/>
  <c r="G22" i="49"/>
  <c r="I22" i="49"/>
  <c r="J22" i="49"/>
  <c r="D37" i="50"/>
  <c r="C20" i="33"/>
  <c r="C21" i="33"/>
  <c r="F20" i="33"/>
  <c r="E96" i="43"/>
  <c r="D101" i="43"/>
  <c r="I30" i="49"/>
  <c r="H30" i="49"/>
  <c r="G31" i="49"/>
  <c r="I31" i="49"/>
  <c r="B32" i="51"/>
  <c r="L29" i="59"/>
  <c r="D28" i="40"/>
  <c r="D29" i="40"/>
  <c r="D30" i="40"/>
  <c r="D32" i="40"/>
  <c r="L26" i="40"/>
  <c r="C22" i="43"/>
  <c r="D22" i="43"/>
  <c r="C21" i="43"/>
  <c r="D21" i="43"/>
  <c r="C20" i="43"/>
  <c r="D20" i="43"/>
  <c r="C27" i="43"/>
  <c r="D27" i="43"/>
  <c r="F27" i="43"/>
  <c r="L29" i="57"/>
  <c r="B23" i="57"/>
  <c r="C122" i="57"/>
  <c r="E38" i="57"/>
  <c r="E99" i="57"/>
  <c r="E32" i="50"/>
  <c r="E98" i="51"/>
  <c r="F46" i="49"/>
  <c r="C50" i="49"/>
  <c r="L66" i="57"/>
  <c r="O76" i="57"/>
  <c r="M76" i="57"/>
  <c r="F76" i="57"/>
  <c r="F79" i="57"/>
  <c r="M79" i="57"/>
  <c r="B33" i="59"/>
  <c r="B34" i="59"/>
  <c r="L34" i="59"/>
  <c r="M76" i="59"/>
  <c r="E98" i="52"/>
  <c r="C121" i="52"/>
  <c r="E38" i="52"/>
  <c r="C19" i="55"/>
  <c r="C23" i="55"/>
  <c r="C38" i="55"/>
  <c r="L39" i="55"/>
  <c r="B31" i="57"/>
  <c r="B32" i="57"/>
  <c r="C26" i="49"/>
  <c r="C24" i="51"/>
  <c r="C29" i="55"/>
  <c r="D29" i="55"/>
  <c r="C30" i="55"/>
  <c r="D30" i="55"/>
  <c r="D32" i="55"/>
  <c r="D33" i="55"/>
  <c r="C31" i="55"/>
  <c r="D31" i="55"/>
  <c r="B19" i="55"/>
  <c r="B32" i="55"/>
  <c r="E99" i="59"/>
  <c r="C122" i="59"/>
  <c r="E38" i="59"/>
  <c r="J23" i="59"/>
  <c r="F76" i="59"/>
  <c r="L66" i="59"/>
  <c r="E22" i="43"/>
  <c r="F22" i="43"/>
  <c r="E19" i="43"/>
  <c r="E21" i="43"/>
  <c r="E20" i="43"/>
  <c r="E18" i="43"/>
  <c r="C47" i="48"/>
  <c r="C48" i="48"/>
  <c r="C49" i="48"/>
  <c r="C38" i="59"/>
  <c r="C22" i="59"/>
  <c r="C20" i="59"/>
  <c r="D20" i="59"/>
  <c r="C19" i="59"/>
  <c r="D19" i="59"/>
  <c r="C21" i="59"/>
  <c r="D21" i="59"/>
  <c r="C23" i="59"/>
  <c r="E100" i="52"/>
  <c r="D110" i="52"/>
  <c r="E105" i="52"/>
  <c r="L21" i="51"/>
  <c r="E100" i="51"/>
  <c r="E105" i="51"/>
  <c r="M31" i="57"/>
  <c r="K14" i="49"/>
  <c r="M22" i="43"/>
  <c r="M23" i="43"/>
  <c r="H28" i="40"/>
  <c r="G30" i="40"/>
  <c r="I30" i="40"/>
  <c r="D46" i="44"/>
  <c r="E106" i="59"/>
  <c r="E101" i="59"/>
  <c r="J24" i="59"/>
  <c r="F26" i="49"/>
  <c r="M44" i="49"/>
  <c r="C27" i="49"/>
  <c r="C29" i="49"/>
  <c r="C29" i="57"/>
  <c r="D29" i="57"/>
  <c r="C30" i="57"/>
  <c r="D30" i="57"/>
  <c r="C31" i="57"/>
  <c r="B24" i="57"/>
  <c r="F21" i="43"/>
  <c r="B33" i="51"/>
  <c r="D33" i="51"/>
  <c r="B34" i="51"/>
  <c r="L34" i="51"/>
  <c r="F18" i="43"/>
  <c r="F45" i="48"/>
  <c r="D22" i="33"/>
  <c r="D37" i="42"/>
  <c r="G26" i="49"/>
  <c r="H22" i="49"/>
  <c r="L32" i="52"/>
  <c r="L33" i="52"/>
  <c r="K16" i="49"/>
  <c r="F35" i="44"/>
  <c r="D38" i="55"/>
  <c r="B33" i="55"/>
  <c r="B34" i="55"/>
  <c r="L34" i="55"/>
  <c r="D31" i="57"/>
  <c r="C23" i="57"/>
  <c r="D23" i="57"/>
  <c r="C19" i="57"/>
  <c r="D19" i="57"/>
  <c r="C22" i="57"/>
  <c r="D22" i="57"/>
  <c r="C21" i="57"/>
  <c r="D21" i="57"/>
  <c r="D24" i="57"/>
  <c r="D25" i="57"/>
  <c r="C20" i="57"/>
  <c r="D20" i="57"/>
  <c r="C38" i="57"/>
  <c r="D40" i="50"/>
  <c r="D39" i="50"/>
  <c r="B23" i="51"/>
  <c r="B24" i="51"/>
  <c r="D18" i="42"/>
  <c r="M21" i="42"/>
  <c r="M22" i="42"/>
  <c r="K13" i="48"/>
  <c r="L30" i="43"/>
  <c r="J15" i="48"/>
  <c r="H51" i="33"/>
  <c r="B23" i="52"/>
  <c r="L20" i="52"/>
  <c r="L29" i="52"/>
  <c r="L22" i="52"/>
  <c r="L23" i="52"/>
  <c r="L20" i="55"/>
  <c r="L22" i="55"/>
  <c r="L23" i="55"/>
  <c r="D19" i="55"/>
  <c r="B23" i="55"/>
  <c r="B24" i="55"/>
  <c r="L29" i="55"/>
  <c r="F50" i="49"/>
  <c r="G46" i="49"/>
  <c r="E106" i="57"/>
  <c r="E101" i="57"/>
  <c r="K15" i="44"/>
  <c r="D51" i="49"/>
  <c r="D52" i="49"/>
  <c r="B60" i="49"/>
  <c r="J60" i="49"/>
  <c r="I22" i="48"/>
  <c r="D28" i="43"/>
  <c r="F25" i="48"/>
  <c r="C26" i="48"/>
  <c r="M44" i="48"/>
  <c r="D29" i="43"/>
  <c r="F35" i="48"/>
  <c r="K15" i="48"/>
  <c r="D41" i="50"/>
  <c r="D42" i="50"/>
  <c r="F27" i="49"/>
  <c r="M45" i="49"/>
  <c r="M41" i="49"/>
  <c r="E111" i="57"/>
  <c r="D33" i="52"/>
  <c r="D34" i="55"/>
  <c r="N34" i="55"/>
  <c r="D47" i="44"/>
  <c r="D48" i="44"/>
  <c r="D49" i="44"/>
  <c r="D50" i="44"/>
  <c r="L61" i="44"/>
  <c r="K28" i="40"/>
  <c r="H30" i="40"/>
  <c r="K30" i="40"/>
  <c r="G38" i="49"/>
  <c r="G27" i="49"/>
  <c r="G29" i="49"/>
  <c r="G32" i="49"/>
  <c r="D30" i="43"/>
  <c r="F28" i="43"/>
  <c r="L29" i="43"/>
  <c r="E19" i="57"/>
  <c r="E20" i="57"/>
  <c r="E29" i="57"/>
  <c r="D38" i="57"/>
  <c r="L39" i="57"/>
  <c r="I26" i="49"/>
  <c r="L37" i="49"/>
  <c r="F38" i="49"/>
  <c r="H46" i="49"/>
  <c r="G50" i="49"/>
  <c r="H50" i="49"/>
  <c r="D23" i="55"/>
  <c r="M31" i="55"/>
  <c r="N21" i="42"/>
  <c r="N22" i="42"/>
  <c r="B25" i="57"/>
  <c r="B26" i="57"/>
  <c r="J25" i="59"/>
  <c r="J26" i="59"/>
  <c r="M29" i="59"/>
  <c r="D38" i="59"/>
  <c r="L39" i="59"/>
  <c r="N29" i="43"/>
  <c r="M30" i="43"/>
  <c r="C27" i="48"/>
  <c r="I46" i="49"/>
  <c r="J46" i="49"/>
  <c r="K46" i="49"/>
  <c r="M31" i="51"/>
  <c r="D23" i="51"/>
  <c r="E35" i="44"/>
  <c r="E44" i="44"/>
  <c r="K22" i="49"/>
  <c r="G45" i="48"/>
  <c r="L32" i="57"/>
  <c r="L33" i="57"/>
  <c r="D32" i="57"/>
  <c r="E111" i="59"/>
  <c r="H26" i="49"/>
  <c r="C32" i="49"/>
  <c r="M47" i="49"/>
  <c r="C34" i="49"/>
  <c r="E35" i="48"/>
  <c r="E44" i="48"/>
  <c r="E46" i="48"/>
  <c r="F29" i="43"/>
  <c r="F30" i="43"/>
  <c r="J30" i="43"/>
  <c r="L41" i="49"/>
  <c r="G44" i="49"/>
  <c r="E23" i="57"/>
  <c r="F23" i="57"/>
  <c r="E21" i="57"/>
  <c r="F34" i="49"/>
  <c r="M49" i="49"/>
  <c r="M55" i="49"/>
  <c r="E19" i="59"/>
  <c r="E29" i="59"/>
  <c r="F38" i="59"/>
  <c r="D39" i="59"/>
  <c r="E38" i="49"/>
  <c r="I38" i="49"/>
  <c r="L38" i="49"/>
  <c r="I27" i="49"/>
  <c r="J27" i="49"/>
  <c r="L27" i="49"/>
  <c r="D26" i="57"/>
  <c r="E20" i="52"/>
  <c r="F20" i="52"/>
  <c r="E21" i="52"/>
  <c r="E22" i="52"/>
  <c r="M24" i="52"/>
  <c r="E23" i="52"/>
  <c r="E31" i="52"/>
  <c r="F31" i="52"/>
  <c r="E29" i="52"/>
  <c r="F29" i="52"/>
  <c r="E30" i="52"/>
  <c r="F30" i="52"/>
  <c r="E19" i="52"/>
  <c r="I50" i="49"/>
  <c r="J50" i="49"/>
  <c r="K50" i="49"/>
  <c r="M39" i="49"/>
  <c r="H38" i="49"/>
  <c r="L24" i="49"/>
  <c r="H27" i="49"/>
  <c r="C36" i="49"/>
  <c r="C33" i="49"/>
  <c r="C31" i="48"/>
  <c r="F27" i="48"/>
  <c r="C30" i="48"/>
  <c r="M46" i="48"/>
  <c r="F20" i="57"/>
  <c r="K20" i="57"/>
  <c r="F38" i="57"/>
  <c r="D39" i="57"/>
  <c r="F19" i="57"/>
  <c r="F36" i="49"/>
  <c r="E31" i="59"/>
  <c r="E30" i="59"/>
  <c r="J38" i="57"/>
  <c r="F39" i="57"/>
  <c r="J39" i="57"/>
  <c r="E44" i="49"/>
  <c r="E49" i="49"/>
  <c r="F39" i="59"/>
  <c r="J39" i="59"/>
  <c r="J38" i="59"/>
  <c r="K19" i="57"/>
  <c r="C32" i="48"/>
  <c r="F32" i="48"/>
  <c r="E20" i="59"/>
  <c r="F19" i="59"/>
  <c r="K19" i="59"/>
  <c r="E22" i="57"/>
  <c r="F21" i="57"/>
  <c r="F24" i="57"/>
  <c r="F30" i="48"/>
  <c r="E47" i="49"/>
  <c r="F44" i="49"/>
  <c r="I44" i="49"/>
  <c r="F22" i="57"/>
  <c r="K22" i="57"/>
  <c r="O23" i="57"/>
  <c r="O22" i="57"/>
  <c r="E47" i="48"/>
  <c r="E48" i="48"/>
  <c r="E49" i="48"/>
  <c r="E50" i="48"/>
  <c r="E61" i="48"/>
  <c r="H61" i="48"/>
  <c r="E23" i="59"/>
  <c r="E21" i="59"/>
  <c r="F20" i="59"/>
  <c r="K20" i="59"/>
  <c r="J40" i="59"/>
  <c r="M28" i="59"/>
  <c r="E22" i="59"/>
  <c r="F21" i="59"/>
  <c r="K21" i="59"/>
  <c r="F47" i="49"/>
  <c r="E48" i="49"/>
  <c r="E51" i="49"/>
  <c r="E52" i="49"/>
  <c r="D60" i="49"/>
  <c r="G60" i="49"/>
  <c r="F48" i="49"/>
  <c r="F44" i="44"/>
  <c r="E46" i="44"/>
  <c r="E30" i="57"/>
  <c r="F30" i="57"/>
  <c r="K30" i="57"/>
  <c r="F29" i="57"/>
  <c r="E31" i="57"/>
  <c r="F31" i="57"/>
  <c r="K31" i="57"/>
  <c r="D43" i="50"/>
  <c r="M53" i="48"/>
  <c r="F51" i="49"/>
  <c r="F52" i="49"/>
  <c r="D33" i="57"/>
  <c r="D34" i="57"/>
  <c r="D45" i="40"/>
  <c r="D46" i="40"/>
  <c r="D47" i="40"/>
  <c r="D48" i="40"/>
  <c r="L59" i="40"/>
  <c r="C33" i="48"/>
  <c r="M48" i="48"/>
  <c r="H45" i="48"/>
  <c r="I45" i="48"/>
  <c r="J45" i="48"/>
  <c r="D36" i="31"/>
  <c r="F34" i="31"/>
  <c r="F36" i="31"/>
  <c r="F37" i="31"/>
  <c r="F38" i="31"/>
  <c r="F39" i="31"/>
  <c r="L34" i="49"/>
  <c r="L28" i="57"/>
  <c r="F25" i="57"/>
  <c r="F26" i="57"/>
  <c r="K27" i="49"/>
  <c r="M22" i="55"/>
  <c r="M23" i="55"/>
  <c r="K21" i="57"/>
  <c r="F32" i="52"/>
  <c r="G36" i="49"/>
  <c r="G33" i="49"/>
  <c r="G34" i="49"/>
  <c r="I34" i="49"/>
  <c r="J34" i="49"/>
  <c r="I39" i="49"/>
  <c r="F49" i="49"/>
  <c r="H32" i="50"/>
  <c r="E37" i="50"/>
  <c r="B30" i="47"/>
  <c r="D29" i="47"/>
  <c r="E36" i="40"/>
  <c r="E42" i="40"/>
  <c r="E44" i="40"/>
  <c r="C42" i="40"/>
  <c r="L38" i="40"/>
  <c r="L39" i="40"/>
  <c r="D39" i="55"/>
  <c r="F20" i="43"/>
  <c r="B33" i="57"/>
  <c r="B34" i="57"/>
  <c r="C51" i="49"/>
  <c r="C48" i="49"/>
  <c r="D28" i="48"/>
  <c r="D31" i="48"/>
  <c r="F31" i="48"/>
  <c r="K18" i="48"/>
  <c r="J25" i="48"/>
  <c r="F37" i="40"/>
  <c r="B23" i="59"/>
  <c r="D22" i="59"/>
  <c r="F22" i="59"/>
  <c r="K22" i="59"/>
  <c r="J23" i="57"/>
  <c r="J24" i="57"/>
  <c r="M45" i="48"/>
  <c r="F26" i="48"/>
  <c r="B25" i="55"/>
  <c r="B26" i="55"/>
  <c r="D110" i="51"/>
  <c r="K16" i="44"/>
  <c r="D20" i="47"/>
  <c r="B22" i="47"/>
  <c r="L20" i="47"/>
  <c r="L21" i="47"/>
  <c r="L22" i="47"/>
  <c r="H29" i="49"/>
  <c r="M40" i="48"/>
  <c r="C36" i="33"/>
  <c r="D34" i="52"/>
  <c r="N34" i="52"/>
  <c r="J23" i="55"/>
  <c r="J25" i="55"/>
  <c r="J26" i="55"/>
  <c r="J22" i="48"/>
  <c r="L25" i="48"/>
  <c r="M31" i="52"/>
  <c r="B24" i="52"/>
  <c r="B25" i="51"/>
  <c r="D24" i="51"/>
  <c r="C22" i="33"/>
  <c r="F21" i="33"/>
  <c r="L30" i="42"/>
  <c r="L31" i="42"/>
  <c r="B33" i="52"/>
  <c r="B34" i="52"/>
  <c r="L34" i="52"/>
  <c r="G25" i="48"/>
  <c r="H22" i="48"/>
  <c r="C27" i="44"/>
  <c r="F26" i="44"/>
  <c r="M45" i="44"/>
  <c r="H31" i="33"/>
  <c r="G34" i="33"/>
  <c r="F45" i="44"/>
  <c r="C46" i="44"/>
  <c r="M40" i="44"/>
  <c r="G45" i="49"/>
  <c r="I45" i="49"/>
  <c r="J45" i="49"/>
  <c r="D19" i="52"/>
  <c r="L32" i="55"/>
  <c r="L33" i="55"/>
  <c r="K30" i="49"/>
  <c r="H31" i="49"/>
  <c r="K31" i="49"/>
  <c r="E37" i="31"/>
  <c r="E38" i="31"/>
  <c r="E39" i="31"/>
  <c r="E40" i="31"/>
  <c r="E44" i="31"/>
  <c r="G44" i="31"/>
  <c r="N22" i="43"/>
  <c r="D23" i="43"/>
  <c r="O23" i="43"/>
  <c r="F19" i="43"/>
  <c r="J17" i="49"/>
  <c r="L26" i="49"/>
  <c r="M26" i="49"/>
  <c r="G20" i="31"/>
  <c r="H20" i="31"/>
  <c r="H19" i="31"/>
  <c r="H13" i="44"/>
  <c r="G22" i="44"/>
  <c r="C120" i="42"/>
  <c r="E97" i="42"/>
  <c r="B32" i="42"/>
  <c r="L32" i="42"/>
  <c r="B31" i="42"/>
  <c r="D31" i="42"/>
  <c r="C59" i="40"/>
  <c r="H14" i="40"/>
  <c r="G39" i="50"/>
  <c r="G40" i="50"/>
  <c r="G41" i="50"/>
  <c r="G42" i="50"/>
  <c r="G43" i="50"/>
  <c r="D34" i="33"/>
  <c r="H19" i="33"/>
  <c r="G21" i="33"/>
  <c r="H37" i="48"/>
  <c r="D44" i="48"/>
  <c r="G28" i="48"/>
  <c r="C120" i="47"/>
  <c r="E97" i="47"/>
  <c r="C24" i="47"/>
  <c r="C21" i="47"/>
  <c r="D21" i="47"/>
  <c r="C35" i="47"/>
  <c r="D35" i="47"/>
  <c r="C18" i="47"/>
  <c r="C23" i="47"/>
  <c r="C36" i="47"/>
  <c r="D36" i="47"/>
  <c r="C22" i="47"/>
  <c r="B37" i="47"/>
  <c r="D22" i="55"/>
  <c r="C31" i="59"/>
  <c r="D31" i="59"/>
  <c r="F31" i="59"/>
  <c r="K31" i="59"/>
  <c r="C30" i="59"/>
  <c r="D30" i="59"/>
  <c r="F30" i="59"/>
  <c r="K30" i="59"/>
  <c r="C29" i="59"/>
  <c r="D29" i="59"/>
  <c r="L38" i="44"/>
  <c r="L39" i="44"/>
  <c r="L20" i="42"/>
  <c r="B22" i="42"/>
  <c r="H28" i="44"/>
  <c r="I28" i="44"/>
  <c r="C61" i="48"/>
  <c r="C27" i="40"/>
  <c r="G22" i="40"/>
  <c r="G25" i="40"/>
  <c r="F35" i="31"/>
  <c r="G35" i="31"/>
  <c r="H35" i="31"/>
  <c r="C36" i="31"/>
  <c r="B38" i="42"/>
  <c r="L38" i="42"/>
  <c r="D36" i="42"/>
  <c r="K15" i="40"/>
  <c r="D28" i="49"/>
  <c r="F28" i="49"/>
  <c r="I28" i="49"/>
  <c r="J28" i="49"/>
  <c r="K28" i="49"/>
  <c r="D29" i="49"/>
  <c r="C121" i="55"/>
  <c r="E38" i="55"/>
  <c r="F38" i="55"/>
  <c r="E98" i="55"/>
  <c r="C21" i="55"/>
  <c r="D21" i="55"/>
  <c r="C20" i="55"/>
  <c r="D20" i="55"/>
  <c r="C20" i="31"/>
  <c r="C38" i="52"/>
  <c r="G28" i="31"/>
  <c r="H28" i="31"/>
  <c r="B23" i="47"/>
  <c r="H39" i="49"/>
  <c r="C38" i="51"/>
  <c r="C25" i="51"/>
  <c r="C20" i="51"/>
  <c r="D20" i="51"/>
  <c r="C23" i="52"/>
  <c r="D23" i="52"/>
  <c r="C21" i="52"/>
  <c r="D21" i="52"/>
  <c r="F21" i="52"/>
  <c r="B24" i="43"/>
  <c r="C19" i="51"/>
  <c r="C32" i="51"/>
  <c r="D32" i="51"/>
  <c r="C22" i="52"/>
  <c r="D22" i="52"/>
  <c r="F22" i="52"/>
  <c r="G26" i="40"/>
  <c r="I26" i="40"/>
  <c r="G37" i="40"/>
  <c r="G42" i="40"/>
  <c r="G27" i="40"/>
  <c r="I25" i="40"/>
  <c r="L37" i="40"/>
  <c r="F39" i="55"/>
  <c r="J39" i="55"/>
  <c r="J38" i="55"/>
  <c r="F23" i="52"/>
  <c r="O23" i="52"/>
  <c r="F36" i="47"/>
  <c r="L37" i="47"/>
  <c r="D38" i="47"/>
  <c r="L34" i="57"/>
  <c r="B35" i="57"/>
  <c r="N34" i="57"/>
  <c r="D35" i="57"/>
  <c r="D40" i="57"/>
  <c r="E100" i="55"/>
  <c r="E105" i="55"/>
  <c r="E104" i="47"/>
  <c r="E99" i="47"/>
  <c r="C49" i="44"/>
  <c r="C47" i="44"/>
  <c r="C48" i="44"/>
  <c r="M29" i="42"/>
  <c r="D22" i="42"/>
  <c r="B23" i="42"/>
  <c r="K59" i="40"/>
  <c r="D37" i="47"/>
  <c r="B38" i="47"/>
  <c r="L38" i="47"/>
  <c r="H28" i="48"/>
  <c r="G29" i="48"/>
  <c r="I29" i="48"/>
  <c r="C23" i="33"/>
  <c r="F22" i="33"/>
  <c r="M22" i="51"/>
  <c r="M23" i="51"/>
  <c r="D19" i="51"/>
  <c r="N22" i="55"/>
  <c r="N23" i="55"/>
  <c r="D24" i="55"/>
  <c r="L24" i="55"/>
  <c r="D46" i="48"/>
  <c r="F44" i="48"/>
  <c r="E104" i="42"/>
  <c r="E99" i="42"/>
  <c r="D109" i="42"/>
  <c r="H45" i="49"/>
  <c r="K45" i="49"/>
  <c r="G49" i="49"/>
  <c r="H49" i="49"/>
  <c r="E19" i="51"/>
  <c r="E22" i="51"/>
  <c r="E25" i="51"/>
  <c r="E31" i="51"/>
  <c r="F31" i="51"/>
  <c r="E23" i="51"/>
  <c r="F23" i="51"/>
  <c r="E29" i="51"/>
  <c r="F29" i="51"/>
  <c r="E33" i="51"/>
  <c r="F33" i="51"/>
  <c r="E30" i="51"/>
  <c r="F30" i="51"/>
  <c r="E20" i="51"/>
  <c r="F20" i="51"/>
  <c r="E21" i="51"/>
  <c r="F21" i="51"/>
  <c r="E24" i="51"/>
  <c r="F24" i="51"/>
  <c r="F26" i="51"/>
  <c r="M29" i="57"/>
  <c r="J25" i="57"/>
  <c r="J26" i="57"/>
  <c r="C43" i="40"/>
  <c r="C44" i="40"/>
  <c r="F42" i="40"/>
  <c r="M34" i="49"/>
  <c r="K45" i="48"/>
  <c r="M50" i="48"/>
  <c r="C50" i="48"/>
  <c r="C62" i="48"/>
  <c r="C63" i="48"/>
  <c r="C64" i="48"/>
  <c r="F33" i="48"/>
  <c r="D38" i="42"/>
  <c r="F36" i="42"/>
  <c r="L37" i="42"/>
  <c r="H21" i="33"/>
  <c r="G22" i="33"/>
  <c r="B25" i="52"/>
  <c r="B26" i="52"/>
  <c r="I37" i="40"/>
  <c r="F32" i="51"/>
  <c r="D34" i="51"/>
  <c r="N34" i="51"/>
  <c r="C21" i="31"/>
  <c r="F20" i="31"/>
  <c r="K61" i="48"/>
  <c r="L39" i="51"/>
  <c r="D38" i="51"/>
  <c r="B25" i="43"/>
  <c r="B26" i="43"/>
  <c r="K39" i="49"/>
  <c r="H44" i="49"/>
  <c r="K28" i="44"/>
  <c r="H29" i="44"/>
  <c r="K29" i="44"/>
  <c r="L32" i="59"/>
  <c r="L33" i="59"/>
  <c r="D32" i="59"/>
  <c r="F29" i="59"/>
  <c r="E36" i="42"/>
  <c r="M38" i="42"/>
  <c r="E37" i="42"/>
  <c r="E35" i="42"/>
  <c r="G21" i="31"/>
  <c r="N24" i="43"/>
  <c r="N23" i="43"/>
  <c r="L26" i="44"/>
  <c r="L25" i="51"/>
  <c r="M25" i="51"/>
  <c r="D26" i="51"/>
  <c r="D35" i="51"/>
  <c r="C37" i="33"/>
  <c r="C38" i="33"/>
  <c r="C39" i="33"/>
  <c r="D22" i="47"/>
  <c r="M29" i="47"/>
  <c r="B35" i="55"/>
  <c r="L28" i="55"/>
  <c r="L31" i="48"/>
  <c r="E45" i="40"/>
  <c r="E46" i="40"/>
  <c r="E47" i="40"/>
  <c r="E48" i="40"/>
  <c r="E59" i="40"/>
  <c r="H59" i="40"/>
  <c r="K23" i="57"/>
  <c r="K24" i="57"/>
  <c r="M33" i="52"/>
  <c r="F33" i="52"/>
  <c r="F34" i="52"/>
  <c r="K29" i="57"/>
  <c r="F32" i="57"/>
  <c r="B24" i="47"/>
  <c r="D24" i="47"/>
  <c r="D23" i="47"/>
  <c r="M46" i="44"/>
  <c r="C30" i="44"/>
  <c r="C31" i="44"/>
  <c r="F27" i="44"/>
  <c r="D25" i="51"/>
  <c r="F25" i="51"/>
  <c r="B26" i="51"/>
  <c r="J24" i="55"/>
  <c r="M31" i="59"/>
  <c r="D23" i="59"/>
  <c r="B24" i="59"/>
  <c r="L30" i="47"/>
  <c r="L31" i="47"/>
  <c r="B61" i="49"/>
  <c r="B62" i="49"/>
  <c r="B63" i="49"/>
  <c r="O22" i="59"/>
  <c r="E37" i="47"/>
  <c r="E35" i="47"/>
  <c r="F35" i="47"/>
  <c r="E36" i="47"/>
  <c r="K17" i="49"/>
  <c r="M25" i="49"/>
  <c r="J26" i="49"/>
  <c r="L24" i="52"/>
  <c r="D24" i="52"/>
  <c r="N22" i="52"/>
  <c r="N23" i="52"/>
  <c r="F19" i="52"/>
  <c r="L26" i="48"/>
  <c r="I26" i="48"/>
  <c r="E47" i="44"/>
  <c r="E48" i="44"/>
  <c r="E49" i="44"/>
  <c r="E50" i="44"/>
  <c r="E61" i="44"/>
  <c r="H61" i="44"/>
  <c r="D38" i="52"/>
  <c r="L39" i="52"/>
  <c r="D33" i="49"/>
  <c r="F33" i="49"/>
  <c r="D30" i="49"/>
  <c r="F29" i="49"/>
  <c r="G34" i="31"/>
  <c r="F27" i="40"/>
  <c r="C31" i="40"/>
  <c r="M44" i="40"/>
  <c r="C32" i="40"/>
  <c r="D18" i="47"/>
  <c r="M21" i="47"/>
  <c r="M22" i="47"/>
  <c r="I28" i="48"/>
  <c r="D36" i="33"/>
  <c r="F34" i="33"/>
  <c r="D32" i="42"/>
  <c r="K13" i="44"/>
  <c r="H25" i="44"/>
  <c r="D24" i="43"/>
  <c r="M22" i="52"/>
  <c r="M23" i="52"/>
  <c r="G36" i="33"/>
  <c r="H34" i="33"/>
  <c r="H25" i="48"/>
  <c r="K22" i="48"/>
  <c r="M24" i="48"/>
  <c r="H32" i="49"/>
  <c r="C52" i="49"/>
  <c r="M52" i="49"/>
  <c r="G47" i="49"/>
  <c r="L24" i="43"/>
  <c r="D37" i="31"/>
  <c r="D38" i="31"/>
  <c r="D39" i="31"/>
  <c r="F46" i="44"/>
  <c r="H25" i="40"/>
  <c r="K14" i="40"/>
  <c r="H22" i="40"/>
  <c r="I22" i="40"/>
  <c r="H22" i="44"/>
  <c r="G25" i="44"/>
  <c r="I22" i="44"/>
  <c r="G45" i="44"/>
  <c r="H45" i="44"/>
  <c r="B32" i="47"/>
  <c r="L32" i="47"/>
  <c r="B31" i="47"/>
  <c r="D31" i="47"/>
  <c r="D30" i="47"/>
  <c r="C37" i="31"/>
  <c r="C38" i="31"/>
  <c r="C39" i="31"/>
  <c r="F23" i="43"/>
  <c r="F24" i="43"/>
  <c r="O22" i="43"/>
  <c r="G27" i="48"/>
  <c r="G35" i="48"/>
  <c r="I25" i="48"/>
  <c r="M25" i="48"/>
  <c r="G26" i="48"/>
  <c r="J26" i="48"/>
  <c r="J27" i="48"/>
  <c r="J30" i="48"/>
  <c r="J35" i="48"/>
  <c r="J44" i="48"/>
  <c r="J46" i="48"/>
  <c r="E40" i="50"/>
  <c r="E39" i="50"/>
  <c r="H37" i="50"/>
  <c r="I36" i="49"/>
  <c r="J31" i="48"/>
  <c r="J32" i="48"/>
  <c r="J33" i="48"/>
  <c r="J50" i="48"/>
  <c r="B31" i="43"/>
  <c r="M31" i="43"/>
  <c r="L26" i="43"/>
  <c r="H44" i="31"/>
  <c r="D40" i="31"/>
  <c r="C44" i="31"/>
  <c r="H33" i="49"/>
  <c r="I33" i="49"/>
  <c r="L33" i="49"/>
  <c r="F32" i="40"/>
  <c r="C33" i="40"/>
  <c r="O23" i="59"/>
  <c r="F23" i="59"/>
  <c r="D24" i="59"/>
  <c r="G44" i="48"/>
  <c r="G46" i="48"/>
  <c r="G47" i="48"/>
  <c r="G48" i="48"/>
  <c r="I35" i="48"/>
  <c r="D37" i="33"/>
  <c r="D38" i="33"/>
  <c r="D39" i="33"/>
  <c r="D40" i="33"/>
  <c r="I51" i="33"/>
  <c r="D33" i="59"/>
  <c r="D34" i="59"/>
  <c r="N34" i="59"/>
  <c r="I42" i="40"/>
  <c r="B24" i="42"/>
  <c r="D24" i="42"/>
  <c r="D23" i="42"/>
  <c r="B25" i="42"/>
  <c r="F37" i="47"/>
  <c r="F38" i="47"/>
  <c r="J38" i="47"/>
  <c r="M38" i="40"/>
  <c r="H26" i="40"/>
  <c r="H37" i="40"/>
  <c r="H27" i="40"/>
  <c r="G48" i="49"/>
  <c r="I48" i="49"/>
  <c r="G51" i="49"/>
  <c r="G52" i="49"/>
  <c r="I47" i="49"/>
  <c r="M38" i="44"/>
  <c r="H35" i="44"/>
  <c r="H26" i="44"/>
  <c r="H27" i="44"/>
  <c r="J38" i="49"/>
  <c r="K26" i="49"/>
  <c r="J29" i="49"/>
  <c r="F30" i="44"/>
  <c r="G22" i="31"/>
  <c r="H21" i="31"/>
  <c r="L28" i="52"/>
  <c r="B35" i="52"/>
  <c r="F37" i="42"/>
  <c r="F38" i="42"/>
  <c r="J38" i="42"/>
  <c r="C45" i="40"/>
  <c r="C46" i="40"/>
  <c r="C47" i="40"/>
  <c r="K28" i="48"/>
  <c r="H29" i="48"/>
  <c r="K29" i="48"/>
  <c r="O22" i="42"/>
  <c r="L23" i="42"/>
  <c r="G31" i="40"/>
  <c r="J47" i="48"/>
  <c r="J48" i="48"/>
  <c r="J49" i="48"/>
  <c r="G30" i="48"/>
  <c r="I27" i="48"/>
  <c r="D32" i="47"/>
  <c r="G27" i="44"/>
  <c r="G35" i="44"/>
  <c r="G26" i="44"/>
  <c r="I26" i="44"/>
  <c r="I25" i="44"/>
  <c r="H26" i="48"/>
  <c r="K26" i="48"/>
  <c r="M38" i="48"/>
  <c r="H27" i="48"/>
  <c r="K25" i="48"/>
  <c r="H35" i="48"/>
  <c r="F31" i="40"/>
  <c r="I27" i="40"/>
  <c r="D39" i="52"/>
  <c r="F38" i="52"/>
  <c r="F39" i="52"/>
  <c r="J39" i="52"/>
  <c r="I49" i="49"/>
  <c r="F31" i="44"/>
  <c r="C32" i="44"/>
  <c r="F35" i="42"/>
  <c r="N37" i="42"/>
  <c r="M43" i="40"/>
  <c r="F43" i="40"/>
  <c r="E29" i="42"/>
  <c r="F29" i="42"/>
  <c r="E30" i="42"/>
  <c r="F30" i="42"/>
  <c r="E18" i="42"/>
  <c r="E19" i="42"/>
  <c r="F19" i="42"/>
  <c r="E24" i="42"/>
  <c r="E20" i="42"/>
  <c r="F20" i="42"/>
  <c r="E23" i="42"/>
  <c r="E28" i="42"/>
  <c r="F28" i="42"/>
  <c r="E21" i="42"/>
  <c r="F21" i="42"/>
  <c r="E22" i="42"/>
  <c r="F22" i="42"/>
  <c r="E31" i="42"/>
  <c r="F31" i="42"/>
  <c r="E27" i="42"/>
  <c r="F27" i="42"/>
  <c r="F19" i="51"/>
  <c r="L24" i="51"/>
  <c r="N22" i="51"/>
  <c r="N23" i="51"/>
  <c r="D110" i="55"/>
  <c r="L35" i="57"/>
  <c r="B40" i="57"/>
  <c r="M40" i="57"/>
  <c r="G43" i="40"/>
  <c r="H43" i="40"/>
  <c r="F47" i="44"/>
  <c r="N21" i="47"/>
  <c r="N22" i="47"/>
  <c r="L23" i="47"/>
  <c r="G36" i="31"/>
  <c r="H34" i="31"/>
  <c r="N24" i="52"/>
  <c r="N25" i="52"/>
  <c r="F24" i="52"/>
  <c r="O22" i="52"/>
  <c r="D39" i="51"/>
  <c r="D40" i="51"/>
  <c r="F38" i="51"/>
  <c r="F39" i="51"/>
  <c r="J39" i="51"/>
  <c r="C22" i="31"/>
  <c r="F21" i="31"/>
  <c r="O23" i="51"/>
  <c r="F22" i="51"/>
  <c r="M38" i="47"/>
  <c r="N37" i="47"/>
  <c r="M53" i="44"/>
  <c r="K45" i="44"/>
  <c r="M20" i="43"/>
  <c r="D25" i="43"/>
  <c r="D26" i="43"/>
  <c r="D31" i="43"/>
  <c r="L25" i="43"/>
  <c r="L24" i="47"/>
  <c r="M24" i="47"/>
  <c r="D25" i="47"/>
  <c r="D33" i="47"/>
  <c r="D39" i="47"/>
  <c r="E41" i="50"/>
  <c r="E42" i="50"/>
  <c r="J22" i="44"/>
  <c r="J25" i="44"/>
  <c r="L25" i="44"/>
  <c r="F25" i="43"/>
  <c r="F26" i="43"/>
  <c r="J22" i="40"/>
  <c r="J25" i="40"/>
  <c r="L25" i="40"/>
  <c r="M25" i="40"/>
  <c r="H36" i="33"/>
  <c r="G37" i="33"/>
  <c r="I29" i="49"/>
  <c r="F32" i="49"/>
  <c r="I32" i="49"/>
  <c r="L28" i="51"/>
  <c r="B35" i="51"/>
  <c r="K32" i="57"/>
  <c r="F33" i="57"/>
  <c r="K33" i="57"/>
  <c r="M33" i="57"/>
  <c r="F34" i="57"/>
  <c r="M20" i="51"/>
  <c r="G23" i="33"/>
  <c r="H22" i="33"/>
  <c r="M28" i="57"/>
  <c r="J40" i="57"/>
  <c r="M24" i="51"/>
  <c r="I44" i="48"/>
  <c r="F46" i="48"/>
  <c r="H39" i="50"/>
  <c r="H40" i="50"/>
  <c r="I45" i="44"/>
  <c r="J45" i="44"/>
  <c r="K22" i="40"/>
  <c r="M24" i="40"/>
  <c r="F36" i="33"/>
  <c r="F37" i="33"/>
  <c r="F38" i="33"/>
  <c r="F39" i="33"/>
  <c r="J38" i="33"/>
  <c r="L25" i="52"/>
  <c r="D25" i="52"/>
  <c r="D26" i="52"/>
  <c r="D35" i="52"/>
  <c r="D40" i="52"/>
  <c r="M25" i="52"/>
  <c r="M20" i="52"/>
  <c r="B25" i="59"/>
  <c r="B26" i="59"/>
  <c r="B25" i="47"/>
  <c r="K25" i="57"/>
  <c r="K26" i="57"/>
  <c r="L26" i="57"/>
  <c r="L35" i="55"/>
  <c r="B40" i="55"/>
  <c r="M40" i="55"/>
  <c r="K29" i="59"/>
  <c r="F32" i="59"/>
  <c r="H47" i="49"/>
  <c r="M33" i="51"/>
  <c r="F34" i="51"/>
  <c r="F35" i="51"/>
  <c r="D47" i="48"/>
  <c r="D48" i="48"/>
  <c r="D49" i="48"/>
  <c r="D50" i="48"/>
  <c r="L61" i="48"/>
  <c r="D25" i="55"/>
  <c r="D26" i="55"/>
  <c r="D35" i="55"/>
  <c r="D40" i="55"/>
  <c r="L25" i="55"/>
  <c r="M25" i="55"/>
  <c r="C24" i="33"/>
  <c r="F23" i="33"/>
  <c r="D109" i="47"/>
  <c r="K35" i="51"/>
  <c r="K40" i="51"/>
  <c r="F40" i="51"/>
  <c r="J35" i="51"/>
  <c r="J26" i="43"/>
  <c r="J31" i="43"/>
  <c r="F31" i="43"/>
  <c r="K26" i="43"/>
  <c r="K31" i="43"/>
  <c r="B35" i="59"/>
  <c r="L28" i="59"/>
  <c r="C40" i="33"/>
  <c r="C52" i="33"/>
  <c r="C53" i="33"/>
  <c r="C54" i="33"/>
  <c r="F24" i="33"/>
  <c r="F40" i="33"/>
  <c r="G31" i="48"/>
  <c r="I30" i="48"/>
  <c r="H31" i="40"/>
  <c r="H48" i="48"/>
  <c r="G49" i="48"/>
  <c r="M46" i="40"/>
  <c r="F33" i="40"/>
  <c r="I33" i="40"/>
  <c r="C34" i="40"/>
  <c r="H23" i="33"/>
  <c r="H24" i="33"/>
  <c r="G24" i="33"/>
  <c r="L35" i="51"/>
  <c r="B40" i="51"/>
  <c r="M40" i="51"/>
  <c r="E43" i="50"/>
  <c r="H42" i="50"/>
  <c r="H43" i="50"/>
  <c r="E20" i="55"/>
  <c r="F20" i="55"/>
  <c r="K20" i="55"/>
  <c r="E31" i="55"/>
  <c r="F31" i="55"/>
  <c r="K31" i="55"/>
  <c r="E21" i="55"/>
  <c r="F21" i="55"/>
  <c r="K21" i="55"/>
  <c r="E30" i="55"/>
  <c r="F30" i="55"/>
  <c r="K30" i="55"/>
  <c r="E29" i="55"/>
  <c r="F29" i="55"/>
  <c r="E23" i="55"/>
  <c r="E19" i="55"/>
  <c r="E22" i="55"/>
  <c r="H30" i="48"/>
  <c r="K27" i="48"/>
  <c r="L30" i="48"/>
  <c r="G30" i="44"/>
  <c r="G23" i="31"/>
  <c r="H22" i="31"/>
  <c r="J32" i="49"/>
  <c r="K29" i="49"/>
  <c r="L32" i="49"/>
  <c r="H44" i="44"/>
  <c r="H42" i="40"/>
  <c r="B33" i="42"/>
  <c r="L26" i="42"/>
  <c r="L32" i="40"/>
  <c r="H34" i="49"/>
  <c r="L36" i="49"/>
  <c r="L35" i="49"/>
  <c r="J26" i="44"/>
  <c r="J35" i="44"/>
  <c r="J44" i="44"/>
  <c r="J46" i="44"/>
  <c r="J27" i="44"/>
  <c r="J30" i="44"/>
  <c r="K22" i="44"/>
  <c r="M24" i="44"/>
  <c r="I35" i="44"/>
  <c r="G44" i="44"/>
  <c r="K25" i="44"/>
  <c r="H48" i="49"/>
  <c r="H51" i="49"/>
  <c r="J37" i="40"/>
  <c r="J42" i="40"/>
  <c r="J44" i="40"/>
  <c r="J26" i="40"/>
  <c r="J27" i="40"/>
  <c r="F25" i="52"/>
  <c r="F26" i="52"/>
  <c r="F35" i="52"/>
  <c r="F18" i="42"/>
  <c r="M23" i="42"/>
  <c r="B40" i="52"/>
  <c r="M40" i="52"/>
  <c r="L35" i="52"/>
  <c r="K26" i="40"/>
  <c r="M19" i="42"/>
  <c r="D25" i="42"/>
  <c r="D33" i="42"/>
  <c r="D39" i="42"/>
  <c r="L24" i="42"/>
  <c r="M24" i="42"/>
  <c r="F23" i="42"/>
  <c r="E28" i="47"/>
  <c r="F28" i="47"/>
  <c r="E23" i="47"/>
  <c r="F23" i="47"/>
  <c r="F25" i="47"/>
  <c r="E20" i="47"/>
  <c r="F20" i="47"/>
  <c r="E31" i="47"/>
  <c r="F31" i="47"/>
  <c r="E29" i="47"/>
  <c r="F29" i="47"/>
  <c r="E21" i="47"/>
  <c r="E24" i="47"/>
  <c r="F24" i="47"/>
  <c r="E18" i="47"/>
  <c r="E22" i="47"/>
  <c r="E30" i="47"/>
  <c r="F30" i="47"/>
  <c r="E19" i="47"/>
  <c r="F19" i="47"/>
  <c r="E27" i="47"/>
  <c r="F27" i="47"/>
  <c r="M33" i="59"/>
  <c r="K32" i="59"/>
  <c r="F34" i="59"/>
  <c r="K34" i="59"/>
  <c r="F33" i="59"/>
  <c r="K33" i="59"/>
  <c r="L26" i="47"/>
  <c r="B33" i="47"/>
  <c r="H41" i="50"/>
  <c r="I41" i="50"/>
  <c r="K34" i="57"/>
  <c r="K35" i="57"/>
  <c r="F35" i="57"/>
  <c r="N32" i="42"/>
  <c r="G44" i="40"/>
  <c r="G45" i="40"/>
  <c r="G46" i="40"/>
  <c r="F32" i="42"/>
  <c r="M31" i="42"/>
  <c r="M48" i="44"/>
  <c r="F32" i="44"/>
  <c r="C33" i="44"/>
  <c r="I31" i="40"/>
  <c r="N32" i="47"/>
  <c r="J44" i="49"/>
  <c r="K38" i="49"/>
  <c r="I51" i="49"/>
  <c r="I52" i="49"/>
  <c r="K25" i="40"/>
  <c r="F24" i="42"/>
  <c r="D26" i="59"/>
  <c r="D35" i="59"/>
  <c r="D40" i="59"/>
  <c r="D25" i="59"/>
  <c r="F22" i="31"/>
  <c r="C23" i="31"/>
  <c r="K43" i="40"/>
  <c r="N24" i="51"/>
  <c r="N25" i="51"/>
  <c r="O22" i="51"/>
  <c r="L31" i="44"/>
  <c r="G32" i="40"/>
  <c r="G33" i="40"/>
  <c r="G34" i="40"/>
  <c r="M33" i="40"/>
  <c r="K27" i="44"/>
  <c r="L30" i="44"/>
  <c r="H30" i="44"/>
  <c r="K23" i="59"/>
  <c r="K24" i="59"/>
  <c r="F24" i="59"/>
  <c r="F47" i="48"/>
  <c r="I46" i="48"/>
  <c r="G38" i="33"/>
  <c r="H37" i="33"/>
  <c r="M25" i="44"/>
  <c r="G37" i="31"/>
  <c r="H36" i="31"/>
  <c r="F48" i="44"/>
  <c r="I43" i="40"/>
  <c r="J43" i="40"/>
  <c r="J49" i="49"/>
  <c r="K49" i="49"/>
  <c r="L49" i="49"/>
  <c r="H44" i="48"/>
  <c r="K35" i="48"/>
  <c r="I27" i="44"/>
  <c r="K26" i="44"/>
  <c r="F44" i="40"/>
  <c r="F40" i="52"/>
  <c r="K35" i="52"/>
  <c r="K40" i="52"/>
  <c r="J35" i="52"/>
  <c r="J31" i="40"/>
  <c r="K27" i="40"/>
  <c r="L31" i="40"/>
  <c r="F49" i="44"/>
  <c r="L33" i="47"/>
  <c r="B39" i="47"/>
  <c r="M39" i="47"/>
  <c r="L37" i="57"/>
  <c r="F40" i="57"/>
  <c r="F22" i="47"/>
  <c r="M19" i="47"/>
  <c r="J45" i="40"/>
  <c r="J46" i="40"/>
  <c r="J47" i="40"/>
  <c r="K37" i="40"/>
  <c r="K30" i="48"/>
  <c r="H31" i="48"/>
  <c r="F45" i="40"/>
  <c r="I44" i="40"/>
  <c r="K25" i="59"/>
  <c r="K26" i="59"/>
  <c r="L26" i="59"/>
  <c r="K35" i="59"/>
  <c r="J31" i="44"/>
  <c r="J32" i="44"/>
  <c r="J33" i="44"/>
  <c r="M35" i="57"/>
  <c r="K40" i="57"/>
  <c r="M46" i="57"/>
  <c r="M23" i="47"/>
  <c r="F18" i="47"/>
  <c r="N23" i="42"/>
  <c r="N24" i="42"/>
  <c r="O21" i="42"/>
  <c r="J47" i="44"/>
  <c r="J48" i="44"/>
  <c r="J49" i="44"/>
  <c r="K34" i="49"/>
  <c r="N33" i="49"/>
  <c r="H36" i="49"/>
  <c r="H44" i="40"/>
  <c r="K42" i="40"/>
  <c r="H23" i="31"/>
  <c r="H24" i="31"/>
  <c r="G24" i="31"/>
  <c r="O23" i="55"/>
  <c r="F22" i="55"/>
  <c r="K22" i="55"/>
  <c r="K48" i="48"/>
  <c r="G32" i="48"/>
  <c r="I31" i="48"/>
  <c r="B40" i="59"/>
  <c r="M40" i="59"/>
  <c r="L35" i="59"/>
  <c r="H38" i="33"/>
  <c r="G39" i="33"/>
  <c r="H39" i="33"/>
  <c r="H40" i="33"/>
  <c r="I52" i="33"/>
  <c r="I53" i="33"/>
  <c r="I54" i="33"/>
  <c r="I55" i="33"/>
  <c r="K30" i="44"/>
  <c r="H31" i="44"/>
  <c r="J47" i="49"/>
  <c r="K44" i="49"/>
  <c r="I32" i="40"/>
  <c r="K35" i="44"/>
  <c r="M24" i="55"/>
  <c r="F19" i="55"/>
  <c r="M37" i="43"/>
  <c r="F21" i="47"/>
  <c r="O22" i="47"/>
  <c r="G46" i="44"/>
  <c r="I44" i="44"/>
  <c r="K44" i="44"/>
  <c r="H46" i="44"/>
  <c r="G31" i="44"/>
  <c r="F23" i="55"/>
  <c r="K23" i="55"/>
  <c r="M20" i="55"/>
  <c r="M48" i="40"/>
  <c r="C48" i="40"/>
  <c r="C60" i="40"/>
  <c r="C61" i="40"/>
  <c r="C62" i="40"/>
  <c r="F34" i="40"/>
  <c r="M35" i="51"/>
  <c r="J40" i="51"/>
  <c r="M46" i="51"/>
  <c r="K44" i="48"/>
  <c r="H46" i="48"/>
  <c r="H49" i="48"/>
  <c r="K49" i="48"/>
  <c r="I47" i="48"/>
  <c r="F48" i="48"/>
  <c r="G47" i="40"/>
  <c r="G48" i="40"/>
  <c r="H46" i="40"/>
  <c r="F25" i="42"/>
  <c r="F33" i="42"/>
  <c r="F32" i="55"/>
  <c r="K29" i="55"/>
  <c r="K31" i="40"/>
  <c r="H32" i="40"/>
  <c r="G38" i="31"/>
  <c r="H37" i="31"/>
  <c r="F25" i="59"/>
  <c r="F26" i="59"/>
  <c r="F35" i="59"/>
  <c r="F23" i="31"/>
  <c r="C24" i="31"/>
  <c r="M50" i="44"/>
  <c r="C62" i="44"/>
  <c r="C63" i="44"/>
  <c r="C64" i="44"/>
  <c r="C50" i="44"/>
  <c r="F33" i="44"/>
  <c r="M31" i="47"/>
  <c r="F32" i="47"/>
  <c r="F33" i="47"/>
  <c r="L48" i="49"/>
  <c r="L47" i="49"/>
  <c r="L33" i="42"/>
  <c r="B39" i="42"/>
  <c r="M39" i="42"/>
  <c r="J36" i="49"/>
  <c r="J33" i="49"/>
  <c r="K32" i="49"/>
  <c r="I30" i="44"/>
  <c r="K33" i="47"/>
  <c r="K39" i="47"/>
  <c r="F39" i="47"/>
  <c r="J33" i="47"/>
  <c r="K32" i="55"/>
  <c r="F33" i="55"/>
  <c r="K33" i="55"/>
  <c r="M33" i="55"/>
  <c r="F34" i="55"/>
  <c r="K34" i="55"/>
  <c r="I32" i="48"/>
  <c r="G33" i="48"/>
  <c r="M32" i="48"/>
  <c r="M35" i="59"/>
  <c r="K40" i="59"/>
  <c r="M46" i="59"/>
  <c r="M60" i="52"/>
  <c r="L44" i="52"/>
  <c r="H38" i="31"/>
  <c r="G39" i="31"/>
  <c r="H39" i="31"/>
  <c r="L60" i="57"/>
  <c r="O51" i="57"/>
  <c r="L44" i="57"/>
  <c r="L53" i="57"/>
  <c r="J48" i="57"/>
  <c r="L49" i="57"/>
  <c r="L48" i="57"/>
  <c r="F48" i="57"/>
  <c r="M49" i="57"/>
  <c r="L50" i="57"/>
  <c r="L40" i="57"/>
  <c r="N40" i="57"/>
  <c r="N47" i="57"/>
  <c r="L55" i="57"/>
  <c r="L46" i="57"/>
  <c r="M56" i="57"/>
  <c r="M69" i="57"/>
  <c r="F50" i="44"/>
  <c r="H33" i="40"/>
  <c r="K32" i="40"/>
  <c r="K46" i="40"/>
  <c r="H47" i="40"/>
  <c r="K47" i="40"/>
  <c r="J51" i="49"/>
  <c r="K51" i="49"/>
  <c r="J48" i="49"/>
  <c r="K47" i="49"/>
  <c r="G40" i="33"/>
  <c r="H52" i="33"/>
  <c r="H53" i="33"/>
  <c r="H54" i="33"/>
  <c r="H55" i="33"/>
  <c r="K44" i="40"/>
  <c r="H45" i="40"/>
  <c r="K45" i="40"/>
  <c r="J32" i="40"/>
  <c r="J33" i="40"/>
  <c r="J34" i="40"/>
  <c r="J48" i="40"/>
  <c r="L30" i="49"/>
  <c r="K33" i="49"/>
  <c r="G32" i="44"/>
  <c r="I31" i="44"/>
  <c r="G40" i="31"/>
  <c r="H45" i="31"/>
  <c r="H46" i="31"/>
  <c r="H47" i="31"/>
  <c r="H48" i="31"/>
  <c r="N23" i="47"/>
  <c r="N24" i="47"/>
  <c r="O21" i="47"/>
  <c r="J52" i="49"/>
  <c r="G62" i="49"/>
  <c r="C40" i="31"/>
  <c r="C45" i="31"/>
  <c r="C46" i="31"/>
  <c r="C47" i="31"/>
  <c r="F24" i="31"/>
  <c r="F40" i="31"/>
  <c r="K46" i="48"/>
  <c r="H47" i="48"/>
  <c r="K47" i="48"/>
  <c r="H47" i="44"/>
  <c r="K47" i="44"/>
  <c r="K46" i="44"/>
  <c r="H40" i="31"/>
  <c r="F39" i="42"/>
  <c r="J33" i="42"/>
  <c r="K33" i="42"/>
  <c r="K39" i="42"/>
  <c r="F40" i="59"/>
  <c r="L37" i="59"/>
  <c r="G47" i="44"/>
  <c r="I46" i="44"/>
  <c r="O22" i="55"/>
  <c r="F24" i="55"/>
  <c r="K19" i="55"/>
  <c r="K24" i="55"/>
  <c r="N24" i="55"/>
  <c r="N25" i="55"/>
  <c r="K36" i="49"/>
  <c r="K52" i="49"/>
  <c r="H52" i="49"/>
  <c r="J50" i="44"/>
  <c r="F46" i="40"/>
  <c r="I45" i="40"/>
  <c r="M35" i="52"/>
  <c r="J40" i="52"/>
  <c r="I48" i="48"/>
  <c r="I49" i="48"/>
  <c r="F49" i="48"/>
  <c r="F50" i="48"/>
  <c r="I34" i="40"/>
  <c r="K31" i="44"/>
  <c r="H32" i="44"/>
  <c r="H32" i="48"/>
  <c r="K31" i="48"/>
  <c r="F25" i="55"/>
  <c r="F26" i="55"/>
  <c r="F35" i="55"/>
  <c r="M33" i="42"/>
  <c r="J39" i="42"/>
  <c r="M45" i="42"/>
  <c r="K33" i="40"/>
  <c r="N32" i="40"/>
  <c r="H34" i="40"/>
  <c r="F47" i="40"/>
  <c r="F48" i="40"/>
  <c r="I46" i="40"/>
  <c r="I47" i="40"/>
  <c r="K32" i="48"/>
  <c r="N31" i="48"/>
  <c r="H33" i="48"/>
  <c r="J61" i="49"/>
  <c r="D62" i="49"/>
  <c r="L52" i="49"/>
  <c r="L58" i="49"/>
  <c r="K48" i="49"/>
  <c r="K32" i="44"/>
  <c r="N31" i="44"/>
  <c r="H33" i="44"/>
  <c r="M46" i="52"/>
  <c r="M61" i="52"/>
  <c r="G48" i="44"/>
  <c r="I47" i="44"/>
  <c r="G50" i="48"/>
  <c r="I33" i="48"/>
  <c r="I50" i="48"/>
  <c r="M33" i="47"/>
  <c r="J39" i="47"/>
  <c r="M45" i="47"/>
  <c r="G33" i="44"/>
  <c r="M32" i="44"/>
  <c r="I32" i="44"/>
  <c r="I48" i="40"/>
  <c r="K25" i="55"/>
  <c r="K26" i="55"/>
  <c r="L26" i="55"/>
  <c r="K47" i="59"/>
  <c r="L49" i="59"/>
  <c r="L48" i="59"/>
  <c r="L53" i="59"/>
  <c r="J48" i="59"/>
  <c r="O51" i="59"/>
  <c r="L46" i="59"/>
  <c r="L50" i="59"/>
  <c r="M49" i="59"/>
  <c r="M69" i="59"/>
  <c r="J47" i="59"/>
  <c r="L55" i="59"/>
  <c r="M56" i="59"/>
  <c r="L40" i="59"/>
  <c r="N40" i="59"/>
  <c r="N47" i="59"/>
  <c r="L44" i="59"/>
  <c r="L60" i="59"/>
  <c r="K49" i="59"/>
  <c r="H61" i="49"/>
  <c r="H62" i="49"/>
  <c r="J35" i="55"/>
  <c r="K35" i="55"/>
  <c r="K40" i="55"/>
  <c r="F40" i="55"/>
  <c r="H48" i="44"/>
  <c r="G49" i="44"/>
  <c r="G50" i="44"/>
  <c r="I48" i="44"/>
  <c r="I49" i="44"/>
  <c r="K33" i="48"/>
  <c r="K50" i="48"/>
  <c r="L62" i="48"/>
  <c r="L63" i="48"/>
  <c r="L64" i="48"/>
  <c r="L65" i="48"/>
  <c r="H50" i="48"/>
  <c r="I33" i="44"/>
  <c r="E62" i="49"/>
  <c r="J62" i="49"/>
  <c r="J63" i="49"/>
  <c r="E61" i="49"/>
  <c r="K33" i="44"/>
  <c r="K34" i="40"/>
  <c r="K48" i="40"/>
  <c r="L60" i="40"/>
  <c r="L61" i="40"/>
  <c r="L62" i="40"/>
  <c r="L63" i="40"/>
  <c r="H48" i="40"/>
  <c r="I50" i="44"/>
  <c r="H49" i="44"/>
  <c r="K48" i="44"/>
  <c r="K60" i="40"/>
  <c r="K61" i="40"/>
  <c r="K62" i="40"/>
  <c r="L48" i="40"/>
  <c r="K62" i="48"/>
  <c r="K63" i="48"/>
  <c r="K64" i="48"/>
  <c r="L50" i="48"/>
  <c r="M35" i="55"/>
  <c r="J40" i="55"/>
  <c r="M46" i="55"/>
  <c r="K49" i="44"/>
  <c r="K50" i="44"/>
  <c r="L62" i="44"/>
  <c r="L63" i="44"/>
  <c r="L64" i="44"/>
  <c r="L65" i="44"/>
  <c r="H50" i="44"/>
  <c r="L50" i="44"/>
  <c r="K62" i="44"/>
  <c r="K63" i="44"/>
  <c r="K64" i="44"/>
  <c r="D19" i="69" l="1"/>
  <c r="B20" i="69"/>
  <c r="B21" i="69" l="1"/>
  <c r="F19" i="69"/>
  <c r="F20" i="69" s="1"/>
  <c r="F22" i="69" s="1"/>
  <c r="D20" i="69"/>
  <c r="B22" i="69"/>
  <c r="B23" i="69" s="1"/>
  <c r="B24" i="69" s="1"/>
  <c r="D21" i="69" l="1"/>
  <c r="D22" i="69"/>
  <c r="D23" i="69" s="1"/>
  <c r="F21" i="69"/>
  <c r="F23" i="69"/>
  <c r="F24" i="69" s="1"/>
  <c r="I24" i="71" s="1"/>
  <c r="D24" i="69" l="1"/>
</calcChain>
</file>

<file path=xl/sharedStrings.xml><?xml version="1.0" encoding="utf-8"?>
<sst xmlns="http://schemas.openxmlformats.org/spreadsheetml/2006/main" count="2133" uniqueCount="508">
  <si>
    <t>№ п/п</t>
  </si>
  <si>
    <t>Наименование работ, затрат</t>
  </si>
  <si>
    <t>Затраты подрядчика:</t>
  </si>
  <si>
    <t>Итого затраты подрядчика с НДС</t>
  </si>
  <si>
    <t>Затраты заказчика:</t>
  </si>
  <si>
    <t>Итого затраты заказчика с НДС</t>
  </si>
  <si>
    <t>Работы, выполненные на стадии проектирования</t>
  </si>
  <si>
    <t xml:space="preserve">Непредвиденные расходы 2% </t>
  </si>
  <si>
    <t xml:space="preserve">Итого </t>
  </si>
  <si>
    <t xml:space="preserve">тыс. руб. </t>
  </si>
  <si>
    <t>Работы, не требующие финансового обеспечения</t>
  </si>
  <si>
    <t>НДС (20%)</t>
  </si>
  <si>
    <t>Итого 1-7</t>
  </si>
  <si>
    <t>Начальник планово-экономического отдела МБУ "УКС"</t>
  </si>
  <si>
    <t>Т.И.Капустина</t>
  </si>
  <si>
    <t>ПИР</t>
  </si>
  <si>
    <t>СК</t>
  </si>
  <si>
    <t>СМР</t>
  </si>
  <si>
    <t>Всего</t>
  </si>
  <si>
    <t>(ссылка на документ об утверждении)</t>
  </si>
  <si>
    <t>Обоснование</t>
  </si>
  <si>
    <t>Наименование глав, объектов капитального строительства, работ и затрат</t>
  </si>
  <si>
    <t>монтажных работ</t>
  </si>
  <si>
    <t>оборудования</t>
  </si>
  <si>
    <t>прочих затрат</t>
  </si>
  <si>
    <t>ОС-02-01</t>
  </si>
  <si>
    <t>Главный инженер проекта</t>
  </si>
  <si>
    <t>Итого для начисления НДС</t>
  </si>
  <si>
    <t>Заместитель директора по проектированию МБУ "УКС"</t>
  </si>
  <si>
    <t>Н.В.Илларионова</t>
  </si>
  <si>
    <t>Руководитель проектной организации</t>
  </si>
  <si>
    <t>Начальник</t>
  </si>
  <si>
    <t>отдела</t>
  </si>
  <si>
    <t>(наименование)</t>
  </si>
  <si>
    <t>Заказчик</t>
  </si>
  <si>
    <t>в ценах 2023г.</t>
  </si>
  <si>
    <t>СМР+СК</t>
  </si>
  <si>
    <t>Сметная стоимость, тыс. руб.</t>
  </si>
  <si>
    <t>всего</t>
  </si>
  <si>
    <t>Итого по Главе 2</t>
  </si>
  <si>
    <t>Итого по Главе 4</t>
  </si>
  <si>
    <t>Итого по Главам 1-7</t>
  </si>
  <si>
    <t>Итого по Главе 8</t>
  </si>
  <si>
    <t>Итого по Главам 1-8</t>
  </si>
  <si>
    <t>Итого по Главе 9</t>
  </si>
  <si>
    <t>Итого по Главам 1-9</t>
  </si>
  <si>
    <t>Итого по Главе 10</t>
  </si>
  <si>
    <t>Итого по Главам 1-10</t>
  </si>
  <si>
    <t>Итого по Главам 1-11</t>
  </si>
  <si>
    <t>Итого по Главе 12</t>
  </si>
  <si>
    <t>Итого по Главам 1-12</t>
  </si>
  <si>
    <t>Приказ № 421/пр от 04.08.2020 п.179</t>
  </si>
  <si>
    <t>ИТОГО ПО СВОДНОМУ СМЕТНОМУ РАСЧЕТУ</t>
  </si>
  <si>
    <t>Федеральный закон № 303-ФЗ от 03.08.2018</t>
  </si>
  <si>
    <t>ВСЕГО ПО СВОДНОМУ СМЕТНОМУ РАСЧЕТУ</t>
  </si>
  <si>
    <t>*Сценарные условия прогноза индексов-дефляторов Минэкономразвития РФ по письму Минэкономразвития России от 26.04.2024: 2024/2023 - 1,084; 2025/2024 - 1,073.</t>
  </si>
  <si>
    <t>в ценах 2025 г.</t>
  </si>
  <si>
    <t>Итого стоимость строительства объекта в ценах 2025 г.</t>
  </si>
  <si>
    <t xml:space="preserve">                                               УТВЕРЖДАЮ                                                                                                                                                                                                     Директор МБУ "УКС"
____________ С.М. Савельев
 «____» ______________2024 г.</t>
  </si>
  <si>
    <t>Исполнитель: Будрецких Вера Константиновна 31-17-65</t>
  </si>
  <si>
    <t>Итого 1-6</t>
  </si>
  <si>
    <t>СОГЛАСОВАНО                                                                                                             Заместитель главы администрации,
председатель комитета городского хозяйства и строительства администрации 
городского округа "Город Калининград"
_______________В.Б. Борисов
"_____"______________ 2024</t>
  </si>
  <si>
    <t>&lt; 671-знак *  *  &gt;</t>
  </si>
  <si>
    <t>Документ составлен в ПК РИК (вер.1.3.240520) тел./факс (495) 347-33-01</t>
  </si>
  <si>
    <t>Сводн.см.расч.</t>
  </si>
  <si>
    <t>Форма № 1</t>
  </si>
  <si>
    <t>Муниципальное бюджетное учреждение "Управление капитального строительства" городского округа "Город Калининград" (МБУ "УКС")</t>
  </si>
  <si>
    <t>«Утвержден»</t>
  </si>
  <si>
    <t>«____»___________ 20___г.</t>
  </si>
  <si>
    <t>Сводный сметный расчет сметной стоимостью</t>
  </si>
  <si>
    <t>тыс. руб.</t>
  </si>
  <si>
    <t>СВОДНЫЙ СМЕТНЫЙ РАСЧЕТ СТОИМОСТИ СТРОИТЕЛЬСТВА № ССРСС</t>
  </si>
  <si>
    <t>Въездной знак "Калининград", расположенный в районе транспортной развязки на г. Зеленоградск</t>
  </si>
  <si>
    <t>Составлен в ценах по состоянию на 2-ый квартал 2024 г. по НБ: "ФСНБ-2022 с доп. и изм. 10 без ж/д перевозок (приказ Минстроя России № 323/пр)"</t>
  </si>
  <si>
    <t>строительных (ремонтно-строительных, ремонтно-реставрационных работ)</t>
  </si>
  <si>
    <t>Глава 2.</t>
  </si>
  <si>
    <t>ОСНОВНЫЕ ОБЪЕКТЫ СТРОИТЕЛЬСТВА, РЕКОНСТРУКЦИИ, КАПИТАЛЬНОГО РЕМОНТА</t>
  </si>
  <si>
    <t>1.</t>
  </si>
  <si>
    <t>Основные объекты строительства</t>
  </si>
  <si>
    <t>Глава 4.</t>
  </si>
  <si>
    <t>ОБЪЕКТЫ ЭНЕРГЕТИЧЕСКОГО ХОЗЯЙСТВА</t>
  </si>
  <si>
    <t>2.</t>
  </si>
  <si>
    <t>ОС-04-01</t>
  </si>
  <si>
    <t>Объекты энергетического хозяйства</t>
  </si>
  <si>
    <t>Глава 7.</t>
  </si>
  <si>
    <t>БЛАГОУСТРОЙСТВО И ОЗЕЛЕНЕНИЕ ТЕРРИТОРИИ</t>
  </si>
  <si>
    <t>3.</t>
  </si>
  <si>
    <t>ОС-07-01</t>
  </si>
  <si>
    <t>Благоустройство и озеленение территории</t>
  </si>
  <si>
    <t>Итого по Главе 7</t>
  </si>
  <si>
    <t>Приказ Минстроя России № 332/пр от 19.06.2020</t>
  </si>
  <si>
    <t>Средства на возведение, разборку временных зданий, сооружений 4,1%</t>
  </si>
  <si>
    <t>Глава 9.</t>
  </si>
  <si>
    <t>ПРОЧИЕ РАБОТЫ И ЗАТРАТЫ</t>
  </si>
  <si>
    <t>4.</t>
  </si>
  <si>
    <t>ОС-09-01</t>
  </si>
  <si>
    <t>Прочие работы и затраты</t>
  </si>
  <si>
    <t>Приказ Минстроя России № 325/пр от 25.05.2021</t>
  </si>
  <si>
    <t>Дополнительные затраты при производстве работ в зимнее время 1,44%</t>
  </si>
  <si>
    <t>Постановление Правительства России № 468 от 21.06.</t>
  </si>
  <si>
    <t>Строительный контроль (%=2.14)</t>
  </si>
  <si>
    <t>СР-1</t>
  </si>
  <si>
    <t>Затраты на работы по инженерно-геодезическим изысканиям</t>
  </si>
  <si>
    <t>СР-2</t>
  </si>
  <si>
    <t>Затраты на работы по подготовке проектной и рабочей документации</t>
  </si>
  <si>
    <t>Приказ Минстроя России № 421/пр от 04.08.2020 п.17</t>
  </si>
  <si>
    <t>Авторский надзор (%=0.2)</t>
  </si>
  <si>
    <t>Постановление Правительства России № 145 от 05.03.</t>
  </si>
  <si>
    <t>Государственная экспертиза проектной документации в части проверки достоверности определения сметной стоимости</t>
  </si>
  <si>
    <t>СР-3</t>
  </si>
  <si>
    <t>Затраты на работы по инженерно-геологическим изысканиям</t>
  </si>
  <si>
    <t>СР-4</t>
  </si>
  <si>
    <t>Затраты на работы по инженерно-экологическим изысканиям</t>
  </si>
  <si>
    <t>СР-5</t>
  </si>
  <si>
    <t>Затраты на работы по инженерно-гидрометеорологическим изысканиям</t>
  </si>
  <si>
    <t>Резерв средств на непредвиденные работы и затраты (%=2)</t>
  </si>
  <si>
    <t>Затраты, связанные с уплатой налога на добавленную стоимость(НДС) (%=20)</t>
  </si>
  <si>
    <t>Пасека О.Н.</t>
  </si>
  <si>
    <t>(подпись, Ф.И.О.)</t>
  </si>
  <si>
    <t>Молащенко В.Н.</t>
  </si>
  <si>
    <t>Сметного</t>
  </si>
  <si>
    <t>Быков А.В.</t>
  </si>
  <si>
    <t>Директор МБУ "УКС", Савельев С.М.</t>
  </si>
  <si>
    <t>(должность, подпись, Ф.И.О.)</t>
  </si>
  <si>
    <t xml:space="preserve">Расчет затрат заказчика и подрядчика по объекту "Въездной знак "Калининград", расположенный в районе транспортной развязки на г. Зеленоградск" </t>
  </si>
  <si>
    <t>Объекты энергитического хозяйства</t>
  </si>
  <si>
    <t>Работы по инженерно-геодезичским изысканиям</t>
  </si>
  <si>
    <t>Авторский надзор 2%</t>
  </si>
  <si>
    <t>Гос.экспертиза проектной документации в части проверки достоверности определения сметной стоимости</t>
  </si>
  <si>
    <t>Работы по инженерно-геологическим изысканиям</t>
  </si>
  <si>
    <t>Работы по инженерно-экологическим изысканиям</t>
  </si>
  <si>
    <t>Работы по инженерно-гидрометеорологическим изысканиям</t>
  </si>
  <si>
    <t xml:space="preserve">Непредвиденные затраты 2% </t>
  </si>
  <si>
    <t>Затраты при производстве работ в зимнее время 1,44%</t>
  </si>
  <si>
    <t>Средства на возведение,разработку временных зданий,сооружений 4,1%</t>
  </si>
  <si>
    <t>Строительный контроль 2,14%</t>
  </si>
  <si>
    <t xml:space="preserve">Итого для начисления НДС </t>
  </si>
  <si>
    <t xml:space="preserve">Сметная стоимость работ в ценах 2 кв. 2024 г. </t>
  </si>
  <si>
    <t xml:space="preserve">Сметная стоимость работ, подлежащих выполнению в 2025 г. в ценах         2 кв. 2024 г. </t>
  </si>
  <si>
    <t>Планируемые затраты на               2025 г.                           в ценах 2025 г. (К=1,073)</t>
  </si>
  <si>
    <r>
      <rPr>
        <sz val="12"/>
        <rFont val="Times New Roman"/>
        <family val="1"/>
        <charset val="204"/>
      </rPr>
      <t xml:space="preserve">Работы по подготовке проектной </t>
    </r>
    <r>
      <rPr>
        <sz val="12"/>
        <color indexed="10"/>
        <rFont val="Times New Roman"/>
        <family val="1"/>
        <charset val="204"/>
      </rPr>
      <t>и рабочей документации</t>
    </r>
  </si>
  <si>
    <t>Итого 1- 8</t>
  </si>
  <si>
    <t>**В непредвиденные расходы п.7 включены фактические расходы по выполнение кадастровых работ (Договор №515 от 09.02.2024 на 16,00 тыс.руб.)</t>
  </si>
  <si>
    <t>***Проектные работы выполнены за счет субсидии на иные цели</t>
  </si>
  <si>
    <t>Разработка сметной документации (контракт №672 от 31.05.2024)</t>
  </si>
  <si>
    <t>Разработка проектной документации (контракт №671 от 31.05.2024)</t>
  </si>
  <si>
    <t>Работы по подготовке проектной и рабочей документации</t>
  </si>
  <si>
    <t>Итого 1-9</t>
  </si>
  <si>
    <t>Инженерные изыскания (контракт №23.26 от 01.08.2023 )</t>
  </si>
  <si>
    <t>Фактически заключены: разработка архитектурной концепции (МК №22.07 от 15.04.2022)</t>
  </si>
  <si>
    <t>Гос.экспертиза проектной документации и рез.инженерных изысканий  (контракт №0130Д-24/Г39-0098685/20-01 от 22.07.2024)</t>
  </si>
  <si>
    <t xml:space="preserve">Заместитель директора по финансам МБУ "УКС" </t>
  </si>
  <si>
    <t>А.С. Мелюх</t>
  </si>
  <si>
    <t>Н.В. Илларионова</t>
  </si>
  <si>
    <t xml:space="preserve">                                               УТВЕРЖДАЮ                                                                                                                                                                                                      Директор МБУ "УКС"                                                    
____________ С.М. Савельев
 «____» ______________2024 г.</t>
  </si>
  <si>
    <t>Объекты транспортного хозяйства и связи</t>
  </si>
  <si>
    <t>Водопроводная труба</t>
  </si>
  <si>
    <t>Наружное электроосвещение</t>
  </si>
  <si>
    <t>Плата за негативное воздействие на окружающую среду</t>
  </si>
  <si>
    <t>Работы по подготовке рабочей документации</t>
  </si>
  <si>
    <t>01-01</t>
  </si>
  <si>
    <t>Подготовительные работы по "Въездной знак "Калининград", расположенный в районе транспортной развязки на г. Зеленоградск"</t>
  </si>
  <si>
    <t>Конъюнктурный анализ</t>
  </si>
  <si>
    <t>Итого по Главе 1</t>
  </si>
  <si>
    <t>02-01</t>
  </si>
  <si>
    <t>05-01</t>
  </si>
  <si>
    <t>Итого по Главе 5</t>
  </si>
  <si>
    <t>06-01</t>
  </si>
  <si>
    <t>Итого по Главе 6</t>
  </si>
  <si>
    <t>07-01</t>
  </si>
  <si>
    <t>07-02</t>
  </si>
  <si>
    <t>Затраты по размещению, утилизации и (или) обезвреживанию отходов строительного производства</t>
  </si>
  <si>
    <t>Затраты на работы по подготовке проектно-сметной документации</t>
  </si>
  <si>
    <t>Расчет</t>
  </si>
  <si>
    <t>Затраты на полевые испытания грунтов сваями, проводимые при инженерных изысканиях для строительства, полевые контрольные испытания свай при строительстве, испытания, производимых для уточнения несущей способности свай</t>
  </si>
  <si>
    <t>Планируемые затраты на               2025 г.                           в ценах 2025 г. (К=1,078)</t>
  </si>
  <si>
    <t>**В непредвиденные расходы п.9 включены фактические расходы по выполнение кадастровых работ (Договор №515 от 09.02.2024 на 16,00 тыс.руб.) и расходы на уборку территории (МК №12.13 от 16.08.20220 на 94,08 тыс. руб.)</t>
  </si>
  <si>
    <t>Расчет начальной (максимальной) цены контракта</t>
  </si>
  <si>
    <t>при осуществлении закупки работ</t>
  </si>
  <si>
    <t>Основания для расчета:</t>
  </si>
  <si>
    <t>4. Приказ Приказ Минстроя России от 23.12.2019 № 841/пр (ред. от 14.06.2022)
"Об утверждении Порядка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контракта, предметом которого являются строительство, реконструкция объектов капитального строительства" (далее - Методика № 841/пр)</t>
  </si>
  <si>
    <t xml:space="preserve">                                                                                                                                                    </t>
  </si>
  <si>
    <t>руб.</t>
  </si>
  <si>
    <t>Наименование работ и затрат</t>
  </si>
  <si>
    <t>Индекс фактической инфляции</t>
  </si>
  <si>
    <t>Индекс прогнозный инфляции на период выполнения работ</t>
  </si>
  <si>
    <t>Начальная (максимальная) цена контракта с учетом индекса прогнозной инфляции на период выполнения работ</t>
  </si>
  <si>
    <t>в том числе по годам</t>
  </si>
  <si>
    <t>ИТОГО подлежит выполнению до конца строительства в ценах соответствующих лет</t>
  </si>
  <si>
    <t>1 кв. 2020</t>
  </si>
  <si>
    <t>Строительно-монтажные работы</t>
  </si>
  <si>
    <t>Резерв средств на непредвиденные работы и затраты (2%)</t>
  </si>
  <si>
    <t xml:space="preserve">Стоимость без учета НДС </t>
  </si>
  <si>
    <t>НДС (20 %)</t>
  </si>
  <si>
    <t>Продолжительность строительства -</t>
  </si>
  <si>
    <t>Начало строительства -</t>
  </si>
  <si>
    <t>Окончание строительства -</t>
  </si>
  <si>
    <t xml:space="preserve"> </t>
  </si>
  <si>
    <t>Уровень цен утвержденной сметы -</t>
  </si>
  <si>
    <t>Дата формирования НМЦК-</t>
  </si>
  <si>
    <t xml:space="preserve"> Расчет индекса фактической инфляции с использованием индексов цен на продукцию (затраты, услуги) инвестиционного назначения по видам экономической деятельности (строительство) по территории «Российская Федерация» </t>
  </si>
  <si>
    <t>период</t>
  </si>
  <si>
    <t>%</t>
  </si>
  <si>
    <t>коэффициент</t>
  </si>
  <si>
    <t>июль 2024 г.</t>
  </si>
  <si>
    <t>август 2024 г.</t>
  </si>
  <si>
    <t>сентябрь 2024 г.</t>
  </si>
  <si>
    <t>октябрь 2024 г.</t>
  </si>
  <si>
    <t>ноябрь 2024 г.</t>
  </si>
  <si>
    <t>декабрь 2024 г.</t>
  </si>
  <si>
    <t>январь 2025 г.</t>
  </si>
  <si>
    <t xml:space="preserve">Отсутствует, принимается равным за предыдущий месяц </t>
  </si>
  <si>
    <t>февраль 2025 г.</t>
  </si>
  <si>
    <t>Итого индекс фактической инфляции:</t>
  </si>
  <si>
    <t>Расчет индексов прогнозной инфляции:</t>
  </si>
  <si>
    <t>Годовой индекс прогнозной инфляции Минэкономразвития РФ, отрасль "Инвестиции в основной капитал" согласно Прогнозу социально-экономического развития Российской Федерации на 2025 год и на плановый период 2026 и 2027 годов</t>
  </si>
  <si>
    <t>Индекс</t>
  </si>
  <si>
    <t xml:space="preserve">на 2025 год - </t>
  </si>
  <si>
    <t>=</t>
  </si>
  <si>
    <t>по объекту:  "Въездной знак "Калининград", расположенный в районе транспортной развязки на г. Зеленоградск"</t>
  </si>
  <si>
    <t>по адресу:  Калининградская область, г. Калининград, район транспортной развязки на г.Зеленоградск</t>
  </si>
  <si>
    <t>3. Утвержденный сводный сметный расчет на сумму 22 846,28 тыс. руб., составленный в текущих ценах  на 2-й квартал 2024 года;</t>
  </si>
  <si>
    <t xml:space="preserve">2. Положительное заключение государственной экспертизы 39-1-1-3-081660-2024 от 27.12.2024;
</t>
  </si>
  <si>
    <t>Итого 1- 6</t>
  </si>
  <si>
    <t>7**</t>
  </si>
  <si>
    <t>**В непредвиденные расходы п.7 включены фактические расходы по выполнение кадастровых работ (Договор №515 от 09.02.2024 на 16,00 тыс.руб.) и расходы на уборку территории (МК №12.13 от 16.08.20220 на 94,08 тыс. руб.)</t>
  </si>
  <si>
    <t>Итого 1-13</t>
  </si>
  <si>
    <t>Исполнитель:</t>
  </si>
  <si>
    <t>1. Приказ №01-04/09/УКС от 09.01.2025 об утверждении проектной документации ;</t>
  </si>
  <si>
    <t xml:space="preserve">                                               УТВЕРЖДАЮ                                                                                                                                                                                                      Директор МБУ "УКС"                                                    
____________ Н.В. Илларионова
 «____» ______________2025 г.</t>
  </si>
  <si>
    <t>СОГЛАСОВАНО                                                                                                             Заместитель главы администрации,
председатель комитета городского хозяйства и строительства администрации 
городского округа "Город Калининград"
_______________М.В. Федосеев
"_____"______________ 2025</t>
  </si>
  <si>
    <t>Затраты на выполнение работ  по очистке местности от взрывоопасных предметов</t>
  </si>
  <si>
    <t>Итого 1-12</t>
  </si>
  <si>
    <t xml:space="preserve">Сметная стоимость работ в ценах                      2 кв. 2024 г.                      и                                           2 кв. 2025 г. </t>
  </si>
  <si>
    <t>Сметная стоимость работ, подлежащих выполнению в 2025 г.                                          в ценах                                  2 кв. 2024 г. и                                           2 кв. 2025 г.</t>
  </si>
  <si>
    <t>Итого 14-15</t>
  </si>
  <si>
    <t>Затраты заказчика на проведение строительного контроля 2,14%</t>
  </si>
  <si>
    <t>Затраты на работы по инженерным изысканиям для архитектурно-строительного проектирования</t>
  </si>
  <si>
    <t>Затраты на проведение повторной государственной экспертизы проектной документации и результатов инженерных изысканий</t>
  </si>
  <si>
    <t>Итого 1-15</t>
  </si>
  <si>
    <t>Авторский надзор 0,2%</t>
  </si>
  <si>
    <t>Сметная стоимость работ, подлежащих выполнению в 2025-2026 гг.                                          в ценах                                  2 кв. 2024 г. и                                           2 кв. 2025 г.</t>
  </si>
  <si>
    <t>Сметная стоимость работ, подлежащих выполнению в 2026 г.                                          в ценах                                  2 кв. 2024 г. и                                           2 кв. 2025 г.</t>
  </si>
  <si>
    <r>
      <t xml:space="preserve">Основные объекты строительства Д </t>
    </r>
    <r>
      <rPr>
        <b/>
        <sz val="12"/>
        <rFont val="Times New Roman"/>
        <family val="1"/>
        <charset val="204"/>
      </rPr>
      <t>в ценах 2025г. ДОБ</t>
    </r>
  </si>
  <si>
    <r>
      <t xml:space="preserve">Основные объекты строительства исключения </t>
    </r>
    <r>
      <rPr>
        <b/>
        <sz val="12"/>
        <rFont val="Times New Roman"/>
        <family val="1"/>
        <charset val="204"/>
      </rPr>
      <t>ИСКЛ</t>
    </r>
  </si>
  <si>
    <t>Средства на возведение, разборку временных зданий, сооружений 1,2%</t>
  </si>
  <si>
    <t>Планируемые затраты на               2026 г.                           в ценах 2026 г. (К=1,078)                (К=1,053)</t>
  </si>
  <si>
    <t>*Годовой индекс прогнозной инфляции, на основании письма Министерства экономического развития Российской Федерации от 02.10.2024 № 35131-ПК/Д03и, отрасль "Инвестиции в основной капитал" : 2025/2024 - 1,078, 2026/2025 - 1,053.</t>
  </si>
  <si>
    <t>Исполнитель: Андреева Екатерина Александровна 31-17-65</t>
  </si>
  <si>
    <t>Наименование локальных сметных расчётов (смет), затрат</t>
  </si>
  <si>
    <t>Строительных (ремонтно-строительных, ремонтно-реставрационных) работ</t>
  </si>
  <si>
    <t>1</t>
  </si>
  <si>
    <t>2</t>
  </si>
  <si>
    <t>3</t>
  </si>
  <si>
    <t>4</t>
  </si>
  <si>
    <t>5</t>
  </si>
  <si>
    <t>6</t>
  </si>
  <si>
    <t>7</t>
  </si>
  <si>
    <t>8</t>
  </si>
  <si>
    <t>Глава 1. ПОДГОТОВКА ТЕРРИТОРИИ СТРОИТЕЛЬСТВА, РЕКОНСТРУКЦИИ, КАПИТАЛЬНОГО РЕМОНТА</t>
  </si>
  <si>
    <t>Глава 2. ОСНОВНЫЕ ОБЪЕКТЫ СТРОИТЕЛЬСТВА, РЕКОНСТРУКЦИИ, КАПИТАЛЬНОГО РЕМОНТА</t>
  </si>
  <si>
    <t>02-01д</t>
  </si>
  <si>
    <t>Основные объекты строительства Д в ценах 2025г.</t>
  </si>
  <si>
    <t>02-01и</t>
  </si>
  <si>
    <t>Основные объекты строительства исключения</t>
  </si>
  <si>
    <t>Глава 5. ОБЪЕКТЫ ТРАНСПОРТНОГО ХОЗЯЙСТВА И СВЯЗИ</t>
  </si>
  <si>
    <t>Глава 6. НАРУЖНЫЕ СЕТИ И СООРУЖЕНИЯ ВОДОСНАБЖЕНИЯ, ВОДООТВЕДЕНИЯ, ТЕПЛОСНАБЖЕНИЯ И ГАЗОСНАБЖЕНИЯ</t>
  </si>
  <si>
    <t>Глава 7. БЛАГОУСТРОЙСТВО И ОЗЕЛЕНЕНИЕ ТЕРРИТОРИИ</t>
  </si>
  <si>
    <t>9</t>
  </si>
  <si>
    <t>Глава 8. ВРЕМЕННЫЕ ЗДАНИЯ И СООРУЖЕНИЯ</t>
  </si>
  <si>
    <t>10</t>
  </si>
  <si>
    <t>Приказ № 332/пр от 19.06.2020</t>
  </si>
  <si>
    <t>Средства на возведение, разборку временных зданий, сооружений</t>
  </si>
  <si>
    <t>Глава 9. ПРОЧИЕ РАБОТЫ И ЗАТРАТЫ</t>
  </si>
  <si>
    <t>11</t>
  </si>
  <si>
    <t>12</t>
  </si>
  <si>
    <t>Расчет 671-ООС</t>
  </si>
  <si>
    <t>Затраты на работы по подготовке рабочей документации</t>
  </si>
  <si>
    <t>Резерв средств на непредвиденные работы и затраты</t>
  </si>
  <si>
    <t>Затраты, связанные с уплатой налога на добавленную стоимость(НДС)</t>
  </si>
  <si>
    <t>Стоимость работ в ценах на дату утверждения сметной документации                             2 кв. 2024г.                       и                                           2 кв. 2025 г.</t>
  </si>
  <si>
    <t xml:space="preserve">2 квартал 2024, 2 квартал 2025 </t>
  </si>
  <si>
    <t>сентябрь 2025</t>
  </si>
  <si>
    <t>20 ноября 2025</t>
  </si>
  <si>
    <t>20 января 2026</t>
  </si>
  <si>
    <t>2 месяца</t>
  </si>
  <si>
    <t>март 2025 г.</t>
  </si>
  <si>
    <t>апрель 2025 г.</t>
  </si>
  <si>
    <t>май 2025 г.</t>
  </si>
  <si>
    <t>июнь 2025 г.</t>
  </si>
  <si>
    <t>июль 2025 г.</t>
  </si>
  <si>
    <t>август 2025 г.</t>
  </si>
  <si>
    <t>сентябрь 2025 г.</t>
  </si>
  <si>
    <t>100,62</t>
  </si>
  <si>
    <t>100,48</t>
  </si>
  <si>
    <t>100,36</t>
  </si>
  <si>
    <t>99,08</t>
  </si>
  <si>
    <t>99,87</t>
  </si>
  <si>
    <t>98,37</t>
  </si>
  <si>
    <t>101,01</t>
  </si>
  <si>
    <t>102,25</t>
  </si>
  <si>
    <t>1,0101</t>
  </si>
  <si>
    <t>1,0225</t>
  </si>
  <si>
    <t>1,0036</t>
  </si>
  <si>
    <t>- для работ в ценах 2 кв. 2024 г.:</t>
  </si>
  <si>
    <t>- для работ в ценах 2 кв. 2025 г.:</t>
  </si>
  <si>
    <t>за период июль 2025 - сентябрь 2025 =1,0225*1,0225*1,0225 =</t>
  </si>
  <si>
    <t>за период июль 2024 - сентябрь 2025 =1,0045*1,0032*1,0049* 1,0064* 1,0062* 1,0048* 1,0036* 0,9908*0,9987*0,9837*1,0101*1,0225*1,0225*1,0225*1,0225 =</t>
  </si>
  <si>
    <t>Оборудование</t>
  </si>
  <si>
    <t>Прочие затраты</t>
  </si>
  <si>
    <t xml:space="preserve">ИТОГО стоимость для расчета НМЦК </t>
  </si>
  <si>
    <t>Разработка рабочей документации</t>
  </si>
  <si>
    <t>Средства на возведение, разборку временных зданий, сооружений - 1,2%</t>
  </si>
  <si>
    <t xml:space="preserve">ВСЕГО стоимость НМЦК </t>
  </si>
  <si>
    <t>Стоимость работ в ценах на дату формирования начальной (максимальной) цены контракта                                       - сентябрь 2025г.</t>
  </si>
  <si>
    <t>Доля сметной стоимости, подлежащая выполнению подрядчиком в 2025 году для СМР -</t>
  </si>
  <si>
    <t>Доля сметной стоимости, подлежащая выполнению подрядчиком в 2026 году для СМР -</t>
  </si>
  <si>
    <t xml:space="preserve">на 2026 год - </t>
  </si>
  <si>
    <t>Ежемесячный прогнозный индекс (рассчитывается извлечением корня двенадцатой степени из значения годового индекса прогнозной инфляции):</t>
  </si>
  <si>
    <t xml:space="preserve">ежемесячный индекс прогноз на 2025 </t>
  </si>
  <si>
    <r>
      <t xml:space="preserve"> </t>
    </r>
    <r>
      <rPr>
        <vertAlign val="superscript"/>
        <sz val="11"/>
        <rFont val="Times New Roman"/>
        <family val="1"/>
        <charset val="204"/>
      </rPr>
      <t>12</t>
    </r>
    <r>
      <rPr>
        <sz val="11"/>
        <rFont val="Times New Roman"/>
        <family val="1"/>
        <charset val="204"/>
      </rPr>
      <t>√1,078</t>
    </r>
  </si>
  <si>
    <t>ежемесячный индекс прогноз на 2026</t>
  </si>
  <si>
    <r>
      <rPr>
        <vertAlign val="superscript"/>
        <sz val="11"/>
        <rFont val="Times New Roman"/>
        <family val="1"/>
        <charset val="204"/>
      </rPr>
      <t>12</t>
    </r>
    <r>
      <rPr>
        <sz val="11"/>
        <rFont val="Times New Roman"/>
        <family val="1"/>
        <charset val="204"/>
      </rPr>
      <t>√1,053</t>
    </r>
  </si>
  <si>
    <t xml:space="preserve">С учетом  полученных данных вычисляются прогнозные индексы для каждого периода выполнения работ с учетом продолжительности </t>
  </si>
  <si>
    <t>более 1 календарного года в соответствии с п.8, 23 Методики N 841/пр</t>
  </si>
  <si>
    <t>2025 год</t>
  </si>
  <si>
    <t>2. Индекс прогнозной инфляции на 2025 год в соответствии с п.8 Методики N 841/пр определяется по формуле:</t>
  </si>
  <si>
    <t>2026 год</t>
  </si>
  <si>
    <t xml:space="preserve">K на 2026 год = </t>
  </si>
  <si>
    <t xml:space="preserve">Итого индекс прогнозной инфляции с учетом доли сметной стоимости строительно-монтажных работ , подлежащих выполнению подрядчиком по годам строительства объекта      </t>
  </si>
  <si>
    <t xml:space="preserve">Начало работ - </t>
  </si>
  <si>
    <t xml:space="preserve">Окончание работ - </t>
  </si>
  <si>
    <t xml:space="preserve">Расчет индекса прогнозной инфляции на 2025 год </t>
  </si>
  <si>
    <t xml:space="preserve">Крд на 2025 год = </t>
  </si>
  <si>
    <t>* Документы, представленные в пунктах 1-3 настоящего расчета НМЦК, представлены в составе проектной документации.</t>
  </si>
  <si>
    <t>1. Индекс прогнозной инфляции на декабрь первого года строительства объекта рассчитывается возведением в 3-ю степень ежемесячного прогнозного индекса 1,0063, что соответствует периоду: сентябрь-декабрь 2025 года</t>
  </si>
  <si>
    <r>
      <t xml:space="preserve">К на 2025 год  =                                                     (1,0063 </t>
    </r>
    <r>
      <rPr>
        <b/>
        <vertAlign val="superscript"/>
        <sz val="10"/>
        <rFont val="Calibri"/>
        <family val="2"/>
        <charset val="204"/>
      </rPr>
      <t>3</t>
    </r>
    <r>
      <rPr>
        <b/>
        <sz val="11"/>
        <rFont val="Times New Roman"/>
        <family val="1"/>
        <charset val="204"/>
      </rPr>
      <t xml:space="preserve"> - 1)/2+1</t>
    </r>
  </si>
  <si>
    <t>Индекс прогнозной инфляции на 2026 год, рассчитывается как произведение индекса прогнозной инфляции, устанавливаемого нарастающим итогом на декабрь 2025 года , и индекса прогнозной инфляции на 2026 год , определенного как среднее арифметическое между индексом прогнозной инфляции на январь 2026 года  и индекса прогнозной инфляции на январь 2026 года в соответствии с п.23 Методики N 841/пр:</t>
  </si>
  <si>
    <r>
      <t xml:space="preserve">1,0190*(1,0043 </t>
    </r>
    <r>
      <rPr>
        <b/>
        <sz val="11"/>
        <rFont val="Calibri"/>
        <family val="2"/>
        <charset val="204"/>
      </rPr>
      <t>¹</t>
    </r>
    <r>
      <rPr>
        <b/>
        <sz val="11"/>
        <rFont val="Times New Roman"/>
        <family val="1"/>
        <charset val="204"/>
      </rPr>
      <t xml:space="preserve">+ 1,0043 </t>
    </r>
    <r>
      <rPr>
        <b/>
        <sz val="11"/>
        <rFont val="Calibri"/>
        <family val="2"/>
        <charset val="204"/>
      </rPr>
      <t>¹</t>
    </r>
    <r>
      <rPr>
        <b/>
        <sz val="11"/>
        <rFont val="Times New Roman"/>
        <family val="1"/>
        <charset val="204"/>
      </rPr>
      <t>)/2</t>
    </r>
  </si>
  <si>
    <t>Строительно-монтажные работы (Основные объекты строительства Д в ценах 2025 г.)</t>
  </si>
  <si>
    <t>2 квартал 2025</t>
  </si>
  <si>
    <t>20 декабря 2025</t>
  </si>
  <si>
    <r>
      <t>(1,0063</t>
    </r>
    <r>
      <rPr>
        <b/>
        <sz val="11"/>
        <rFont val="Calibri"/>
        <family val="2"/>
        <charset val="204"/>
      </rPr>
      <t>²</t>
    </r>
    <r>
      <rPr>
        <b/>
        <sz val="11"/>
        <rFont val="Times New Roman"/>
        <family val="1"/>
        <charset val="204"/>
      </rPr>
      <t>+ 1,0063</t>
    </r>
    <r>
      <rPr>
        <b/>
        <vertAlign val="superscript"/>
        <sz val="9"/>
        <rFont val="Calibri"/>
        <family val="2"/>
        <charset val="204"/>
      </rPr>
      <t>3</t>
    </r>
    <r>
      <rPr>
        <b/>
        <sz val="11"/>
        <rFont val="Times New Roman"/>
        <family val="1"/>
        <charset val="204"/>
      </rPr>
      <t xml:space="preserve"> )/2 = </t>
    </r>
  </si>
  <si>
    <t>Индекс прогнозной инфляции на 2025 год рассчитывается как  среднее арифметическое между индексами прогнозной инфляции на дату начала работ (ноябрь), определяемого возведением во вторую степень ежемесячного индекса инфляции (от сентября до ноября), и на конец работ (декабрь), определяемого возведением  в третью степень ежемесячного индекса инфляции (от сентября до декабря) в соответствии с п.13 Методики N 841/пр:</t>
  </si>
  <si>
    <r>
      <t xml:space="preserve">Начальная (максимальная) цена контракта на осуществление закупки работ  по объекту «Строительство общеобразовательной школы по ул. Героя России Мариенко в г. Калининграде» составляет </t>
    </r>
    <r>
      <rPr>
        <b/>
        <sz val="11"/>
        <rFont val="Times New Roman"/>
        <family val="1"/>
        <charset val="204"/>
      </rPr>
      <t>!!!!!!!!!!!!!!!!  (________________) рублей 00000000 копеек.</t>
    </r>
  </si>
  <si>
    <t>К                                                                                0,06 * 1,0095 + 0,94 * 1,0234 =</t>
  </si>
  <si>
    <t xml:space="preserve">ИТОГО </t>
  </si>
  <si>
    <t>Стоимость работ в ценах на дату утверждения сметной документации                             2 кв. 2024 г.                       и                                           2 кв. 2025 г.</t>
  </si>
  <si>
    <r>
      <t xml:space="preserve">Начальная (максимальная) цена контракта на осуществление закупки работ  по объекту «Въездной знак "Калининград", расположенный в районе транспортной развязки на г. Зеленоградск» составляет </t>
    </r>
    <r>
      <rPr>
        <b/>
        <sz val="11"/>
        <rFont val="Times New Roman"/>
        <family val="1"/>
        <charset val="204"/>
      </rPr>
      <t>!!!!!!!!!!!!!!!!  (________________) рублей 00000000 копеек.</t>
    </r>
  </si>
  <si>
    <t>Ведущий экономист ПЭО МБУ "УКС"</t>
  </si>
  <si>
    <t>____________________</t>
  </si>
  <si>
    <t>Е.А. Андреева</t>
  </si>
  <si>
    <t>Согласовано:</t>
  </si>
  <si>
    <t>Начальник ПЭО МБУ "УКС"</t>
  </si>
  <si>
    <t>А.В. Ходотович</t>
  </si>
  <si>
    <t>К                                                                              0,006 * 1,0095 + 0,994 * 1,0234 =</t>
  </si>
  <si>
    <r>
      <t xml:space="preserve">Основные объекты строительства Д </t>
    </r>
    <r>
      <rPr>
        <b/>
        <sz val="12"/>
        <rFont val="Times New Roman"/>
        <family val="1"/>
        <charset val="204"/>
      </rPr>
      <t xml:space="preserve">в ценах 2025г. </t>
    </r>
  </si>
  <si>
    <t xml:space="preserve">Основные объекты строительства исключения </t>
  </si>
  <si>
    <t>Подготовка отчета об оценке соразмерной платы по соглашению об установке сервитута</t>
  </si>
  <si>
    <t>Итого 1-14</t>
  </si>
  <si>
    <t xml:space="preserve">Затраты заказчика на проведение строительного контроля </t>
  </si>
  <si>
    <t>Итого 14</t>
  </si>
  <si>
    <t>Корректировка проектной документации</t>
  </si>
  <si>
    <t>Инженерные изыскания по объекту "Въездной знак "Калининград"</t>
  </si>
  <si>
    <t>Государственная экспертиза проектной документации и результатов инженерных изысканий</t>
  </si>
  <si>
    <t>Итого 1- 9</t>
  </si>
  <si>
    <t>10**</t>
  </si>
  <si>
    <t>Итого 1-10</t>
  </si>
  <si>
    <t>Геологические и картографические работы по подготовке схемы границ установления публичного сервитута</t>
  </si>
  <si>
    <t>**В непредвиденные расходы п.10 включены фактические расходы на уборку территории (МК №22.13 от 30.05.2022 на 94,08 тыс. руб.)</t>
  </si>
  <si>
    <t>за период июль 2024 - сентябрь 2025 =1,0045*1,0032*1,0049* 1,0064* 1,0062* 1,0048* 1,0036* 0,9908*0,9987*0,9837*1,0101*1,0225*1,0057*1,0057*1,0057 =</t>
  </si>
  <si>
    <t>за период июль 2025 - сентябрь 2025 =1,0057*1,0057*1,0057 =</t>
  </si>
  <si>
    <t>Основные объекты строительства 2024</t>
  </si>
  <si>
    <t>Итого для начисления НДС (кроме п.5,7)</t>
  </si>
  <si>
    <t>Итого 1-16</t>
  </si>
  <si>
    <t>Итого 17</t>
  </si>
  <si>
    <t>Итого 1-17</t>
  </si>
  <si>
    <t>в ценах 2 кв.2024 года</t>
  </si>
  <si>
    <t>в ценах 2 кв.2025 года</t>
  </si>
  <si>
    <t>2 квартал 2024</t>
  </si>
  <si>
    <r>
      <t xml:space="preserve">Начальная (максимальная) цена контракта на осуществление закупки работ  по объекту «Въездной знак "Калининград", расположенный в районе транспортной развязки на г. Зеленоградск» составляет </t>
    </r>
    <r>
      <rPr>
        <b/>
        <sz val="11"/>
        <rFont val="Times New Roman"/>
        <family val="1"/>
        <charset val="204"/>
      </rPr>
      <t>39 859 486  (тридцать девять миллионов восемьсот пятьдесят девять тысяч четыреста восемьдесят шесть) рублей 14 копеек.</t>
    </r>
  </si>
  <si>
    <t>Итого стоимость строительства объекта в ценах 2025-2026 г.</t>
  </si>
  <si>
    <t>Итого для начисления НДС (кроме п.17)</t>
  </si>
  <si>
    <t>нет в сср</t>
  </si>
  <si>
    <t>**В непредвиденные расходы п.10 включены фактические расходы на уборку территории (МК №22.13 от 30.05.2022 на 94,08 тыс. руб., Договор №515 от 09.02.2024 на 16,00 тыс.руб. и остаток субсидии)</t>
  </si>
  <si>
    <t>Итого 1-11</t>
  </si>
  <si>
    <t>Основные объекты строительства (цены 2 кв. 2024 г.)</t>
  </si>
  <si>
    <t>Основные объекты строительства исключения (цены 2 кв. 2024 г.)</t>
  </si>
  <si>
    <t>Непредвиденные расходы 2% (цены 2 кв. 2024 г.)</t>
  </si>
  <si>
    <t>Средства на возведение, разборку временных зданий, сооружений 1,2% (цены 2 кв. 2024 г.)</t>
  </si>
  <si>
    <t>НДС (20%) (цены 2 кв. 2024 г.)</t>
  </si>
  <si>
    <t>Основные объекты строительства Д (цены 2 кв. 2025 г.)</t>
  </si>
  <si>
    <t>Средства на возведение, разборку временных зданий, сооружений 1,2% (цены 2 кв. 2025 г.)</t>
  </si>
  <si>
    <t>Непредвиденные расходы 2% (цены 2 кв. 2025 г.)</t>
  </si>
  <si>
    <t>НДС (20%) (цены 2 кв. 2025 г.)</t>
  </si>
  <si>
    <t>Корректировка проектной документации (цены 2 кв. 2025 г.)</t>
  </si>
  <si>
    <t>Затраты на проведение повторной государственной экспертизы проектной документации и результатов инженерных изысканий (цены 2 кв. 2025 г.)</t>
  </si>
  <si>
    <t>В.К. Будрецких</t>
  </si>
  <si>
    <t>Расчет стоимости работ по объекту  "Въездной знак "Калининград", расположенный в районе транспортной развязки на                 г. Зеленоградск"</t>
  </si>
  <si>
    <t>3. Утвержденный сводный сметный расчет на сумму 42 860,84 тыс. руб., составленный в текущих ценах  на 2-й квартал 2024 года, 2 кв. 2025 года;</t>
  </si>
  <si>
    <t xml:space="preserve">2. Положительное заключение государственной экспертизы 39-1-1-2-055171-2025 от 17.09.2025;
</t>
  </si>
  <si>
    <t>1. Приказ №01-04/199/УКС от 18.09.2025 об утверждении проектной документации;</t>
  </si>
  <si>
    <r>
      <t xml:space="preserve">Начальная (максимальная) цена контракта на осуществление закупки работ  по объекту </t>
    </r>
    <r>
      <rPr>
        <b/>
        <sz val="11"/>
        <rFont val="Times New Roman"/>
        <family val="1"/>
        <charset val="204"/>
      </rPr>
      <t xml:space="preserve">"Въездной знак "Калининград", расположенный в районе транспортной развязки на г. Зеленоградск" </t>
    </r>
    <r>
      <rPr>
        <sz val="11"/>
        <rFont val="Times New Roman"/>
        <family val="1"/>
        <charset val="204"/>
      </rPr>
      <t xml:space="preserve">составляет </t>
    </r>
    <r>
      <rPr>
        <b/>
        <sz val="11"/>
        <rFont val="Times New Roman"/>
        <family val="1"/>
        <charset val="204"/>
      </rPr>
      <t>39 833 552  (тридцать девять миллионов восемьсот тридцать три тысячи пятьсот пятьдесят два) рубля 40 копеек.</t>
    </r>
  </si>
  <si>
    <t>Приложение к обоснованию НМЦК</t>
  </si>
  <si>
    <t>4. Приказ Приказ Минстроя России от 23.12.2019 № 841/пр (ред. от 14.06.2022).
"Об утверждении Порядка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контракта, предметом которого являются строительство, реконструкция объектов капитального строительства" (далее - Методика № 841/пр)</t>
  </si>
  <si>
    <t>октябрь 2025</t>
  </si>
  <si>
    <t>октябрь 2025 г.</t>
  </si>
  <si>
    <t>за период июль 2024 - октябрь 2025 =1,0045*1,0032*1,0049* 1,0064* 1,0062* 1,0048* 1,0036* 0,9908*0,9987*0,9837*1,0101*1,0225*1,0018*1,0018*1,0018*1,0018 =</t>
  </si>
  <si>
    <t>за период июль 2025 - октябрь 2025 =1,0018*1,0018*1,0018*1,0018 =</t>
  </si>
  <si>
    <t>1. Индекс прогнозной инфляции на декабрь первого года строительства объекта рассчитывается возведением в 2-ю степень ежемесячного прогнозного индекса 1,0063, что соответствует периоду: октябрь-декабрь 2025 года</t>
  </si>
  <si>
    <t>К на 2025 год  =                                                     (1,0063 ² - 1)/2+1</t>
  </si>
  <si>
    <t>6 месяца</t>
  </si>
  <si>
    <t>Стоимость работ в ценах на дату формирования начальной (максимальной) цены контракта                                       - октябрь 2025г.</t>
  </si>
  <si>
    <t>апрель 2026</t>
  </si>
  <si>
    <t>Индекс прогнозной инфляции на 2026 год, рассчитывается как произведение индекса прогнозной инфляции, устанавливаемого нарастающим итогом на декабрь 2025 года , и индекса прогнозной инфляции на 2026 год , определенного как среднее арифметическое между индексом прогнозной инфляции на январь 2026 года  и индекса прогнозной инфляции на апрель 2026 года в соответствии с п.23 Методики N 841/пр:</t>
  </si>
  <si>
    <t>декабрь 2025</t>
  </si>
  <si>
    <t>К                                                                              0,0574924395 * 1,0063 + 0,9425075605 * 1,0235=</t>
  </si>
  <si>
    <t>ноябрь 2025</t>
  </si>
  <si>
    <r>
      <t xml:space="preserve">Индекс прогнозной инфляции на 2025 год рассчитывается как  среднее арифметическое между индексами прогнозной инфляции на дату начала работ (ноябрь), определяемого возведением в первую степень ежемесячного индекса инфляции (от </t>
    </r>
    <r>
      <rPr>
        <sz val="11"/>
        <color indexed="10"/>
        <rFont val="Times New Roman"/>
        <family val="1"/>
        <charset val="204"/>
      </rPr>
      <t>октября</t>
    </r>
    <r>
      <rPr>
        <sz val="11"/>
        <rFont val="Times New Roman"/>
        <family val="1"/>
        <charset val="204"/>
      </rPr>
      <t xml:space="preserve"> до ноября), и на конец работ (декабрь), определяемого возведением  в третью степень ежемесячного индекса инфляции (от октября до декабря) в соответствии с п.13 Методики N 841/пр:</t>
    </r>
  </si>
  <si>
    <t xml:space="preserve">(1,0063¹+ 1,0063² )/2 = </t>
  </si>
  <si>
    <r>
      <t xml:space="preserve">1,0126*(1,0043 </t>
    </r>
    <r>
      <rPr>
        <b/>
        <sz val="11"/>
        <rFont val="Calibri"/>
        <family val="2"/>
        <charset val="204"/>
      </rPr>
      <t>¹</t>
    </r>
    <r>
      <rPr>
        <b/>
        <sz val="11"/>
        <rFont val="Times New Roman"/>
        <family val="1"/>
        <charset val="204"/>
      </rPr>
      <t>+ 1,0043⁴)/2</t>
    </r>
  </si>
  <si>
    <t>К на 2025 год  =                                                     (1,0063² - 1)/2+1</t>
  </si>
  <si>
    <t>Индекс прогнозной инфляции на 2026 год, рассчитывается как произведение индекса прогнозной инфляции, устанавливаемого нарастающим итогом на декабрь 2025 года , и индекса прогнозной инфляции на 2026 год , определенного как среднее арифметическое между индексом прогнозной инфляции на январь 2026 года и индекса прогнозной инфляции на апрель 2026 года в соответствии с п.23 Методики N 841/пр:</t>
  </si>
  <si>
    <r>
      <t xml:space="preserve">Индекс прогнозной инфляции на 2025 год рассчитывается как среднее арифметическое между индексами прогнозной инфляции на дату начала работ (ноябрь), определяемого возведением в первую степень ежемесячного индекса инфляции (от </t>
    </r>
    <r>
      <rPr>
        <sz val="11"/>
        <color indexed="10"/>
        <rFont val="Times New Roman"/>
        <family val="1"/>
        <charset val="204"/>
      </rPr>
      <t>октября</t>
    </r>
    <r>
      <rPr>
        <sz val="11"/>
        <rFont val="Times New Roman"/>
        <family val="1"/>
        <charset val="204"/>
      </rPr>
      <t xml:space="preserve"> до ноября), и на конец работ (декабрь), определяемого возведением  во вторую степень ежемесячного индекса инфляции (от октября до декабря) в соответствии с п.13 Методики N 841/пр:</t>
    </r>
  </si>
  <si>
    <t xml:space="preserve">(1,0063+ 1,0063² )/2 = </t>
  </si>
  <si>
    <t>1. Индекс прогнозной инфляции на декабрь первого года строительства объекта рассчитывается возведением во 2-ю степень ежемесячного прогнозного индекса 1,0063, что соответствует периоду: октябрь-декабрь 2025 года</t>
  </si>
  <si>
    <t>К                                                                              0,0572108639 * 1,0063 + 0,9427891361 * 1,0235=</t>
  </si>
  <si>
    <t xml:space="preserve">Расчет индекса фактической инфляции с использованием индексов цен на продукцию (затраты, услуги) инвестиционного назначения по видам экономической деятельности (строительство) по территории «Российская Федерация» </t>
  </si>
  <si>
    <t>ИТОГО стоимость (без учета НДС)</t>
  </si>
  <si>
    <t>ВСЕГО</t>
  </si>
  <si>
    <t>Годовой индекс прогнозной инфляции Минэкономразвития РФ, отрасль "Инвестиции в основной капитал" согласно Прогнозу социально-экономического развития Российской Федерации на 2026 год и на плановый период 2027 и 2028 годов</t>
  </si>
  <si>
    <t xml:space="preserve">Расчет индекса прогнозной инфляции на 2026 год </t>
  </si>
  <si>
    <t xml:space="preserve">ежемесячный индекс прогноз на 2026 </t>
  </si>
  <si>
    <r>
      <t xml:space="preserve"> </t>
    </r>
    <r>
      <rPr>
        <vertAlign val="superscript"/>
        <sz val="11"/>
        <rFont val="Times New Roman"/>
        <family val="1"/>
        <charset val="204"/>
      </rPr>
      <t>12</t>
    </r>
    <r>
      <rPr>
        <sz val="11"/>
        <rFont val="Times New Roman"/>
        <family val="1"/>
        <charset val="204"/>
      </rPr>
      <t>√1,055</t>
    </r>
  </si>
  <si>
    <t>ноябрь 2025 г.</t>
  </si>
  <si>
    <t>декабрь 2025 г.</t>
  </si>
  <si>
    <t>январь 2026 г.</t>
  </si>
  <si>
    <t>Продолжительность выполнения работ -</t>
  </si>
  <si>
    <t>Окончание работ -</t>
  </si>
  <si>
    <t>Начало работ -</t>
  </si>
  <si>
    <t>НДС (22 %) (с 01.01.2026 в соответствии с Федеральным законом от 28.11.2025 № 425-ФЗ установлена ставка НДС в размере 22 процента)</t>
  </si>
  <si>
    <t>в соответствии с условиями контракта</t>
  </si>
  <si>
    <t>февраль 2026 г.</t>
  </si>
  <si>
    <t>с момента заключения контракта</t>
  </si>
  <si>
    <t>Стоимость работ в ценах на дату утверждения сметной документации                                                                  3 кв. 2025 г.</t>
  </si>
  <si>
    <t>по адресу: здание учебного корпуса №4 КГПУ им. В.П. Астафьева, расположенного по адресу г. Красноярск, ул. Перенсона, д. 7</t>
  </si>
  <si>
    <t>по объекту:  Капитальный ремонт отмостки и входной группы здания</t>
  </si>
  <si>
    <t xml:space="preserve">3. Утвержденный локальный сметный расчет;
</t>
  </si>
  <si>
    <t xml:space="preserve">2-й квартал 2025 </t>
  </si>
  <si>
    <t xml:space="preserve">НДС (20 %) </t>
  </si>
  <si>
    <t>июль 2026</t>
  </si>
  <si>
    <t>по объекту:  Капитальный ремонт кровли</t>
  </si>
  <si>
    <t>по адресу: здание учебного корпуса №3 КГПУ им. В.П. Астафьева, расположенного по адресу г. Красноярск, ул. Карла Маркса, д. 100</t>
  </si>
  <si>
    <t>июнь 2026</t>
  </si>
  <si>
    <t xml:space="preserve">3-й квартал 2025 </t>
  </si>
  <si>
    <t>Стоимость строительно-монтажных работ при капитальном ремонте объекта, расположенного по адресу г. Красноярск, ул. Карла Маркса д. 100 - 9 694 448,36</t>
  </si>
  <si>
    <t xml:space="preserve">Затраты на осуществление строительного контроля в соответствии с постановлением Правительства РФ от 21.06.2010 № 468 составляют 2,14% </t>
  </si>
  <si>
    <t>Стоимость услуг строительного контроля при капитальном ремонте объекта, расположенного по адресу г. Красноярск, ул. Карла Маркса д. 100 (2,14%)</t>
  </si>
  <si>
    <t>Стоимость строительно-монтажных работ при капитальном ремонте объекта, расположенного по адресу г. Красноярск, ул. Перенсона, д. 7 - 3 737 771,28</t>
  </si>
  <si>
    <t>Стоимость услуг строительного контроля при капитальном ремонте объекта, расположенного по адресу г. Красноярск, ул. Перенсона, д. 7 (2,14%):</t>
  </si>
  <si>
    <t>Март 2026 г.</t>
  </si>
  <si>
    <t xml:space="preserve">Стоимость работ в ценах на дату утверждения сметной документации                                                                  </t>
  </si>
  <si>
    <t>апрель  2026 г.</t>
  </si>
  <si>
    <t>май 2026 г.</t>
  </si>
  <si>
    <t xml:space="preserve">за период октябрь 2025 - май 2026 =    </t>
  </si>
  <si>
    <t xml:space="preserve">за период октябрь 2025 - май  2026 = </t>
  </si>
  <si>
    <t>май 2026</t>
  </si>
  <si>
    <t>Расчет начальной (максимальной) цены договора</t>
  </si>
  <si>
    <t xml:space="preserve">4. Приказ Минстроя России от 23.12.2019 № 841/пр "Об утверждении Порядка определения начальной (максимальной) цены договора, цены договора,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контракта, предметом которого являются строительство, реконструкция объектов капитального строительства" (ред. от 14.06.2022  № 841/пр) (далее - Методика № 841/пр) </t>
  </si>
  <si>
    <t>Стоимость работ в ценах на дату формирования начальной (максимальной) цены договора                                       - май 2026 г.</t>
  </si>
  <si>
    <t xml:space="preserve">4. Приказ Минстроя России от 23.12.2019 № 841/пр "Об утверждении Порядка определения начальной (максимальной) цены договора, цены договора,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договора, предметом которого являются строительство, реконструкция объектов капитального строительства" (ред. от 14.06.2022  № 841/пр) (далее - Методика № 841/пр) </t>
  </si>
  <si>
    <t>Май 2026</t>
  </si>
  <si>
    <t xml:space="preserve">по объекту: Ремонт отопления в учебном корпусе № 4 </t>
  </si>
  <si>
    <t xml:space="preserve">Индекс прогнозной инфляции на дату начала выполнения работ (июнь 2026 года) рассчитывается как: (1,0045 в 2 степени) </t>
  </si>
  <si>
    <t xml:space="preserve">нмцк апрель, начало работ июнь =2 месяц </t>
  </si>
  <si>
    <t>начало июнь  - оконч .декабрь 6 мес</t>
  </si>
  <si>
    <t>В связи ограниченным лимитом денежных средств, доведенных до Заказчика, применяется понижающий коэффициент</t>
  </si>
  <si>
    <t xml:space="preserve">В соответствии с частью 2 статьи 72 Бюджетного кодекса РФ, начальная (максимальная) цена контракта утверждена в пределах лимитов бюджетных обязательств в размере </t>
  </si>
  <si>
    <t xml:space="preserve">Индекс прогнозной инфляции на дату окончания выполнения работ (июнь 2026 года) рассчитывается как: (1,0045 в 1 степени) </t>
  </si>
  <si>
    <t>Итого индекс прогнозной инфляции: (1,0091+1,0045) / 2</t>
  </si>
  <si>
    <t xml:space="preserve">Индекс прогнозной инфляции на дату окончания выполнения работ (июль 2026 года) рассчитывается как: (1,0045 в 2 степени) </t>
  </si>
  <si>
    <t>1-й квартал 2026</t>
  </si>
  <si>
    <t xml:space="preserve">расчет (смета) составлен(а) в уровне цен на дату определения НМЦК, индекс фактической инфляции в соответствии с пунктом 12 раздела II приложения №1 к приказу Минстроя России от 23.12.2019 №841/пр не начисляется.
</t>
  </si>
  <si>
    <t>Стоимость услуг строительного контроля при  ремонте объекта, расположенного по адресу г. Красноярск, ул. Перенсона, д. 7 (2,14%):</t>
  </si>
  <si>
    <t xml:space="preserve">Стоимость строительно-монтажных работ   отопления на объекте,  расположенного по адресу г. Красноярск, ул. Перенсона,д.7 </t>
  </si>
  <si>
    <t>Стоимость услуг строительного контроля  объекта, расположенного по адресу г. Красноярск, ул. Перенсона, д. 7 (2,14%):</t>
  </si>
  <si>
    <t>Приложение 1 к сводному расчету</t>
  </si>
  <si>
    <t>Приложение 2 к сводному расчету</t>
  </si>
  <si>
    <t>Приложение 3 к сводному расчету</t>
  </si>
  <si>
    <t xml:space="preserve">по объекту: Ремонт кабинета 3-15 в учебном корпусе № 4 </t>
  </si>
  <si>
    <t>Приложение 5 к сводному расчету</t>
  </si>
  <si>
    <t>Приложение 4 к сводному расчету</t>
  </si>
  <si>
    <t>по объекту: Ремонт кабинета 3-15 в учебном корпусе № 4 (электромонтажные работы )</t>
  </si>
  <si>
    <t>Сводный расчет начальной (максимальной) цены договора</t>
  </si>
  <si>
    <t xml:space="preserve">при осуществлении закупки  </t>
  </si>
  <si>
    <t>Стоимость услуг  строительного контроля</t>
  </si>
  <si>
    <t>ИТОГО стоимость для расчета НМЦД</t>
  </si>
  <si>
    <t>Начальная (максимальная) цена договора  с учетом индекса прогнозной инфляции на период выполнения работ</t>
  </si>
  <si>
    <t>Стоимость услуг строительного контроля при  ремонте объекта, расположенного по адресу г. Красноярск, ул. Перенсона, д. 7 (2,14%):  (электромонтажные работы )</t>
  </si>
  <si>
    <t>Стоимость услуг строительного контроля при  ремонте отопления на  объекте, расположенного по адресу г. Красноярск, ул. Перенсона, д. 7 (2,14%):</t>
  </si>
  <si>
    <t>Стоимость работ на оказание услуг по исполнению функций строительного контроля по объекту: «Капитальный ремонт отмостки и входной группы здания» по адресу: Красноярский край, г. Красноярск, ул. Перенсона, 7;</t>
  </si>
  <si>
    <t xml:space="preserve">Стоимость работ на оказание услуг по исполнению функций строительного контроля по объекту:  «Капитальный ремонт кровли здания» по адресу: Красноярский край, г. Красноярск, ул. К. Маркса, 100; </t>
  </si>
  <si>
    <t xml:space="preserve">Стоимость работ на оказание услуг по исполнению функций строительного контроля по объекту: текущий ремонт в здании учебного корпуса № 4 КГПУ им. В.П. Астафьева, расположенного по адресу г. Красноярск, ул. Перенсона, 7 (ремонт отопления, левое крыло); </t>
  </si>
  <si>
    <t xml:space="preserve">Стоимость работ на оказание услуг по исполнению функций строительного контроля по объекту:  текущий ремонт учебного корпуса № 4 КГПУ им. В.П. Астафьева, расположенного по адресу г. Красноярск, ул. Перенсона, д. 7 (ремонт аудитории 3-15). </t>
  </si>
  <si>
    <t>Стоимость работ на оказание услуг по исполнению функций строительного контроля по объекту: текущий ремонт учебного корпуса № 4 КГПУ им. В.П. Астафьева, расположенного по адресу г. Красноярск, ул. Перенсона, д. 7 (электромонтажные работы аудитории 3-15).</t>
  </si>
  <si>
    <t xml:space="preserve">359 598,99 </t>
  </si>
  <si>
    <t xml:space="preserve">при осуществлении закупки </t>
  </si>
  <si>
    <t>Стоимость работ в ценах на дату утверждения сметной документации                                                                  1 кв. 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</si>
</sst>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 _₽_-;\-* #,##0.00\ _₽_-;_-* &quot;-&quot;??\ _₽_-;_-@_-"/>
    <numFmt numFmtId="164" formatCode="_-* #,##0.00_р_._-;\-* #,##0.00_р_._-;_-* &quot;-&quot;??_р_._-;_-@_-"/>
    <numFmt numFmtId="165" formatCode="0.0"/>
    <numFmt numFmtId="166" formatCode="#,##0.000"/>
    <numFmt numFmtId="167" formatCode="#,##0.0000"/>
    <numFmt numFmtId="168" formatCode="0.0000"/>
    <numFmt numFmtId="169" formatCode="0.00000"/>
    <numFmt numFmtId="170" formatCode="0.000000"/>
    <numFmt numFmtId="171" formatCode="0.0000000"/>
    <numFmt numFmtId="172" formatCode="0.0000000000"/>
    <numFmt numFmtId="173" formatCode="General;\-General;"/>
    <numFmt numFmtId="174" formatCode="0.00;\-0.00;&quot;&quot;"/>
    <numFmt numFmtId="175" formatCode="#\ ##0.00;\-#\ ##0.00;&quot;&quot;"/>
    <numFmt numFmtId="176" formatCode="##0"/>
    <numFmt numFmtId="177" formatCode="#,##0.00;\-#,##0.00;"/>
    <numFmt numFmtId="178" formatCode="0.00000000000"/>
    <numFmt numFmtId="179" formatCode="_-* #,##0.00000000000\ _₽_-;\-* #,##0.00000000000\ _₽_-;_-* &quot;-&quot;??\ _₽_-;_-@_-"/>
    <numFmt numFmtId="180" formatCode="0.000000000000"/>
    <numFmt numFmtId="181" formatCode="_-* #,##0.000000000000\ _₽_-;\-* #,##0.000000000000\ _₽_-;_-* &quot;-&quot;??\ _₽_-;_-@_-"/>
    <numFmt numFmtId="182" formatCode="#,##0.000000000000"/>
    <numFmt numFmtId="194" formatCode="#,##0.00000000000"/>
  </numFmts>
  <fonts count="64" x14ac:knownFonts="1">
    <font>
      <sz val="10"/>
      <name val="Arial Cyr"/>
      <charset val="204"/>
    </font>
    <font>
      <sz val="10"/>
      <name val="Arial Cyr"/>
      <charset val="204"/>
    </font>
    <font>
      <sz val="12"/>
      <name val="Times New Roman"/>
      <family val="1"/>
      <charset val="204"/>
    </font>
    <font>
      <b/>
      <sz val="12"/>
      <name val="Times New Roman"/>
      <family val="1"/>
      <charset val="204"/>
    </font>
    <font>
      <sz val="10"/>
      <name val="Times New Roman"/>
      <family val="1"/>
      <charset val="204"/>
    </font>
    <font>
      <sz val="10"/>
      <name val="Arial Cyr"/>
      <charset val="204"/>
    </font>
    <font>
      <sz val="14"/>
      <name val="Times New Roman"/>
      <family val="1"/>
      <charset val="204"/>
    </font>
    <font>
      <b/>
      <i/>
      <sz val="12"/>
      <name val="Times New Roman"/>
      <family val="1"/>
      <charset val="204"/>
    </font>
    <font>
      <sz val="8"/>
      <name val="Times New Roman"/>
      <family val="1"/>
      <charset val="204"/>
    </font>
    <font>
      <sz val="13"/>
      <name val="Times New Roman"/>
      <family val="1"/>
      <charset val="204"/>
    </font>
    <font>
      <sz val="9"/>
      <name val="Times New Roman"/>
      <family val="1"/>
      <charset val="204"/>
    </font>
    <font>
      <sz val="10"/>
      <name val="Arial"/>
      <family val="2"/>
      <charset val="204"/>
    </font>
    <font>
      <sz val="11"/>
      <name val="Times New Roman"/>
      <family val="1"/>
      <charset val="204"/>
    </font>
    <font>
      <b/>
      <sz val="11"/>
      <name val="Times New Roman"/>
      <family val="1"/>
      <charset val="204"/>
    </font>
    <font>
      <i/>
      <sz val="10"/>
      <name val="Times New Roman"/>
      <family val="1"/>
      <charset val="204"/>
    </font>
    <font>
      <b/>
      <i/>
      <sz val="10"/>
      <name val="Times New Roman"/>
      <family val="1"/>
      <charset val="204"/>
    </font>
    <font>
      <sz val="12"/>
      <color indexed="10"/>
      <name val="Times New Roman"/>
      <family val="1"/>
      <charset val="204"/>
    </font>
    <font>
      <sz val="8"/>
      <color indexed="8"/>
      <name val="Verdana"/>
      <family val="2"/>
      <charset val="204"/>
    </font>
    <font>
      <b/>
      <sz val="8"/>
      <name val="Verdana"/>
      <family val="2"/>
      <charset val="204"/>
    </font>
    <font>
      <i/>
      <sz val="8"/>
      <name val="Verdana"/>
      <family val="2"/>
      <charset val="204"/>
    </font>
    <font>
      <b/>
      <i/>
      <sz val="11"/>
      <name val="Times New Roman"/>
      <family val="1"/>
      <charset val="204"/>
    </font>
    <font>
      <i/>
      <sz val="11"/>
      <name val="Times New Roman"/>
      <family val="1"/>
      <charset val="204"/>
    </font>
    <font>
      <b/>
      <sz val="9"/>
      <name val="Times New Roman"/>
      <family val="1"/>
      <charset val="204"/>
    </font>
    <font>
      <b/>
      <sz val="10"/>
      <name val="Arial Cyr"/>
      <charset val="204"/>
    </font>
    <font>
      <vertAlign val="superscript"/>
      <sz val="11"/>
      <name val="Times New Roman"/>
      <family val="1"/>
      <charset val="204"/>
    </font>
    <font>
      <b/>
      <vertAlign val="superscript"/>
      <sz val="10"/>
      <name val="Calibri"/>
      <family val="2"/>
      <charset val="204"/>
    </font>
    <font>
      <b/>
      <sz val="11"/>
      <name val="Calibri"/>
      <family val="2"/>
      <charset val="204"/>
    </font>
    <font>
      <b/>
      <vertAlign val="superscript"/>
      <sz val="9"/>
      <name val="Calibri"/>
      <family val="2"/>
      <charset val="204"/>
    </font>
    <font>
      <i/>
      <sz val="12"/>
      <name val="Times New Roman"/>
      <family val="1"/>
      <charset val="204"/>
    </font>
    <font>
      <sz val="11"/>
      <color indexed="10"/>
      <name val="Times New Roman"/>
      <family val="1"/>
      <charset val="204"/>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2"/>
      <color rgb="FFFF0000"/>
      <name val="Times New Roman"/>
      <family val="1"/>
      <charset val="204"/>
    </font>
    <font>
      <sz val="10"/>
      <color rgb="FFFF0000"/>
      <name val="Times New Roman"/>
      <family val="1"/>
      <charset val="204"/>
    </font>
    <font>
      <i/>
      <sz val="12"/>
      <color rgb="FFFF0000"/>
      <name val="Times New Roman"/>
      <family val="1"/>
      <charset val="204"/>
    </font>
    <font>
      <b/>
      <sz val="12"/>
      <color rgb="FFFF0000"/>
      <name val="Times New Roman"/>
      <family val="1"/>
      <charset val="204"/>
    </font>
    <font>
      <sz val="12"/>
      <color theme="1"/>
      <name val="Times New Roman"/>
      <family val="1"/>
      <charset val="204"/>
    </font>
    <font>
      <b/>
      <sz val="12"/>
      <color theme="1"/>
      <name val="Times New Roman"/>
      <family val="1"/>
      <charset val="204"/>
    </font>
    <font>
      <b/>
      <i/>
      <sz val="12"/>
      <color theme="1"/>
      <name val="Times New Roman"/>
      <family val="1"/>
      <charset val="204"/>
    </font>
    <font>
      <sz val="10"/>
      <color rgb="FFFF0000"/>
      <name val="Arial Cyr"/>
      <charset val="204"/>
    </font>
    <font>
      <sz val="12"/>
      <color theme="0"/>
      <name val="Times New Roman"/>
      <family val="1"/>
      <charset val="204"/>
    </font>
    <font>
      <sz val="11"/>
      <color rgb="FFFF0000"/>
      <name val="Calibri"/>
      <family val="2"/>
      <scheme val="minor"/>
    </font>
    <font>
      <sz val="11"/>
      <name val="Calibri"/>
      <family val="2"/>
      <scheme val="minor"/>
    </font>
    <font>
      <sz val="11"/>
      <color rgb="FFFF0000"/>
      <name val="Times New Roman"/>
      <family val="1"/>
      <charset val="204"/>
    </font>
    <font>
      <sz val="11"/>
      <color theme="1"/>
      <name val="Times New Roman"/>
      <family val="1"/>
      <charset val="204"/>
    </font>
    <font>
      <sz val="11"/>
      <color theme="0"/>
      <name val="Calibri"/>
      <family val="2"/>
      <scheme val="minor"/>
    </font>
    <font>
      <b/>
      <sz val="11"/>
      <color rgb="FFFF0000"/>
      <name val="Times New Roman"/>
      <family val="1"/>
      <charset val="204"/>
    </font>
    <font>
      <sz val="9"/>
      <color rgb="FFFF0000"/>
      <name val="Times New Roman"/>
      <family val="1"/>
      <charset val="204"/>
    </font>
    <font>
      <b/>
      <i/>
      <sz val="11"/>
      <color rgb="FFFF0000"/>
      <name val="Times New Roman"/>
      <family val="1"/>
      <charset val="204"/>
    </font>
    <font>
      <i/>
      <sz val="11"/>
      <color rgb="FFFF0000"/>
      <name val="Times New Roman"/>
      <family val="1"/>
      <charset val="204"/>
    </font>
    <font>
      <b/>
      <sz val="11"/>
      <color rgb="FFFF0000"/>
      <name val="Calibri"/>
      <family val="2"/>
    </font>
    <font>
      <sz val="13"/>
      <color rgb="FFFF0000"/>
      <name val="Times New Roman"/>
      <family val="1"/>
      <charset val="204"/>
    </font>
    <font>
      <u/>
      <sz val="11"/>
      <color rgb="FFFF0000"/>
      <name val="Calibri"/>
      <family val="2"/>
      <scheme val="minor"/>
    </font>
    <font>
      <sz val="11"/>
      <name val="Calibri"/>
      <family val="2"/>
      <charset val="204"/>
      <scheme val="minor"/>
    </font>
    <font>
      <sz val="8"/>
      <color rgb="FFFF0000"/>
      <name val="Times New Roman"/>
      <family val="1"/>
      <charset val="204"/>
    </font>
    <font>
      <sz val="12"/>
      <color rgb="FFFF0000"/>
      <name val="Calibri"/>
      <family val="2"/>
      <charset val="204"/>
      <scheme val="minor"/>
    </font>
    <font>
      <sz val="12"/>
      <color theme="1"/>
      <name val="Calibri"/>
      <family val="2"/>
      <charset val="204"/>
      <scheme val="minor"/>
    </font>
    <font>
      <sz val="12"/>
      <name val="Calibri"/>
      <family val="2"/>
      <charset val="204"/>
      <scheme val="minor"/>
    </font>
    <font>
      <i/>
      <sz val="12"/>
      <color theme="1"/>
      <name val="Times New Roman"/>
      <family val="1"/>
      <charset val="204"/>
    </font>
    <font>
      <b/>
      <sz val="9"/>
      <color rgb="FFFF0000"/>
      <name val="Times New Roman"/>
      <family val="1"/>
      <charset val="204"/>
    </font>
    <font>
      <sz val="9"/>
      <color theme="1"/>
      <name val="Times New Roman"/>
      <family val="1"/>
      <charset val="204"/>
    </font>
    <font>
      <u/>
      <sz val="9"/>
      <color rgb="FFFF0000"/>
      <name val="Times New Roman"/>
      <family val="1"/>
      <charset val="204"/>
    </font>
    <font>
      <sz val="9"/>
      <color theme="1"/>
      <name val="Calibri"/>
      <family val="2"/>
      <charset val="204"/>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BC9F4"/>
        <bgColor indexed="64"/>
      </patternFill>
    </fill>
    <fill>
      <patternFill patternType="solid">
        <fgColor rgb="FFCCFFCC"/>
        <bgColor indexed="64"/>
      </patternFill>
    </fill>
    <fill>
      <patternFill patternType="solid">
        <fgColor theme="7" tint="0.79998168889431442"/>
        <bgColor indexed="64"/>
      </patternFill>
    </fill>
    <fill>
      <patternFill patternType="solid">
        <fgColor rgb="FFF7F9AD"/>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7">
    <xf numFmtId="0" fontId="0" fillId="0" borderId="0"/>
    <xf numFmtId="0" fontId="31" fillId="0" borderId="0"/>
    <xf numFmtId="0" fontId="31" fillId="0" borderId="0"/>
    <xf numFmtId="0" fontId="11" fillId="0" borderId="0"/>
    <xf numFmtId="0" fontId="11" fillId="0" borderId="0"/>
    <xf numFmtId="164" fontId="1" fillId="0" borderId="0" applyFont="0" applyFill="0" applyBorder="0" applyAlignment="0" applyProtection="0"/>
    <xf numFmtId="164" fontId="5" fillId="0" borderId="0" applyFont="0" applyFill="0" applyBorder="0" applyAlignment="0" applyProtection="0"/>
  </cellStyleXfs>
  <cellXfs count="600">
    <xf numFmtId="0" fontId="0" fillId="0" borderId="0" xfId="0"/>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4" fontId="3"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top" wrapText="1"/>
    </xf>
    <xf numFmtId="0" fontId="33" fillId="0" borderId="0" xfId="0" applyFont="1" applyFill="1"/>
    <xf numFmtId="1" fontId="33" fillId="0" borderId="0" xfId="0" applyNumberFormat="1" applyFont="1" applyFill="1"/>
    <xf numFmtId="0" fontId="33" fillId="0" borderId="2" xfId="0" applyNumberFormat="1" applyFont="1" applyFill="1" applyBorder="1" applyAlignment="1">
      <alignment wrapText="1"/>
    </xf>
    <xf numFmtId="2" fontId="33" fillId="0" borderId="0" xfId="0" applyNumberFormat="1" applyFont="1"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vertical="center" wrapText="1"/>
    </xf>
    <xf numFmtId="4" fontId="7" fillId="3"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4" fillId="0" borderId="0" xfId="0" applyFont="1" applyFill="1"/>
    <xf numFmtId="4" fontId="33" fillId="0" borderId="0" xfId="0" applyNumberFormat="1" applyFont="1" applyFill="1"/>
    <xf numFmtId="4" fontId="35" fillId="0" borderId="0" xfId="0" applyNumberFormat="1" applyFont="1" applyFill="1"/>
    <xf numFmtId="0" fontId="35" fillId="0" borderId="0" xfId="0" applyFont="1" applyFill="1"/>
    <xf numFmtId="0" fontId="33" fillId="0" borderId="0" xfId="0" applyFont="1" applyFill="1" applyAlignment="1">
      <alignment horizontal="right"/>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4" borderId="1" xfId="0" applyFont="1" applyFill="1" applyBorder="1" applyAlignment="1">
      <alignment vertical="center" wrapText="1"/>
    </xf>
    <xf numFmtId="0" fontId="4" fillId="0" borderId="0" xfId="0" applyFont="1" applyFill="1" applyAlignment="1">
      <alignment vertical="justify" wrapText="1"/>
    </xf>
    <xf numFmtId="2" fontId="2" fillId="0" borderId="0" xfId="0" applyNumberFormat="1" applyFont="1" applyFill="1"/>
    <xf numFmtId="2" fontId="2" fillId="0" borderId="0" xfId="0" applyNumberFormat="1" applyFont="1" applyFill="1" applyAlignment="1">
      <alignment horizontal="right"/>
    </xf>
    <xf numFmtId="4" fontId="2" fillId="3" borderId="1" xfId="0" applyNumberFormat="1" applyFont="1" applyFill="1" applyBorder="1" applyAlignment="1">
      <alignment horizontal="center" vertical="center"/>
    </xf>
    <xf numFmtId="0" fontId="6" fillId="0" borderId="0" xfId="0" applyFont="1" applyFill="1" applyAlignment="1">
      <alignment horizontal="right" vertical="center" wrapText="1"/>
    </xf>
    <xf numFmtId="4" fontId="3" fillId="0" borderId="0" xfId="0" applyNumberFormat="1" applyFont="1" applyFill="1" applyAlignment="1">
      <alignment horizontal="center" vertical="center" wrapText="1"/>
    </xf>
    <xf numFmtId="0" fontId="2" fillId="0" borderId="0" xfId="0" applyFont="1" applyFill="1"/>
    <xf numFmtId="2" fontId="2" fillId="0" borderId="1" xfId="0" applyNumberFormat="1" applyFont="1" applyFill="1" applyBorder="1" applyAlignment="1">
      <alignment vertical="center"/>
    </xf>
    <xf numFmtId="1" fontId="2" fillId="0" borderId="0" xfId="0" applyNumberFormat="1" applyFont="1" applyFill="1"/>
    <xf numFmtId="4" fontId="2" fillId="0" borderId="0" xfId="0" applyNumberFormat="1" applyFont="1" applyFill="1"/>
    <xf numFmtId="0" fontId="9" fillId="0" borderId="0" xfId="0" applyFont="1" applyFill="1"/>
    <xf numFmtId="0" fontId="2" fillId="0" borderId="0" xfId="0" applyFont="1" applyFill="1" applyBorder="1" applyAlignment="1">
      <alignment horizontal="left" vertical="center" wrapText="1"/>
    </xf>
    <xf numFmtId="0" fontId="0" fillId="0" borderId="0" xfId="0" applyFont="1" applyAlignment="1">
      <alignment horizontal="left" vertical="center" wrapText="1"/>
    </xf>
    <xf numFmtId="4" fontId="36" fillId="3" borderId="1" xfId="0" applyNumberFormat="1" applyFont="1" applyFill="1" applyBorder="1" applyAlignment="1">
      <alignment horizontal="center" vertical="center"/>
    </xf>
    <xf numFmtId="0" fontId="4" fillId="0" borderId="0" xfId="0" applyFont="1" applyFill="1" applyAlignment="1">
      <alignment wrapText="1"/>
    </xf>
    <xf numFmtId="0" fontId="4" fillId="0" borderId="0" xfId="0" applyFont="1" applyFill="1"/>
    <xf numFmtId="0" fontId="9" fillId="0" borderId="0" xfId="0" applyFont="1" applyFill="1" applyAlignment="1">
      <alignment wrapText="1"/>
    </xf>
    <xf numFmtId="0" fontId="2" fillId="0" borderId="0" xfId="0" applyFont="1" applyFill="1" applyAlignment="1">
      <alignment horizontal="left" vertical="top" wrapText="1"/>
    </xf>
    <xf numFmtId="166" fontId="2" fillId="0" borderId="0" xfId="0" applyNumberFormat="1" applyFont="1" applyFill="1"/>
    <xf numFmtId="0" fontId="33" fillId="0" borderId="1" xfId="0" applyFont="1" applyFill="1" applyBorder="1" applyAlignment="1">
      <alignment horizontal="center" vertical="center" wrapText="1"/>
    </xf>
    <xf numFmtId="0" fontId="33" fillId="0" borderId="1" xfId="0" applyFont="1" applyFill="1" applyBorder="1" applyAlignment="1">
      <alignment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3" fillId="5" borderId="1" xfId="0" applyFont="1" applyFill="1" applyBorder="1" applyAlignment="1">
      <alignment vertical="center" wrapText="1"/>
    </xf>
    <xf numFmtId="4" fontId="37" fillId="0" borderId="1" xfId="0" applyNumberFormat="1" applyFont="1" applyFill="1" applyBorder="1" applyAlignment="1">
      <alignment horizontal="center" vertical="center" wrapText="1"/>
    </xf>
    <xf numFmtId="4" fontId="37" fillId="3" borderId="1" xfId="0" applyNumberFormat="1" applyFont="1" applyFill="1" applyBorder="1" applyAlignment="1">
      <alignment horizontal="center" vertical="center"/>
    </xf>
    <xf numFmtId="4" fontId="38" fillId="0" borderId="1" xfId="0" applyNumberFormat="1" applyFont="1" applyFill="1" applyBorder="1" applyAlignment="1">
      <alignment horizontal="center" vertical="center" wrapText="1"/>
    </xf>
    <xf numFmtId="4" fontId="38" fillId="3" borderId="1" xfId="0" applyNumberFormat="1" applyFont="1" applyFill="1" applyBorder="1" applyAlignment="1">
      <alignment horizontal="center" vertical="center"/>
    </xf>
    <xf numFmtId="4" fontId="37" fillId="3" borderId="1" xfId="0" applyNumberFormat="1"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4" fontId="38" fillId="3" borderId="1" xfId="0" applyNumberFormat="1"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4" fontId="39" fillId="3" borderId="1" xfId="0" applyNumberFormat="1" applyFont="1" applyFill="1" applyBorder="1" applyAlignment="1">
      <alignment horizontal="center" vertical="center" wrapText="1"/>
    </xf>
    <xf numFmtId="4" fontId="39" fillId="3" borderId="1" xfId="0" applyNumberFormat="1" applyFont="1" applyFill="1" applyBorder="1" applyAlignment="1">
      <alignment horizontal="center" vertical="center"/>
    </xf>
    <xf numFmtId="4" fontId="38" fillId="4" borderId="1" xfId="0" applyNumberFormat="1" applyFont="1" applyFill="1" applyBorder="1" applyAlignment="1">
      <alignment horizontal="center" vertical="center" wrapText="1"/>
    </xf>
    <xf numFmtId="4" fontId="38" fillId="4" borderId="1" xfId="0" applyNumberFormat="1" applyFont="1" applyFill="1" applyBorder="1" applyAlignment="1">
      <alignment horizontal="center" vertical="center"/>
    </xf>
    <xf numFmtId="2" fontId="37" fillId="2" borderId="1" xfId="0" applyNumberFormat="1" applyFont="1" applyFill="1" applyBorder="1" applyAlignment="1">
      <alignment horizontal="center" vertical="center" wrapText="1"/>
    </xf>
    <xf numFmtId="0" fontId="2" fillId="0" borderId="0" xfId="0" applyFont="1" applyFill="1" applyAlignment="1">
      <alignment vertical="justify" wrapText="1"/>
    </xf>
    <xf numFmtId="169" fontId="33" fillId="0" borderId="0" xfId="0" applyNumberFormat="1" applyFont="1" applyFill="1"/>
    <xf numFmtId="0" fontId="12" fillId="0" borderId="0" xfId="0" applyFont="1" applyAlignment="1">
      <alignment horizontal="left" vertical="center" wrapText="1"/>
    </xf>
    <xf numFmtId="4" fontId="12" fillId="0" borderId="0" xfId="0" applyNumberFormat="1" applyFont="1" applyAlignment="1">
      <alignment horizontal="left" vertical="center" wrapText="1"/>
    </xf>
    <xf numFmtId="0" fontId="13" fillId="0" borderId="0" xfId="0" applyFont="1" applyAlignment="1">
      <alignment horizontal="left" vertical="center" wrapText="1"/>
    </xf>
    <xf numFmtId="2" fontId="38" fillId="0" borderId="1" xfId="0" applyNumberFormat="1" applyFont="1" applyFill="1" applyBorder="1" applyAlignment="1">
      <alignment horizontal="center" vertical="top" wrapText="1"/>
    </xf>
    <xf numFmtId="4" fontId="13" fillId="0" borderId="0" xfId="0" applyNumberFormat="1"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2" fillId="0" borderId="0" xfId="0" applyFont="1" applyFill="1" applyAlignment="1">
      <alignment horizontal="left" vertical="center" wrapText="1"/>
    </xf>
    <xf numFmtId="4" fontId="40" fillId="0" borderId="0" xfId="0" applyNumberFormat="1" applyFont="1" applyAlignment="1">
      <alignment horizontal="left" vertical="center" wrapText="1"/>
    </xf>
    <xf numFmtId="4" fontId="13" fillId="0" borderId="0" xfId="0" applyNumberFormat="1" applyFont="1" applyAlignment="1">
      <alignment horizontal="left" vertical="center" wrapText="1"/>
    </xf>
    <xf numFmtId="0" fontId="15" fillId="0" borderId="0" xfId="0" applyFont="1" applyAlignment="1">
      <alignment horizontal="left" vertical="center" wrapText="1"/>
    </xf>
    <xf numFmtId="4" fontId="14" fillId="0" borderId="0" xfId="0" applyNumberFormat="1" applyFont="1" applyAlignment="1">
      <alignment horizontal="left" vertical="center" wrapText="1"/>
    </xf>
    <xf numFmtId="0" fontId="14" fillId="0" borderId="0" xfId="0" applyFont="1" applyAlignment="1">
      <alignment horizontal="left" vertical="center" wrapText="1"/>
    </xf>
    <xf numFmtId="0" fontId="12" fillId="0" borderId="0" xfId="0" applyFont="1" applyAlignment="1">
      <alignment horizontal="right" vertical="center" wrapText="1"/>
    </xf>
    <xf numFmtId="4" fontId="12" fillId="0" borderId="0" xfId="0" applyNumberFormat="1" applyFont="1" applyAlignment="1">
      <alignment horizontal="right" vertical="center" wrapText="1"/>
    </xf>
    <xf numFmtId="2" fontId="2" fillId="3" borderId="1" xfId="0" applyNumberFormat="1" applyFont="1" applyFill="1" applyBorder="1" applyAlignment="1">
      <alignment horizontal="center" vertical="center" wrapText="1"/>
    </xf>
    <xf numFmtId="0" fontId="34" fillId="0" borderId="2" xfId="0" applyNumberFormat="1" applyFont="1" applyFill="1" applyBorder="1" applyAlignment="1">
      <alignment horizontal="center" wrapText="1"/>
    </xf>
    <xf numFmtId="4" fontId="2" fillId="0" borderId="0" xfId="0" applyNumberFormat="1" applyFont="1" applyFill="1" applyAlignment="1">
      <alignment horizontal="left"/>
    </xf>
    <xf numFmtId="0" fontId="4" fillId="0" borderId="0" xfId="0" applyFont="1" applyFill="1" applyBorder="1" applyAlignment="1">
      <alignment vertical="center" wrapText="1"/>
    </xf>
    <xf numFmtId="4" fontId="2" fillId="3" borderId="1"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xf>
    <xf numFmtId="4" fontId="36" fillId="0" borderId="1" xfId="0" applyNumberFormat="1" applyFont="1" applyFill="1" applyBorder="1" applyAlignment="1">
      <alignment horizontal="center" vertical="center" wrapText="1"/>
    </xf>
    <xf numFmtId="2" fontId="33" fillId="2" borderId="1" xfId="0" applyNumberFormat="1" applyFont="1" applyFill="1" applyBorder="1" applyAlignment="1">
      <alignment horizontal="center" vertical="center" wrapText="1"/>
    </xf>
    <xf numFmtId="0" fontId="40" fillId="0" borderId="2" xfId="0" applyNumberFormat="1" applyFont="1" applyBorder="1" applyAlignment="1"/>
    <xf numFmtId="4" fontId="3" fillId="3"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168" fontId="41" fillId="0" borderId="0" xfId="0" applyNumberFormat="1" applyFont="1" applyFill="1"/>
    <xf numFmtId="0" fontId="2" fillId="4" borderId="1" xfId="0" applyFont="1" applyFill="1" applyBorder="1" applyAlignment="1" applyProtection="1">
      <alignment horizontal="center" vertical="center" wrapText="1"/>
    </xf>
    <xf numFmtId="0" fontId="4" fillId="0" borderId="0" xfId="0" applyFont="1" applyFill="1" applyBorder="1" applyAlignment="1">
      <alignment horizontal="left" vertical="center" wrapText="1"/>
    </xf>
    <xf numFmtId="49" fontId="17" fillId="0" borderId="0" xfId="0" applyNumberFormat="1" applyFont="1" applyAlignment="1" applyProtection="1">
      <alignment horizontal="left" vertical="top"/>
      <protection locked="0"/>
    </xf>
    <xf numFmtId="173" fontId="0" fillId="0" borderId="0" xfId="0" applyNumberFormat="1" applyFont="1" applyAlignment="1" applyProtection="1">
      <alignment horizontal="right" vertical="top" wrapText="1"/>
      <protection locked="0"/>
    </xf>
    <xf numFmtId="49" fontId="17" fillId="0" borderId="0" xfId="0" applyNumberFormat="1" applyFont="1" applyAlignment="1" applyProtection="1">
      <alignment horizontal="right" vertical="top"/>
      <protection locked="0"/>
    </xf>
    <xf numFmtId="49" fontId="0" fillId="0" borderId="0" xfId="0" applyNumberFormat="1" applyFont="1" applyAlignment="1" applyProtection="1">
      <alignment horizontal="left" vertical="top"/>
      <protection locked="0"/>
    </xf>
    <xf numFmtId="173" fontId="0" fillId="0" borderId="2" xfId="0" applyNumberFormat="1" applyFont="1" applyBorder="1" applyAlignment="1" applyProtection="1">
      <alignment horizontal="right" vertical="top" wrapText="1"/>
      <protection locked="0"/>
    </xf>
    <xf numFmtId="49" fontId="18" fillId="0" borderId="0" xfId="0" applyNumberFormat="1" applyFont="1" applyAlignment="1" applyProtection="1">
      <alignment horizontal="left" vertical="top"/>
      <protection locked="0"/>
    </xf>
    <xf numFmtId="49" fontId="0" fillId="0" borderId="1" xfId="0" applyNumberFormat="1" applyFont="1" applyBorder="1" applyAlignment="1" applyProtection="1">
      <alignment horizontal="center" vertical="center" wrapText="1"/>
      <protection locked="0"/>
    </xf>
    <xf numFmtId="176" fontId="0" fillId="0" borderId="3" xfId="0" applyNumberFormat="1" applyFont="1" applyBorder="1" applyAlignment="1" applyProtection="1">
      <alignment horizontal="center" vertical="top" wrapText="1"/>
      <protection locked="0"/>
    </xf>
    <xf numFmtId="49" fontId="18" fillId="0" borderId="0" xfId="0" applyNumberFormat="1" applyFont="1" applyAlignment="1" applyProtection="1">
      <alignment horizontal="left" vertical="top" wrapText="1"/>
      <protection locked="0"/>
    </xf>
    <xf numFmtId="49" fontId="0" fillId="0" borderId="0" xfId="0" applyNumberFormat="1" applyFont="1" applyAlignment="1" applyProtection="1">
      <alignment horizontal="right" vertical="top" wrapText="1"/>
      <protection locked="0"/>
    </xf>
    <xf numFmtId="49" fontId="0" fillId="0" borderId="0" xfId="0" applyNumberFormat="1" applyFont="1" applyAlignment="1" applyProtection="1">
      <alignment horizontal="left" vertical="top" wrapText="1"/>
      <protection locked="0"/>
    </xf>
    <xf numFmtId="177" fontId="0" fillId="0" borderId="0" xfId="0" applyNumberFormat="1" applyFont="1" applyAlignment="1" applyProtection="1">
      <alignment horizontal="right" vertical="top"/>
      <protection locked="0"/>
    </xf>
    <xf numFmtId="177" fontId="18" fillId="0" borderId="0" xfId="0" applyNumberFormat="1" applyFont="1" applyAlignment="1" applyProtection="1">
      <alignment horizontal="right" vertical="top"/>
      <protection locked="0"/>
    </xf>
    <xf numFmtId="49" fontId="19" fillId="0" borderId="2" xfId="0" applyNumberFormat="1" applyFont="1" applyBorder="1" applyAlignment="1" applyProtection="1">
      <alignment horizontal="center" vertical="top" wrapText="1"/>
      <protection locked="0"/>
    </xf>
    <xf numFmtId="173" fontId="0" fillId="0" borderId="0" xfId="0" applyNumberFormat="1" applyFont="1" applyAlignment="1" applyProtection="1">
      <alignment horizontal="center" vertical="center" wrapText="1"/>
      <protection locked="0"/>
    </xf>
    <xf numFmtId="0" fontId="2" fillId="0" borderId="0" xfId="0" applyFont="1" applyFill="1" applyAlignment="1">
      <alignment horizontal="center"/>
    </xf>
    <xf numFmtId="4" fontId="3" fillId="0" borderId="0" xfId="0" applyNumberFormat="1" applyFont="1" applyAlignment="1">
      <alignment horizontal="left" vertical="center" wrapText="1"/>
    </xf>
    <xf numFmtId="0" fontId="2" fillId="0" borderId="0" xfId="0" applyFont="1" applyAlignment="1">
      <alignment horizontal="left" vertical="center" wrapText="1"/>
    </xf>
    <xf numFmtId="4" fontId="3" fillId="0" borderId="0" xfId="0" applyNumberFormat="1" applyFont="1" applyFill="1" applyAlignment="1">
      <alignment horizontal="left" vertical="center" wrapText="1"/>
    </xf>
    <xf numFmtId="4" fontId="2" fillId="0" borderId="0" xfId="0" applyNumberFormat="1" applyFont="1" applyAlignment="1">
      <alignment horizontal="left" vertical="center" wrapText="1"/>
    </xf>
    <xf numFmtId="0" fontId="10" fillId="0" borderId="0" xfId="0" applyFont="1" applyFill="1" applyBorder="1" applyAlignment="1">
      <alignment horizontal="left" vertical="center" wrapText="1"/>
    </xf>
    <xf numFmtId="164" fontId="10" fillId="0" borderId="0" xfId="5" applyFont="1" applyFill="1" applyBorder="1" applyAlignment="1">
      <alignment horizontal="left" vertical="center" wrapText="1"/>
    </xf>
    <xf numFmtId="0" fontId="12" fillId="0" borderId="0" xfId="0" applyFont="1" applyFill="1" applyBorder="1" applyAlignment="1">
      <alignment horizontal="left" vertical="center" wrapText="1"/>
    </xf>
    <xf numFmtId="4" fontId="12" fillId="0" borderId="0" xfId="0" applyNumberFormat="1" applyFont="1" applyFill="1" applyAlignment="1">
      <alignment horizontal="left"/>
    </xf>
    <xf numFmtId="0" fontId="20" fillId="0" borderId="0" xfId="0" applyFont="1" applyAlignment="1">
      <alignment horizontal="left" vertical="center" wrapText="1"/>
    </xf>
    <xf numFmtId="4" fontId="21" fillId="0" borderId="0" xfId="0" applyNumberFormat="1" applyFont="1" applyAlignment="1">
      <alignment horizontal="left" vertical="center" wrapText="1"/>
    </xf>
    <xf numFmtId="0" fontId="21" fillId="0" borderId="0" xfId="0" applyFont="1" applyAlignment="1">
      <alignment horizontal="left" vertical="center" wrapText="1"/>
    </xf>
    <xf numFmtId="168" fontId="2" fillId="0" borderId="0" xfId="0" applyNumberFormat="1" applyFont="1" applyFill="1"/>
    <xf numFmtId="0" fontId="42" fillId="0" borderId="0" xfId="2" applyFont="1"/>
    <xf numFmtId="0" fontId="35" fillId="0" borderId="0" xfId="2" applyFont="1" applyAlignment="1">
      <alignment vertical="center" wrapText="1"/>
    </xf>
    <xf numFmtId="0" fontId="33" fillId="0" borderId="0" xfId="2" applyFont="1"/>
    <xf numFmtId="0" fontId="43" fillId="0" borderId="0" xfId="2" applyFont="1"/>
    <xf numFmtId="0" fontId="33" fillId="0" borderId="0" xfId="2" applyFont="1" applyAlignment="1">
      <alignment horizontal="center"/>
    </xf>
    <xf numFmtId="1" fontId="2" fillId="0" borderId="0" xfId="0" applyNumberFormat="1" applyFont="1" applyAlignment="1">
      <alignment vertical="center" wrapText="1"/>
    </xf>
    <xf numFmtId="4" fontId="43" fillId="0" borderId="0" xfId="2" applyNumberFormat="1" applyFont="1"/>
    <xf numFmtId="0" fontId="44" fillId="0" borderId="0" xfId="2" applyFont="1"/>
    <xf numFmtId="0" fontId="45" fillId="0" borderId="0" xfId="2" applyFont="1" applyAlignment="1">
      <alignment horizontal="right"/>
    </xf>
    <xf numFmtId="164" fontId="42" fillId="0" borderId="0" xfId="5" applyFont="1"/>
    <xf numFmtId="0" fontId="12" fillId="0" borderId="1" xfId="2" applyFont="1" applyBorder="1" applyAlignment="1">
      <alignment horizontal="center" vertical="center"/>
    </xf>
    <xf numFmtId="0" fontId="45" fillId="0" borderId="1" xfId="2" applyFont="1" applyBorder="1" applyAlignment="1">
      <alignment horizontal="center" vertical="center"/>
    </xf>
    <xf numFmtId="167" fontId="2" fillId="0" borderId="1" xfId="2" applyNumberFormat="1" applyFont="1" applyBorder="1" applyAlignment="1">
      <alignment horizontal="center" vertical="center"/>
    </xf>
    <xf numFmtId="4" fontId="2" fillId="0" borderId="1" xfId="2" applyNumberFormat="1" applyFont="1" applyBorder="1" applyAlignment="1">
      <alignment horizontal="center" vertical="center"/>
    </xf>
    <xf numFmtId="0" fontId="42" fillId="0" borderId="1" xfId="2" applyFont="1" applyBorder="1"/>
    <xf numFmtId="0" fontId="42" fillId="3" borderId="0" xfId="2" applyFont="1" applyFill="1"/>
    <xf numFmtId="4" fontId="42" fillId="0" borderId="0" xfId="2" applyNumberFormat="1" applyFont="1"/>
    <xf numFmtId="178" fontId="42" fillId="0" borderId="0" xfId="2" applyNumberFormat="1" applyFont="1"/>
    <xf numFmtId="4" fontId="42" fillId="3" borderId="0" xfId="2" applyNumberFormat="1" applyFont="1" applyFill="1"/>
    <xf numFmtId="4" fontId="2" fillId="3" borderId="1" xfId="2" applyNumberFormat="1" applyFont="1" applyFill="1" applyBorder="1" applyAlignment="1">
      <alignment horizontal="center" vertical="center"/>
    </xf>
    <xf numFmtId="168" fontId="42" fillId="0" borderId="0" xfId="2" applyNumberFormat="1" applyFont="1"/>
    <xf numFmtId="43" fontId="42" fillId="0" borderId="0" xfId="2" applyNumberFormat="1" applyFont="1"/>
    <xf numFmtId="0" fontId="46" fillId="0" borderId="0" xfId="2" applyFont="1"/>
    <xf numFmtId="0" fontId="46" fillId="3" borderId="0" xfId="2" applyFont="1" applyFill="1"/>
    <xf numFmtId="4" fontId="46" fillId="3" borderId="0" xfId="2" applyNumberFormat="1" applyFont="1" applyFill="1"/>
    <xf numFmtId="49" fontId="12" fillId="0" borderId="0" xfId="2" applyNumberFormat="1" applyFont="1" applyAlignment="1">
      <alignment horizontal="center" vertical="center" wrapText="1"/>
    </xf>
    <xf numFmtId="179" fontId="42" fillId="0" borderId="0" xfId="2" applyNumberFormat="1" applyFont="1"/>
    <xf numFmtId="164" fontId="46" fillId="0" borderId="0" xfId="5" applyFont="1"/>
    <xf numFmtId="4" fontId="44" fillId="0" borderId="0" xfId="2" applyNumberFormat="1" applyFont="1"/>
    <xf numFmtId="4" fontId="44" fillId="3" borderId="0" xfId="2" applyNumberFormat="1" applyFont="1" applyFill="1"/>
    <xf numFmtId="0" fontId="45" fillId="0" borderId="0" xfId="2" applyFont="1" applyAlignment="1">
      <alignment horizontal="left"/>
    </xf>
    <xf numFmtId="0" fontId="12" fillId="0" borderId="0" xfId="2" applyFont="1"/>
    <xf numFmtId="0" fontId="32" fillId="0" borderId="0" xfId="0" applyFont="1"/>
    <xf numFmtId="0" fontId="43" fillId="3" borderId="0" xfId="2" applyFont="1" applyFill="1"/>
    <xf numFmtId="168" fontId="44" fillId="0" borderId="0" xfId="2" applyNumberFormat="1" applyFont="1"/>
    <xf numFmtId="164" fontId="43" fillId="0" borderId="0" xfId="5" applyFont="1"/>
    <xf numFmtId="164" fontId="44" fillId="0" borderId="0" xfId="5" applyFont="1"/>
    <xf numFmtId="4" fontId="3" fillId="0" borderId="0" xfId="2" applyNumberFormat="1" applyFont="1" applyAlignment="1">
      <alignment horizontal="center" vertical="center"/>
    </xf>
    <xf numFmtId="43" fontId="44" fillId="0" borderId="0" xfId="2" applyNumberFormat="1" applyFont="1"/>
    <xf numFmtId="180" fontId="46" fillId="0" borderId="0" xfId="2" applyNumberFormat="1" applyFont="1"/>
    <xf numFmtId="165" fontId="43" fillId="0" borderId="0" xfId="2" applyNumberFormat="1" applyFont="1"/>
    <xf numFmtId="43" fontId="43" fillId="0" borderId="0" xfId="2" applyNumberFormat="1" applyFont="1"/>
    <xf numFmtId="49" fontId="45" fillId="0" borderId="0" xfId="2" applyNumberFormat="1" applyFont="1" applyAlignment="1">
      <alignment horizontal="left" wrapText="1"/>
    </xf>
    <xf numFmtId="49" fontId="44" fillId="0" borderId="0" xfId="2" applyNumberFormat="1" applyFont="1" applyAlignment="1">
      <alignment horizontal="center" wrapText="1"/>
    </xf>
    <xf numFmtId="49" fontId="13" fillId="0" borderId="0" xfId="2" applyNumberFormat="1" applyFont="1" applyAlignment="1">
      <alignment horizontal="left" wrapText="1"/>
    </xf>
    <xf numFmtId="49" fontId="13" fillId="0" borderId="1" xfId="2" applyNumberFormat="1" applyFont="1" applyBorder="1" applyAlignment="1">
      <alignment horizontal="left" wrapText="1"/>
    </xf>
    <xf numFmtId="0" fontId="13" fillId="0" borderId="0" xfId="2" applyFont="1" applyAlignment="1">
      <alignment horizontal="left" wrapText="1"/>
    </xf>
    <xf numFmtId="0" fontId="12" fillId="0" borderId="11" xfId="0" applyFont="1" applyBorder="1" applyAlignment="1">
      <alignment vertical="center" wrapText="1"/>
    </xf>
    <xf numFmtId="49" fontId="12" fillId="0" borderId="0" xfId="2" applyNumberFormat="1" applyFont="1" applyAlignment="1">
      <alignment vertical="center" wrapText="1"/>
    </xf>
    <xf numFmtId="0" fontId="12" fillId="0" borderId="0" xfId="2" applyFont="1" applyAlignment="1">
      <alignment vertical="center" wrapText="1"/>
    </xf>
    <xf numFmtId="2" fontId="12" fillId="0" borderId="0" xfId="2" applyNumberFormat="1" applyFont="1" applyAlignment="1">
      <alignment vertical="center" wrapText="1"/>
    </xf>
    <xf numFmtId="49" fontId="12" fillId="0" borderId="0" xfId="2" applyNumberFormat="1" applyFont="1" applyAlignment="1">
      <alignment horizontal="left" vertical="center" wrapText="1"/>
    </xf>
    <xf numFmtId="49" fontId="12" fillId="0" borderId="4" xfId="2" applyNumberFormat="1" applyFont="1" applyBorder="1" applyAlignment="1">
      <alignment horizontal="center" vertical="center" wrapText="1"/>
    </xf>
    <xf numFmtId="168" fontId="13" fillId="0" borderId="0" xfId="2" applyNumberFormat="1" applyFont="1" applyAlignment="1">
      <alignment horizontal="left"/>
    </xf>
    <xf numFmtId="0" fontId="13" fillId="0" borderId="0" xfId="2" applyFont="1"/>
    <xf numFmtId="0" fontId="12" fillId="0" borderId="12" xfId="0" applyFont="1" applyBorder="1" applyAlignment="1">
      <alignment vertical="center" wrapText="1"/>
    </xf>
    <xf numFmtId="0" fontId="13" fillId="0" borderId="0" xfId="2" applyFont="1" applyAlignment="1">
      <alignment horizontal="left"/>
    </xf>
    <xf numFmtId="0" fontId="12" fillId="0" borderId="1" xfId="0" applyFont="1" applyBorder="1" applyAlignment="1">
      <alignment vertical="center" wrapText="1"/>
    </xf>
    <xf numFmtId="0" fontId="12" fillId="0" borderId="0" xfId="2" applyFont="1" applyAlignment="1">
      <alignment horizontal="left" vertical="center"/>
    </xf>
    <xf numFmtId="49" fontId="12" fillId="0" borderId="0" xfId="2" applyNumberFormat="1" applyFont="1" applyAlignment="1">
      <alignment horizontal="left" wrapText="1"/>
    </xf>
    <xf numFmtId="49" fontId="12" fillId="0" borderId="0" xfId="2" applyNumberFormat="1" applyFont="1" applyAlignment="1">
      <alignment horizontal="center" wrapText="1"/>
    </xf>
    <xf numFmtId="0" fontId="12" fillId="0" borderId="0" xfId="2" applyFont="1" applyAlignment="1">
      <alignment horizontal="left"/>
    </xf>
    <xf numFmtId="0" fontId="47" fillId="0" borderId="0" xfId="2" applyFont="1"/>
    <xf numFmtId="49" fontId="44" fillId="0" borderId="0" xfId="2" applyNumberFormat="1" applyFont="1" applyAlignment="1">
      <alignment horizontal="left" wrapText="1"/>
    </xf>
    <xf numFmtId="0" fontId="44" fillId="0" borderId="0" xfId="2" applyFont="1" applyAlignment="1">
      <alignment horizontal="left"/>
    </xf>
    <xf numFmtId="0" fontId="12" fillId="0" borderId="0" xfId="2" applyFont="1" applyAlignment="1">
      <alignment horizontal="left" vertical="center" wrapText="1"/>
    </xf>
    <xf numFmtId="0" fontId="43" fillId="0" borderId="0" xfId="2" applyFont="1" applyAlignment="1">
      <alignment vertical="center"/>
    </xf>
    <xf numFmtId="4" fontId="43" fillId="0" borderId="0" xfId="2" applyNumberFormat="1" applyFont="1" applyAlignment="1">
      <alignment vertical="center"/>
    </xf>
    <xf numFmtId="0" fontId="12" fillId="0" borderId="0" xfId="2" applyFont="1" applyAlignment="1">
      <alignment horizontal="center"/>
    </xf>
    <xf numFmtId="0" fontId="47" fillId="0" borderId="0" xfId="2" applyFont="1" applyAlignment="1">
      <alignment horizontal="left"/>
    </xf>
    <xf numFmtId="0" fontId="44" fillId="0" borderId="0" xfId="2" applyFont="1" applyAlignment="1">
      <alignment horizontal="center"/>
    </xf>
    <xf numFmtId="0" fontId="12" fillId="0" borderId="0" xfId="2" applyFont="1" applyAlignment="1">
      <alignment horizontal="center" vertical="center"/>
    </xf>
    <xf numFmtId="0" fontId="13" fillId="0" borderId="0" xfId="0" applyFont="1" applyAlignment="1">
      <alignment vertical="center"/>
    </xf>
    <xf numFmtId="0" fontId="12" fillId="0" borderId="0" xfId="0" applyFont="1" applyAlignment="1">
      <alignment vertical="center"/>
    </xf>
    <xf numFmtId="171" fontId="42" fillId="0" borderId="0" xfId="2" applyNumberFormat="1" applyFont="1"/>
    <xf numFmtId="2" fontId="32" fillId="0" borderId="0" xfId="0" applyNumberFormat="1" applyFont="1"/>
    <xf numFmtId="0" fontId="38" fillId="6" borderId="1" xfId="2" applyFont="1" applyFill="1" applyBorder="1" applyAlignment="1">
      <alignment horizontal="center" vertical="center"/>
    </xf>
    <xf numFmtId="4" fontId="3" fillId="6" borderId="1" xfId="2" applyNumberFormat="1" applyFont="1" applyFill="1" applyBorder="1" applyAlignment="1">
      <alignment horizontal="center" vertical="center"/>
    </xf>
    <xf numFmtId="0" fontId="42" fillId="0" borderId="0" xfId="1" applyFont="1"/>
    <xf numFmtId="0" fontId="33" fillId="6" borderId="1" xfId="0" applyFont="1" applyFill="1" applyBorder="1" applyAlignment="1">
      <alignment horizontal="center" vertical="center" wrapText="1"/>
    </xf>
    <xf numFmtId="0" fontId="3" fillId="6" borderId="1" xfId="0" applyFont="1" applyFill="1" applyBorder="1" applyAlignment="1">
      <alignment vertical="center" wrapText="1"/>
    </xf>
    <xf numFmtId="4" fontId="38" fillId="6" borderId="1" xfId="0" applyNumberFormat="1" applyFont="1" applyFill="1" applyBorder="1" applyAlignment="1">
      <alignment horizontal="center" vertical="center" wrapText="1"/>
    </xf>
    <xf numFmtId="4" fontId="38" fillId="6" borderId="1" xfId="0" applyNumberFormat="1" applyFont="1" applyFill="1" applyBorder="1" applyAlignment="1">
      <alignment horizontal="center" vertical="center"/>
    </xf>
    <xf numFmtId="0" fontId="33" fillId="6" borderId="0" xfId="0" applyFont="1" applyFill="1"/>
    <xf numFmtId="0" fontId="33" fillId="6" borderId="1" xfId="0" applyFont="1" applyFill="1" applyBorder="1" applyAlignment="1">
      <alignment vertical="center" wrapText="1"/>
    </xf>
    <xf numFmtId="4" fontId="3" fillId="6" borderId="1" xfId="0" applyNumberFormat="1" applyFont="1" applyFill="1" applyBorder="1" applyAlignment="1">
      <alignment horizontal="center" vertical="center" wrapText="1"/>
    </xf>
    <xf numFmtId="4" fontId="33" fillId="6" borderId="0" xfId="0" applyNumberFormat="1" applyFont="1" applyFill="1"/>
    <xf numFmtId="2" fontId="33" fillId="6" borderId="0" xfId="0" applyNumberFormat="1" applyFont="1" applyFill="1"/>
    <xf numFmtId="2" fontId="38" fillId="6" borderId="1" xfId="0" applyNumberFormat="1" applyFont="1" applyFill="1" applyBorder="1" applyAlignment="1">
      <alignment horizontal="center" vertical="top" wrapText="1"/>
    </xf>
    <xf numFmtId="0" fontId="2"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4" fontId="33" fillId="6" borderId="1" xfId="0" applyNumberFormat="1" applyFont="1" applyFill="1" applyBorder="1" applyAlignment="1">
      <alignment horizontal="center" vertical="center" wrapText="1"/>
    </xf>
    <xf numFmtId="4" fontId="37" fillId="6"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4" fontId="39" fillId="6" borderId="1" xfId="0" applyNumberFormat="1" applyFont="1" applyFill="1" applyBorder="1" applyAlignment="1">
      <alignment horizontal="center" vertical="center" wrapText="1"/>
    </xf>
    <xf numFmtId="4" fontId="36" fillId="6"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164" fontId="48" fillId="0" borderId="0" xfId="5" applyFont="1" applyFill="1" applyBorder="1" applyAlignment="1">
      <alignment horizontal="left" vertical="center" wrapText="1"/>
    </xf>
    <xf numFmtId="0" fontId="40" fillId="0" borderId="0" xfId="0" applyFont="1" applyAlignment="1">
      <alignment horizontal="left" vertical="center" wrapText="1"/>
    </xf>
    <xf numFmtId="0" fontId="48"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4" fontId="44" fillId="0" borderId="0" xfId="0" applyNumberFormat="1" applyFont="1" applyAlignment="1">
      <alignment horizontal="left" vertical="center" wrapText="1"/>
    </xf>
    <xf numFmtId="0" fontId="44" fillId="0" borderId="0" xfId="0" applyFont="1" applyFill="1" applyBorder="1" applyAlignment="1">
      <alignment horizontal="left" vertical="center" wrapText="1"/>
    </xf>
    <xf numFmtId="0" fontId="47" fillId="0" borderId="0" xfId="0" applyFont="1" applyAlignment="1">
      <alignment horizontal="left" vertical="center" wrapText="1"/>
    </xf>
    <xf numFmtId="4" fontId="44" fillId="0" borderId="0" xfId="0" applyNumberFormat="1" applyFont="1" applyFill="1" applyAlignment="1">
      <alignment horizontal="left"/>
    </xf>
    <xf numFmtId="0" fontId="44" fillId="0" borderId="0" xfId="0" applyFont="1" applyAlignment="1">
      <alignment horizontal="right" vertical="center" wrapText="1"/>
    </xf>
    <xf numFmtId="4" fontId="44" fillId="0" borderId="0" xfId="0" applyNumberFormat="1" applyFont="1" applyAlignment="1">
      <alignment horizontal="right" vertical="center" wrapText="1"/>
    </xf>
    <xf numFmtId="0" fontId="44" fillId="0" borderId="0" xfId="0" applyFont="1" applyAlignment="1">
      <alignment horizontal="left" vertical="center" wrapText="1"/>
    </xf>
    <xf numFmtId="4" fontId="47" fillId="0" borderId="0" xfId="0" applyNumberFormat="1" applyFont="1" applyAlignment="1">
      <alignment horizontal="left" vertical="center" wrapText="1"/>
    </xf>
    <xf numFmtId="4" fontId="47" fillId="0" borderId="0" xfId="0" applyNumberFormat="1" applyFont="1" applyFill="1" applyAlignment="1">
      <alignment horizontal="left" vertical="center" wrapText="1"/>
    </xf>
    <xf numFmtId="0" fontId="49" fillId="0" borderId="0" xfId="0" applyFont="1" applyAlignment="1">
      <alignment horizontal="left" vertical="center" wrapText="1"/>
    </xf>
    <xf numFmtId="4" fontId="50" fillId="0" borderId="0" xfId="0" applyNumberFormat="1" applyFont="1" applyAlignment="1">
      <alignment horizontal="left" vertical="center" wrapText="1"/>
    </xf>
    <xf numFmtId="0" fontId="50" fillId="0" borderId="0" xfId="0" applyFont="1" applyAlignment="1">
      <alignment horizontal="left" vertical="center" wrapText="1"/>
    </xf>
    <xf numFmtId="0" fontId="34" fillId="0" borderId="0" xfId="0" applyFont="1" applyFill="1" applyBorder="1" applyAlignment="1">
      <alignment horizontal="left" vertical="center" wrapText="1"/>
    </xf>
    <xf numFmtId="0" fontId="34" fillId="0" borderId="0" xfId="0" applyFont="1" applyFill="1" applyBorder="1" applyAlignment="1">
      <alignment vertical="center" wrapText="1"/>
    </xf>
    <xf numFmtId="0" fontId="33" fillId="0" borderId="0" xfId="0" applyFont="1" applyFill="1" applyAlignment="1">
      <alignment horizontal="center"/>
    </xf>
    <xf numFmtId="0" fontId="34" fillId="0" borderId="0" xfId="0" applyFont="1" applyFill="1" applyAlignment="1">
      <alignment vertical="justify" wrapText="1"/>
    </xf>
    <xf numFmtId="0" fontId="33" fillId="0" borderId="0" xfId="0" applyFont="1" applyFill="1" applyAlignment="1">
      <alignment vertical="justify" wrapText="1"/>
    </xf>
    <xf numFmtId="0" fontId="33" fillId="0" borderId="0" xfId="0" applyFont="1" applyFill="1" applyAlignment="1">
      <alignment vertical="center" wrapText="1"/>
    </xf>
    <xf numFmtId="0" fontId="34" fillId="0" borderId="0" xfId="0" applyFont="1" applyFill="1" applyAlignment="1">
      <alignment vertical="center" wrapText="1"/>
    </xf>
    <xf numFmtId="0" fontId="33" fillId="0" borderId="0" xfId="0" applyFont="1" applyFill="1" applyAlignment="1">
      <alignment horizontal="left" vertical="center" wrapText="1"/>
    </xf>
    <xf numFmtId="49" fontId="12" fillId="0" borderId="0" xfId="2" applyNumberFormat="1" applyFont="1" applyAlignment="1">
      <alignment horizontal="left" vertical="top" wrapText="1"/>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2"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175" fontId="0" fillId="0" borderId="1" xfId="0" applyNumberFormat="1" applyFont="1" applyBorder="1" applyAlignment="1">
      <alignment horizontal="right"/>
    </xf>
    <xf numFmtId="174" fontId="0" fillId="0" borderId="1" xfId="0" applyNumberFormat="1" applyFont="1" applyBorder="1" applyAlignment="1">
      <alignment horizontal="right"/>
    </xf>
    <xf numFmtId="0" fontId="22" fillId="0" borderId="1" xfId="0" applyFont="1" applyBorder="1" applyAlignment="1">
      <alignment horizontal="left" vertical="center"/>
    </xf>
    <xf numFmtId="175" fontId="22" fillId="0" borderId="1" xfId="0" applyNumberFormat="1" applyFont="1" applyBorder="1" applyAlignment="1">
      <alignment horizontal="right"/>
    </xf>
    <xf numFmtId="174" fontId="22" fillId="0" borderId="1" xfId="0" applyNumberFormat="1" applyFont="1" applyBorder="1" applyAlignment="1">
      <alignment horizontal="right"/>
    </xf>
    <xf numFmtId="0" fontId="0" fillId="7" borderId="0" xfId="0" applyFill="1"/>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175" fontId="0" fillId="0" borderId="1" xfId="0" applyNumberFormat="1" applyFont="1" applyFill="1" applyBorder="1" applyAlignment="1">
      <alignment horizontal="right"/>
    </xf>
    <xf numFmtId="167" fontId="33" fillId="0" borderId="1" xfId="2" applyNumberFormat="1" applyFont="1" applyBorder="1" applyAlignment="1">
      <alignment horizontal="center" vertical="center"/>
    </xf>
    <xf numFmtId="49" fontId="45" fillId="0" borderId="0" xfId="2" applyNumberFormat="1" applyFont="1" applyAlignment="1">
      <alignment horizontal="left" wrapText="1"/>
    </xf>
    <xf numFmtId="49" fontId="12" fillId="0" borderId="0" xfId="2" applyNumberFormat="1" applyFont="1" applyAlignment="1">
      <alignment horizontal="left"/>
    </xf>
    <xf numFmtId="0" fontId="12" fillId="0" borderId="11" xfId="1" applyFont="1" applyBorder="1" applyAlignment="1">
      <alignment vertical="center" wrapText="1"/>
    </xf>
    <xf numFmtId="49" fontId="12" fillId="0" borderId="0" xfId="2" applyNumberFormat="1" applyFont="1"/>
    <xf numFmtId="167" fontId="12" fillId="0" borderId="5" xfId="2" applyNumberFormat="1" applyFont="1" applyBorder="1" applyAlignment="1">
      <alignment horizontal="left" wrapText="1"/>
    </xf>
    <xf numFmtId="4" fontId="12" fillId="0" borderId="13" xfId="0" applyNumberFormat="1" applyFont="1" applyBorder="1" applyAlignment="1">
      <alignment horizontal="left" vertical="center" wrapText="1"/>
    </xf>
    <xf numFmtId="4" fontId="12" fillId="0" borderId="11" xfId="0" applyNumberFormat="1" applyFont="1" applyBorder="1" applyAlignment="1">
      <alignment horizontal="left" vertical="center" wrapText="1"/>
    </xf>
    <xf numFmtId="167" fontId="43" fillId="0" borderId="0" xfId="2" applyNumberFormat="1" applyFont="1"/>
    <xf numFmtId="0" fontId="2" fillId="0" borderId="1" xfId="2" applyFont="1" applyBorder="1" applyAlignment="1">
      <alignment horizontal="center" vertical="center"/>
    </xf>
    <xf numFmtId="0" fontId="3" fillId="3" borderId="1" xfId="2" applyFont="1" applyFill="1" applyBorder="1" applyAlignment="1">
      <alignment horizontal="center" vertical="center"/>
    </xf>
    <xf numFmtId="0" fontId="2" fillId="3" borderId="1" xfId="2" applyFont="1" applyFill="1" applyBorder="1" applyAlignment="1">
      <alignment horizontal="center" vertical="center"/>
    </xf>
    <xf numFmtId="0" fontId="2" fillId="0" borderId="1" xfId="2" applyFont="1" applyBorder="1" applyAlignment="1">
      <alignment horizontal="center" vertical="center" wrapText="1"/>
    </xf>
    <xf numFmtId="1" fontId="2" fillId="0" borderId="1" xfId="0" applyNumberFormat="1" applyFont="1" applyBorder="1" applyAlignment="1">
      <alignment horizontal="center" vertical="top" wrapText="1"/>
    </xf>
    <xf numFmtId="4" fontId="3" fillId="0" borderId="1" xfId="2" applyNumberFormat="1" applyFont="1" applyBorder="1" applyAlignment="1">
      <alignment horizontal="center" vertical="center"/>
    </xf>
    <xf numFmtId="4" fontId="3" fillId="3" borderId="1" xfId="2" applyNumberFormat="1" applyFont="1" applyFill="1" applyBorder="1" applyAlignment="1">
      <alignment horizontal="center" vertical="center"/>
    </xf>
    <xf numFmtId="0" fontId="23" fillId="0" borderId="0" xfId="0" applyFont="1"/>
    <xf numFmtId="0" fontId="23" fillId="3" borderId="0" xfId="0" applyFont="1" applyFill="1"/>
    <xf numFmtId="4" fontId="23" fillId="3" borderId="0" xfId="0" applyNumberFormat="1" applyFont="1" applyFill="1"/>
    <xf numFmtId="0" fontId="51" fillId="0" borderId="0" xfId="2" applyFont="1"/>
    <xf numFmtId="167" fontId="36" fillId="6" borderId="1" xfId="2" applyNumberFormat="1" applyFont="1" applyFill="1" applyBorder="1" applyAlignment="1">
      <alignment horizontal="center" vertical="center"/>
    </xf>
    <xf numFmtId="167" fontId="2" fillId="0" borderId="6" xfId="2" applyNumberFormat="1" applyFont="1" applyBorder="1" applyAlignment="1">
      <alignment horizontal="center" vertical="center"/>
    </xf>
    <xf numFmtId="0" fontId="42" fillId="0" borderId="7" xfId="2" applyFont="1" applyBorder="1"/>
    <xf numFmtId="0" fontId="12" fillId="0" borderId="0" xfId="2" applyFont="1" applyAlignment="1">
      <alignment horizontal="center" vertical="center" wrapText="1"/>
    </xf>
    <xf numFmtId="0" fontId="12" fillId="0" borderId="0" xfId="2" applyFont="1" applyAlignment="1">
      <alignment wrapText="1"/>
    </xf>
    <xf numFmtId="0" fontId="12" fillId="3" borderId="0" xfId="0" applyFont="1" applyFill="1"/>
    <xf numFmtId="0" fontId="12" fillId="0" borderId="0" xfId="2" applyFont="1" applyAlignment="1">
      <alignment horizontal="left" wrapText="1"/>
    </xf>
    <xf numFmtId="0" fontId="12" fillId="0" borderId="0" xfId="2" applyFont="1" applyAlignment="1">
      <alignment horizontal="right" wrapText="1"/>
    </xf>
    <xf numFmtId="168" fontId="13" fillId="0" borderId="0" xfId="2" applyNumberFormat="1" applyFont="1" applyAlignment="1">
      <alignment wrapText="1"/>
    </xf>
    <xf numFmtId="170" fontId="12" fillId="0" borderId="0" xfId="2" applyNumberFormat="1" applyFont="1" applyAlignment="1">
      <alignment horizontal="left"/>
    </xf>
    <xf numFmtId="168" fontId="12" fillId="0" borderId="0" xfId="2" applyNumberFormat="1" applyFont="1" applyAlignment="1">
      <alignment wrapText="1"/>
    </xf>
    <xf numFmtId="0" fontId="12" fillId="0" borderId="0" xfId="2" applyFont="1" applyAlignment="1">
      <alignment horizontal="center" vertical="top"/>
    </xf>
    <xf numFmtId="168" fontId="12" fillId="0" borderId="0" xfId="2" applyNumberFormat="1" applyFont="1" applyAlignment="1">
      <alignment horizontal="left" vertical="center"/>
    </xf>
    <xf numFmtId="0" fontId="13" fillId="0" borderId="0" xfId="0" applyFont="1" applyAlignment="1">
      <alignment horizontal="left" vertical="center"/>
    </xf>
    <xf numFmtId="168" fontId="13" fillId="0" borderId="0" xfId="2" applyNumberFormat="1" applyFont="1" applyAlignment="1">
      <alignment horizontal="right" vertical="center"/>
    </xf>
    <xf numFmtId="0" fontId="12" fillId="0" borderId="0" xfId="2" applyFont="1" applyAlignment="1">
      <alignment vertical="center"/>
    </xf>
    <xf numFmtId="0" fontId="13" fillId="0" borderId="0" xfId="2" applyFont="1" applyAlignment="1">
      <alignment vertical="center"/>
    </xf>
    <xf numFmtId="0" fontId="13" fillId="0" borderId="0" xfId="2" applyFont="1" applyAlignment="1">
      <alignment horizontal="left" vertical="top"/>
    </xf>
    <xf numFmtId="168" fontId="13" fillId="0" borderId="0" xfId="2" applyNumberFormat="1" applyFont="1" applyAlignment="1">
      <alignment horizontal="left" vertical="center"/>
    </xf>
    <xf numFmtId="49" fontId="12" fillId="0" borderId="0" xfId="2" applyNumberFormat="1" applyFont="1" applyAlignment="1">
      <alignment wrapText="1"/>
    </xf>
    <xf numFmtId="0" fontId="13" fillId="0" borderId="0" xfId="2" applyFont="1" applyAlignment="1">
      <alignment horizontal="left" vertical="center" wrapText="1"/>
    </xf>
    <xf numFmtId="168" fontId="13" fillId="0" borderId="0" xfId="2" applyNumberFormat="1" applyFont="1" applyAlignment="1">
      <alignment vertical="center"/>
    </xf>
    <xf numFmtId="164" fontId="12" fillId="0" borderId="0" xfId="5" applyFont="1"/>
    <xf numFmtId="167" fontId="12" fillId="0" borderId="0" xfId="2" applyNumberFormat="1" applyFont="1" applyAlignment="1">
      <alignment horizontal="right" wrapText="1"/>
    </xf>
    <xf numFmtId="0" fontId="12" fillId="8" borderId="0" xfId="2" applyFont="1" applyFill="1" applyAlignment="1">
      <alignment horizontal="left"/>
    </xf>
    <xf numFmtId="49" fontId="12" fillId="8" borderId="0" xfId="2" applyNumberFormat="1" applyFont="1" applyFill="1" applyAlignment="1">
      <alignment horizontal="left"/>
    </xf>
    <xf numFmtId="4" fontId="46" fillId="0" borderId="0" xfId="2" applyNumberFormat="1" applyFont="1"/>
    <xf numFmtId="0" fontId="2" fillId="8" borderId="1" xfId="2" applyFont="1" applyFill="1" applyBorder="1" applyAlignment="1">
      <alignment horizontal="left" vertical="center"/>
    </xf>
    <xf numFmtId="0" fontId="2" fillId="8" borderId="1" xfId="2" applyFont="1" applyFill="1" applyBorder="1" applyAlignment="1">
      <alignment horizontal="left" vertical="center" wrapText="1"/>
    </xf>
    <xf numFmtId="1" fontId="2" fillId="8" borderId="1" xfId="0" applyNumberFormat="1" applyFont="1" applyFill="1" applyBorder="1" applyAlignment="1">
      <alignment horizontal="left" vertical="top" wrapText="1"/>
    </xf>
    <xf numFmtId="0" fontId="2" fillId="9" borderId="1" xfId="2" applyFont="1" applyFill="1" applyBorder="1" applyAlignment="1">
      <alignment horizontal="left" vertical="center" wrapText="1"/>
    </xf>
    <xf numFmtId="1" fontId="2" fillId="9" borderId="1" xfId="0" applyNumberFormat="1" applyFont="1" applyFill="1" applyBorder="1" applyAlignment="1">
      <alignment horizontal="left" vertical="top" wrapText="1"/>
    </xf>
    <xf numFmtId="0" fontId="2" fillId="9" borderId="1" xfId="2" applyFont="1" applyFill="1" applyBorder="1" applyAlignment="1">
      <alignment horizontal="left" vertical="center"/>
    </xf>
    <xf numFmtId="0" fontId="2" fillId="10" borderId="1" xfId="2" applyFont="1" applyFill="1" applyBorder="1" applyAlignment="1">
      <alignment horizontal="left" vertical="center"/>
    </xf>
    <xf numFmtId="0" fontId="33" fillId="0" borderId="0" xfId="2" applyFont="1" applyBorder="1" applyAlignment="1">
      <alignment horizontal="left"/>
    </xf>
    <xf numFmtId="0" fontId="2" fillId="0" borderId="0" xfId="2" applyFont="1" applyAlignment="1">
      <alignment horizontal="left"/>
    </xf>
    <xf numFmtId="14" fontId="12" fillId="0" borderId="0" xfId="2" applyNumberFormat="1" applyFont="1" applyAlignment="1">
      <alignment horizontal="left"/>
    </xf>
    <xf numFmtId="0" fontId="33" fillId="0" borderId="0" xfId="0" applyFont="1" applyFill="1" applyAlignment="1">
      <alignment horizontal="left" vertical="center" wrapText="1"/>
    </xf>
    <xf numFmtId="0" fontId="48"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3" fillId="0" borderId="0" xfId="0" applyFont="1" applyFill="1" applyAlignment="1">
      <alignment vertical="center" wrapText="1"/>
    </xf>
    <xf numFmtId="0" fontId="34" fillId="0" borderId="0" xfId="0" applyFont="1" applyFill="1" applyAlignment="1">
      <alignment vertical="center" wrapText="1"/>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49" fontId="45" fillId="0" borderId="0" xfId="2" applyNumberFormat="1" applyFont="1" applyAlignment="1">
      <alignment horizontal="left" wrapText="1"/>
    </xf>
    <xf numFmtId="4" fontId="36" fillId="0" borderId="0" xfId="0" applyNumberFormat="1" applyFont="1" applyFill="1" applyAlignment="1">
      <alignment horizontal="center" vertical="center" wrapText="1"/>
    </xf>
    <xf numFmtId="2" fontId="3" fillId="6"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2" fontId="33"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0" fontId="2" fillId="6" borderId="1" xfId="0" applyFont="1" applyFill="1" applyBorder="1" applyAlignment="1">
      <alignment vertical="center" wrapText="1"/>
    </xf>
    <xf numFmtId="0" fontId="28" fillId="0" borderId="1" xfId="0" applyFont="1" applyFill="1" applyBorder="1" applyAlignment="1">
      <alignment vertical="center" wrapText="1"/>
    </xf>
    <xf numFmtId="164" fontId="48" fillId="0" borderId="0" xfId="6" applyFont="1" applyFill="1" applyBorder="1" applyAlignment="1">
      <alignment horizontal="left" vertical="center" wrapText="1"/>
    </xf>
    <xf numFmtId="4" fontId="33" fillId="0" borderId="0" xfId="0" applyNumberFormat="1" applyFont="1" applyFill="1" applyAlignment="1">
      <alignment horizontal="left"/>
    </xf>
    <xf numFmtId="166" fontId="33" fillId="0" borderId="0" xfId="0" applyNumberFormat="1" applyFont="1" applyFill="1"/>
    <xf numFmtId="0" fontId="52" fillId="0" borderId="0" xfId="0" applyFont="1" applyFill="1"/>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174" fontId="0" fillId="0" borderId="1" xfId="0" applyNumberFormat="1" applyFont="1" applyFill="1" applyBorder="1" applyAlignment="1">
      <alignment horizontal="right"/>
    </xf>
    <xf numFmtId="0" fontId="22" fillId="6" borderId="1" xfId="0" applyFont="1" applyFill="1" applyBorder="1" applyAlignment="1">
      <alignment horizontal="left" vertical="center"/>
    </xf>
    <xf numFmtId="0" fontId="22" fillId="6" borderId="1" xfId="0" applyFont="1" applyFill="1" applyBorder="1" applyAlignment="1">
      <alignment horizontal="left" vertical="center" wrapText="1"/>
    </xf>
    <xf numFmtId="175" fontId="22" fillId="6" borderId="1" xfId="0" applyNumberFormat="1" applyFont="1" applyFill="1" applyBorder="1" applyAlignment="1">
      <alignment horizontal="right"/>
    </xf>
    <xf numFmtId="4" fontId="3" fillId="3" borderId="1" xfId="0" applyNumberFormat="1" applyFont="1" applyFill="1" applyBorder="1" applyAlignment="1">
      <alignment horizontal="center" vertical="center"/>
    </xf>
    <xf numFmtId="4" fontId="3" fillId="6"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0" fontId="33" fillId="0" borderId="0" xfId="0" applyFont="1" applyFill="1" applyAlignment="1">
      <alignment horizontal="left" vertical="center" wrapText="1"/>
    </xf>
    <xf numFmtId="0" fontId="48"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3" fillId="0" borderId="0" xfId="0" applyFont="1" applyFill="1" applyAlignment="1">
      <alignment vertical="center" wrapText="1"/>
    </xf>
    <xf numFmtId="0" fontId="34" fillId="0" borderId="0" xfId="0" applyFont="1" applyFill="1" applyAlignment="1">
      <alignment vertical="center" wrapText="1"/>
    </xf>
    <xf numFmtId="4" fontId="36" fillId="0" borderId="0" xfId="0" applyNumberFormat="1" applyFont="1" applyFill="1" applyAlignment="1">
      <alignment horizontal="center" vertical="center" wrapText="1"/>
    </xf>
    <xf numFmtId="0" fontId="33" fillId="0" borderId="0" xfId="0" applyFont="1" applyFill="1" applyAlignment="1">
      <alignment horizontal="center"/>
    </xf>
    <xf numFmtId="0" fontId="48" fillId="0" borderId="0" xfId="0" applyFont="1" applyFill="1" applyBorder="1" applyAlignment="1">
      <alignment horizontal="left" vertical="center" wrapText="1"/>
    </xf>
    <xf numFmtId="49" fontId="45" fillId="0" borderId="0" xfId="2" applyNumberFormat="1" applyFont="1" applyAlignment="1">
      <alignment horizontal="left" wrapText="1"/>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0" fontId="37" fillId="0" borderId="7" xfId="0" applyFont="1" applyBorder="1" applyAlignment="1">
      <alignment horizontal="center" vertical="center" wrapText="1"/>
    </xf>
    <xf numFmtId="167" fontId="3" fillId="0" borderId="1" xfId="2" applyNumberFormat="1" applyFont="1" applyBorder="1" applyAlignment="1">
      <alignment horizontal="center" vertical="center"/>
    </xf>
    <xf numFmtId="175" fontId="0" fillId="0" borderId="8" xfId="0" applyNumberFormat="1" applyFont="1" applyFill="1" applyBorder="1" applyAlignment="1">
      <alignment horizontal="right"/>
    </xf>
    <xf numFmtId="175" fontId="40" fillId="0" borderId="1" xfId="0" applyNumberFormat="1" applyFont="1" applyFill="1" applyBorder="1" applyAlignment="1">
      <alignment horizontal="right"/>
    </xf>
    <xf numFmtId="168" fontId="43" fillId="0" borderId="0" xfId="2" applyNumberFormat="1" applyFont="1"/>
    <xf numFmtId="0" fontId="13" fillId="0" borderId="0" xfId="2" applyFont="1" applyFill="1" applyAlignment="1">
      <alignment horizontal="left" vertical="top"/>
    </xf>
    <xf numFmtId="168" fontId="13" fillId="0" borderId="0" xfId="2" applyNumberFormat="1" applyFont="1" applyFill="1" applyAlignment="1">
      <alignment horizontal="left" vertical="center"/>
    </xf>
    <xf numFmtId="0" fontId="12" fillId="0" borderId="0" xfId="2" applyFont="1" applyFill="1" applyAlignment="1">
      <alignment horizontal="left"/>
    </xf>
    <xf numFmtId="49" fontId="12" fillId="0" borderId="0" xfId="2" applyNumberFormat="1" applyFont="1" applyFill="1" applyAlignment="1">
      <alignment horizontal="left"/>
    </xf>
    <xf numFmtId="49" fontId="12" fillId="0" borderId="0" xfId="2" applyNumberFormat="1" applyFont="1" applyFill="1" applyAlignment="1">
      <alignment wrapText="1"/>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49" fontId="45" fillId="0" borderId="0" xfId="2" applyNumberFormat="1" applyFont="1" applyAlignment="1">
      <alignment horizontal="left" wrapText="1"/>
    </xf>
    <xf numFmtId="2" fontId="43" fillId="0" borderId="0" xfId="2" applyNumberFormat="1" applyFont="1"/>
    <xf numFmtId="2" fontId="23" fillId="3" borderId="0" xfId="0" applyNumberFormat="1" applyFont="1" applyFill="1"/>
    <xf numFmtId="172" fontId="43" fillId="0" borderId="0" xfId="2" applyNumberFormat="1" applyFont="1"/>
    <xf numFmtId="172" fontId="12" fillId="0" borderId="0" xfId="2" applyNumberFormat="1" applyFont="1" applyFill="1" applyAlignment="1">
      <alignment horizontal="left"/>
    </xf>
    <xf numFmtId="0" fontId="34" fillId="0" borderId="0" xfId="0" applyFont="1" applyFill="1" applyBorder="1" applyAlignment="1">
      <alignment horizontal="left" vertical="center" wrapText="1"/>
    </xf>
    <xf numFmtId="2" fontId="44" fillId="0" borderId="0" xfId="0" applyNumberFormat="1" applyFont="1" applyAlignment="1">
      <alignment horizontal="left" vertical="center" wrapText="1"/>
    </xf>
    <xf numFmtId="49" fontId="45" fillId="0" borderId="0" xfId="2" applyNumberFormat="1" applyFont="1" applyAlignment="1">
      <alignment horizontal="left" wrapText="1"/>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0" fontId="12" fillId="0" borderId="6" xfId="0" applyFont="1" applyBorder="1" applyAlignment="1">
      <alignment vertical="center" wrapText="1"/>
    </xf>
    <xf numFmtId="4" fontId="12" fillId="0" borderId="12"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180" fontId="31" fillId="0" borderId="0" xfId="2" applyNumberFormat="1" applyFont="1"/>
    <xf numFmtId="181" fontId="44" fillId="0" borderId="0" xfId="2" applyNumberFormat="1" applyFont="1"/>
    <xf numFmtId="164" fontId="31" fillId="0" borderId="0" xfId="5" applyFont="1"/>
    <xf numFmtId="172" fontId="13" fillId="0" borderId="0" xfId="2" applyNumberFormat="1" applyFont="1" applyAlignment="1">
      <alignment horizontal="right" vertical="center"/>
    </xf>
    <xf numFmtId="0" fontId="45" fillId="0" borderId="0" xfId="2" applyFont="1"/>
    <xf numFmtId="49" fontId="42" fillId="3" borderId="0" xfId="2" applyNumberFormat="1" applyFont="1" applyFill="1"/>
    <xf numFmtId="49" fontId="42" fillId="0" borderId="0" xfId="2" applyNumberFormat="1" applyFont="1"/>
    <xf numFmtId="2" fontId="42" fillId="0" borderId="0" xfId="2" applyNumberFormat="1" applyFont="1"/>
    <xf numFmtId="49" fontId="47" fillId="0" borderId="0" xfId="2" applyNumberFormat="1" applyFont="1" applyAlignment="1">
      <alignment horizontal="left" wrapText="1"/>
    </xf>
    <xf numFmtId="0" fontId="44" fillId="0" borderId="0" xfId="2" applyFont="1" applyAlignment="1">
      <alignment horizontal="left" vertical="center"/>
    </xf>
    <xf numFmtId="0" fontId="42" fillId="0" borderId="0" xfId="2" applyFont="1" applyAlignment="1">
      <alignment vertical="center"/>
    </xf>
    <xf numFmtId="0" fontId="44" fillId="0" borderId="0" xfId="2" applyFont="1" applyAlignment="1">
      <alignment vertical="center"/>
    </xf>
    <xf numFmtId="0" fontId="28" fillId="0" borderId="0" xfId="2" applyFont="1" applyAlignment="1">
      <alignment vertical="center" wrapText="1"/>
    </xf>
    <xf numFmtId="0" fontId="2" fillId="0" borderId="0" xfId="2" applyFont="1"/>
    <xf numFmtId="0" fontId="2" fillId="0" borderId="0" xfId="2" applyFont="1" applyAlignment="1">
      <alignment horizontal="center"/>
    </xf>
    <xf numFmtId="49" fontId="13" fillId="0" borderId="1" xfId="2" applyNumberFormat="1" applyFont="1" applyBorder="1" applyAlignment="1">
      <alignment horizontal="left" vertical="center" wrapText="1"/>
    </xf>
    <xf numFmtId="0" fontId="12" fillId="0" borderId="0" xfId="2" applyFont="1" applyAlignment="1">
      <alignment horizontal="right"/>
    </xf>
    <xf numFmtId="4" fontId="3" fillId="11" borderId="1" xfId="2" applyNumberFormat="1" applyFont="1" applyFill="1" applyBorder="1" applyAlignment="1">
      <alignment horizontal="center" vertical="center"/>
    </xf>
    <xf numFmtId="0" fontId="42" fillId="11" borderId="1" xfId="2" applyFont="1" applyFill="1" applyBorder="1"/>
    <xf numFmtId="4" fontId="42" fillId="11" borderId="0" xfId="2" applyNumberFormat="1" applyFont="1" applyFill="1"/>
    <xf numFmtId="0" fontId="42" fillId="11" borderId="0" xfId="2" applyFont="1" applyFill="1"/>
    <xf numFmtId="0" fontId="53" fillId="0" borderId="0" xfId="2" applyFont="1"/>
    <xf numFmtId="0" fontId="42" fillId="0" borderId="0" xfId="2" applyFont="1" applyBorder="1"/>
    <xf numFmtId="0" fontId="42" fillId="3" borderId="0" xfId="2" applyFont="1" applyFill="1" applyBorder="1"/>
    <xf numFmtId="4" fontId="3" fillId="11" borderId="6" xfId="2" applyNumberFormat="1" applyFont="1" applyFill="1" applyBorder="1" applyAlignment="1">
      <alignment horizontal="center" vertical="center"/>
    </xf>
    <xf numFmtId="0" fontId="36" fillId="3" borderId="0" xfId="2" applyFont="1" applyFill="1" applyBorder="1" applyAlignment="1">
      <alignment horizontal="center" vertical="center"/>
    </xf>
    <xf numFmtId="4" fontId="36" fillId="0" borderId="0" xfId="2" applyNumberFormat="1" applyFont="1" applyBorder="1" applyAlignment="1">
      <alignment horizontal="center" vertical="center"/>
    </xf>
    <xf numFmtId="167" fontId="33" fillId="0" borderId="0" xfId="2" applyNumberFormat="1" applyFont="1" applyBorder="1" applyAlignment="1">
      <alignment horizontal="center" vertical="center"/>
    </xf>
    <xf numFmtId="4" fontId="42" fillId="3" borderId="0" xfId="2" applyNumberFormat="1" applyFont="1" applyFill="1" applyBorder="1"/>
    <xf numFmtId="4" fontId="42" fillId="0" borderId="0" xfId="2" applyNumberFormat="1" applyFont="1" applyBorder="1"/>
    <xf numFmtId="4" fontId="2" fillId="11" borderId="6" xfId="2" applyNumberFormat="1" applyFont="1" applyFill="1" applyBorder="1" applyAlignment="1">
      <alignment horizontal="center" vertical="center"/>
    </xf>
    <xf numFmtId="4" fontId="42" fillId="11" borderId="1" xfId="2" applyNumberFormat="1" applyFont="1" applyFill="1" applyBorder="1"/>
    <xf numFmtId="49" fontId="47" fillId="0" borderId="0" xfId="2" applyNumberFormat="1" applyFont="1" applyAlignment="1">
      <alignment horizontal="left"/>
    </xf>
    <xf numFmtId="49" fontId="47" fillId="0" borderId="0" xfId="2" applyNumberFormat="1" applyFont="1" applyAlignment="1">
      <alignment horizontal="left" vertical="center" wrapText="1"/>
    </xf>
    <xf numFmtId="168" fontId="47" fillId="0" borderId="0" xfId="2" applyNumberFormat="1" applyFont="1" applyAlignment="1">
      <alignment horizontal="left"/>
    </xf>
    <xf numFmtId="49" fontId="44" fillId="0" borderId="0" xfId="2" applyNumberFormat="1" applyFont="1" applyAlignment="1">
      <alignment horizontal="left" vertical="top" wrapText="1"/>
    </xf>
    <xf numFmtId="49" fontId="44" fillId="0" borderId="0" xfId="2" applyNumberFormat="1" applyFont="1" applyAlignment="1">
      <alignment horizontal="left" vertical="center" wrapText="1"/>
    </xf>
    <xf numFmtId="4" fontId="43" fillId="3" borderId="0" xfId="2" applyNumberFormat="1" applyFont="1" applyFill="1"/>
    <xf numFmtId="0" fontId="54" fillId="0" borderId="0" xfId="0" applyFont="1"/>
    <xf numFmtId="0" fontId="12" fillId="0" borderId="0" xfId="2" applyFont="1" applyFill="1" applyAlignment="1">
      <alignment horizontal="center"/>
    </xf>
    <xf numFmtId="0" fontId="37" fillId="0" borderId="1" xfId="2" applyFont="1" applyFill="1" applyBorder="1" applyAlignment="1">
      <alignment horizontal="left" vertical="center" wrapText="1"/>
    </xf>
    <xf numFmtId="4" fontId="37" fillId="0" borderId="1" xfId="2" applyNumberFormat="1" applyFont="1" applyBorder="1" applyAlignment="1">
      <alignment horizontal="center" vertical="center"/>
    </xf>
    <xf numFmtId="167" fontId="37" fillId="0" borderId="1" xfId="2" applyNumberFormat="1" applyFont="1" applyBorder="1" applyAlignment="1">
      <alignment horizontal="center" vertical="center"/>
    </xf>
    <xf numFmtId="0" fontId="38" fillId="0" borderId="1" xfId="2" applyFont="1" applyFill="1" applyBorder="1" applyAlignment="1">
      <alignment horizontal="left" vertical="center"/>
    </xf>
    <xf numFmtId="4" fontId="38" fillId="0" borderId="1" xfId="2" applyNumberFormat="1" applyFont="1" applyFill="1" applyBorder="1" applyAlignment="1">
      <alignment horizontal="center" vertical="center"/>
    </xf>
    <xf numFmtId="4" fontId="38" fillId="0" borderId="1" xfId="2" applyNumberFormat="1" applyFont="1" applyBorder="1" applyAlignment="1">
      <alignment horizontal="center" vertical="center"/>
    </xf>
    <xf numFmtId="0" fontId="37" fillId="0" borderId="1" xfId="2" applyFont="1" applyFill="1" applyBorder="1" applyAlignment="1">
      <alignment horizontal="left" vertical="center"/>
    </xf>
    <xf numFmtId="4" fontId="37" fillId="0" borderId="1" xfId="2" applyNumberFormat="1" applyFont="1" applyFill="1" applyBorder="1" applyAlignment="1">
      <alignment horizontal="center" vertical="center"/>
    </xf>
    <xf numFmtId="0" fontId="38" fillId="3" borderId="6" xfId="2" applyFont="1" applyFill="1" applyBorder="1" applyAlignment="1">
      <alignment horizontal="left" vertical="center"/>
    </xf>
    <xf numFmtId="4" fontId="38" fillId="3" borderId="6" xfId="2" applyNumberFormat="1" applyFont="1" applyFill="1" applyBorder="1" applyAlignment="1">
      <alignment horizontal="center" vertical="center"/>
    </xf>
    <xf numFmtId="167" fontId="37" fillId="3" borderId="6" xfId="2" applyNumberFormat="1" applyFont="1" applyFill="1" applyBorder="1" applyAlignment="1">
      <alignment horizontal="center" vertical="center"/>
    </xf>
    <xf numFmtId="0" fontId="38" fillId="3" borderId="1" xfId="2" applyFont="1" applyFill="1" applyBorder="1" applyAlignment="1">
      <alignment horizontal="left" vertical="center"/>
    </xf>
    <xf numFmtId="4" fontId="38" fillId="3" borderId="1" xfId="2" applyNumberFormat="1" applyFont="1" applyFill="1" applyBorder="1" applyAlignment="1">
      <alignment horizontal="center" vertical="center"/>
    </xf>
    <xf numFmtId="167" fontId="37" fillId="3" borderId="1" xfId="2" applyNumberFormat="1" applyFont="1" applyFill="1" applyBorder="1" applyAlignment="1">
      <alignment horizontal="center" vertical="center"/>
    </xf>
    <xf numFmtId="0" fontId="13" fillId="0" borderId="0" xfId="2" applyFont="1" applyAlignment="1">
      <alignment horizontal="left" wrapText="1"/>
    </xf>
    <xf numFmtId="49" fontId="13" fillId="0" borderId="0" xfId="2" applyNumberFormat="1" applyFont="1" applyAlignment="1">
      <alignment horizontal="left" wrapText="1"/>
    </xf>
    <xf numFmtId="49" fontId="12" fillId="0" borderId="0" xfId="2" applyNumberFormat="1" applyFont="1" applyAlignment="1">
      <alignment horizontal="center" vertical="center" wrapText="1"/>
    </xf>
    <xf numFmtId="49" fontId="44" fillId="0" borderId="0" xfId="2" applyNumberFormat="1" applyFont="1" applyAlignment="1">
      <alignment horizontal="left" vertical="center" wrapText="1"/>
    </xf>
    <xf numFmtId="0" fontId="12" fillId="0" borderId="0" xfId="2" applyFont="1" applyAlignment="1">
      <alignment horizontal="left" vertical="center" wrapText="1"/>
    </xf>
    <xf numFmtId="49" fontId="13" fillId="0" borderId="0" xfId="2" applyNumberFormat="1" applyFont="1" applyAlignment="1">
      <alignment horizontal="left" wrapText="1"/>
    </xf>
    <xf numFmtId="0" fontId="13" fillId="0" borderId="0" xfId="2" applyFont="1" applyAlignment="1">
      <alignment horizontal="left" wrapText="1"/>
    </xf>
    <xf numFmtId="0" fontId="12" fillId="0" borderId="0" xfId="0" applyFont="1" applyAlignment="1">
      <alignment horizontal="left" vertical="center" wrapText="1"/>
    </xf>
    <xf numFmtId="49" fontId="12" fillId="0" borderId="0" xfId="2" applyNumberFormat="1" applyFont="1" applyAlignment="1">
      <alignment horizontal="left" vertical="center" wrapText="1"/>
    </xf>
    <xf numFmtId="0" fontId="2" fillId="0" borderId="0" xfId="2" applyFont="1" applyAlignment="1">
      <alignment horizontal="center"/>
    </xf>
    <xf numFmtId="49" fontId="12" fillId="0" borderId="0" xfId="2" applyNumberFormat="1" applyFont="1" applyBorder="1" applyAlignment="1">
      <alignment horizontal="center" vertical="center" wrapText="1"/>
    </xf>
    <xf numFmtId="0" fontId="44" fillId="3" borderId="0" xfId="2" applyFont="1" applyFill="1" applyBorder="1" applyAlignment="1">
      <alignment horizontal="left" vertical="top"/>
    </xf>
    <xf numFmtId="49" fontId="12" fillId="0" borderId="4" xfId="2" applyNumberFormat="1" applyFont="1" applyBorder="1" applyAlignment="1">
      <alignment horizontal="center" vertical="center" wrapText="1"/>
    </xf>
    <xf numFmtId="49" fontId="12" fillId="0" borderId="0" xfId="2" applyNumberFormat="1" applyFont="1" applyBorder="1" applyAlignment="1">
      <alignment horizontal="center" vertical="center" wrapText="1"/>
    </xf>
    <xf numFmtId="0" fontId="12" fillId="0" borderId="0" xfId="0" applyFont="1" applyBorder="1" applyAlignment="1">
      <alignment vertical="center" wrapText="1"/>
    </xf>
    <xf numFmtId="4" fontId="12" fillId="0" borderId="0" xfId="0" applyNumberFormat="1" applyFont="1" applyBorder="1" applyAlignment="1">
      <alignment horizontal="left" vertical="center" wrapText="1"/>
    </xf>
    <xf numFmtId="167" fontId="12" fillId="0" borderId="0" xfId="2" applyNumberFormat="1" applyFont="1" applyBorder="1" applyAlignment="1">
      <alignment horizontal="left" wrapText="1"/>
    </xf>
    <xf numFmtId="49" fontId="12" fillId="0" borderId="4" xfId="2" applyNumberFormat="1" applyFont="1" applyBorder="1" applyAlignment="1">
      <alignment horizontal="left" vertical="center"/>
    </xf>
    <xf numFmtId="0" fontId="12" fillId="0" borderId="0" xfId="2" applyFont="1" applyAlignment="1">
      <alignment horizontal="left" vertical="center" wrapText="1"/>
    </xf>
    <xf numFmtId="0" fontId="12" fillId="0" borderId="0" xfId="0" applyFont="1" applyAlignment="1">
      <alignment horizontal="left" vertical="center" wrapText="1"/>
    </xf>
    <xf numFmtId="49" fontId="44" fillId="0" borderId="0" xfId="2" applyNumberFormat="1" applyFont="1" applyAlignment="1">
      <alignment horizontal="left" vertical="center" wrapText="1"/>
    </xf>
    <xf numFmtId="0" fontId="2" fillId="0" borderId="0" xfId="2" applyFont="1" applyAlignment="1">
      <alignment horizontal="center"/>
    </xf>
    <xf numFmtId="49" fontId="12" fillId="0" borderId="0" xfId="2" applyNumberFormat="1" applyFont="1" applyBorder="1" applyAlignment="1">
      <alignment horizontal="center" vertical="center" wrapText="1"/>
    </xf>
    <xf numFmtId="49" fontId="12" fillId="0" borderId="0" xfId="2" applyNumberFormat="1" applyFont="1" applyAlignment="1">
      <alignment horizontal="left" vertical="center" wrapText="1"/>
    </xf>
    <xf numFmtId="49" fontId="44" fillId="0" borderId="0" xfId="2" applyNumberFormat="1" applyFont="1" applyAlignment="1">
      <alignment horizontal="left" vertical="center" wrapText="1"/>
    </xf>
    <xf numFmtId="0" fontId="12" fillId="0" borderId="0" xfId="2" applyFont="1" applyAlignment="1">
      <alignment horizontal="left" vertical="center" wrapText="1"/>
    </xf>
    <xf numFmtId="0" fontId="12" fillId="0" borderId="0" xfId="0" applyFont="1" applyAlignment="1">
      <alignment horizontal="left" vertical="center" wrapText="1"/>
    </xf>
    <xf numFmtId="49" fontId="12" fillId="0" borderId="0" xfId="2" applyNumberFormat="1" applyFont="1" applyAlignment="1">
      <alignment horizontal="left" vertical="center" wrapText="1"/>
    </xf>
    <xf numFmtId="49" fontId="12" fillId="0" borderId="0" xfId="2" applyNumberFormat="1" applyFont="1" applyBorder="1" applyAlignment="1">
      <alignment horizontal="center" vertical="center" wrapText="1"/>
    </xf>
    <xf numFmtId="0" fontId="2" fillId="0" borderId="0" xfId="2" applyFont="1" applyAlignment="1">
      <alignment horizontal="center"/>
    </xf>
    <xf numFmtId="49" fontId="18" fillId="0" borderId="0" xfId="0" applyNumberFormat="1" applyFont="1" applyAlignment="1" applyProtection="1">
      <alignment horizontal="right" vertical="top"/>
      <protection locked="0"/>
    </xf>
    <xf numFmtId="49" fontId="0" fillId="0" borderId="0" xfId="0" applyNumberFormat="1" applyFont="1" applyAlignment="1" applyProtection="1">
      <alignment horizontal="left" vertical="top"/>
      <protection locked="0"/>
    </xf>
    <xf numFmtId="49" fontId="0" fillId="0" borderId="0" xfId="0" applyNumberFormat="1" applyBorder="1" applyAlignment="1" applyProtection="1">
      <alignment horizontal="left" vertical="top" wrapText="1"/>
      <protection locked="0"/>
    </xf>
    <xf numFmtId="49" fontId="0" fillId="0" borderId="0" xfId="0" applyNumberFormat="1" applyFont="1" applyBorder="1" applyAlignment="1" applyProtection="1">
      <alignment horizontal="left" vertical="top" wrapText="1"/>
      <protection locked="0"/>
    </xf>
    <xf numFmtId="173" fontId="18" fillId="0" borderId="0" xfId="0" applyNumberFormat="1" applyFont="1" applyAlignment="1" applyProtection="1">
      <alignment horizontal="right" vertical="top"/>
      <protection locked="0"/>
    </xf>
    <xf numFmtId="173" fontId="0" fillId="0" borderId="0" xfId="0" applyNumberFormat="1" applyFont="1" applyAlignment="1" applyProtection="1">
      <alignment horizontal="right" vertical="top" wrapText="1"/>
      <protection locked="0"/>
    </xf>
    <xf numFmtId="173" fontId="0" fillId="0" borderId="2" xfId="0" applyNumberFormat="1" applyFont="1" applyBorder="1" applyAlignment="1" applyProtection="1">
      <alignment horizontal="center" vertical="top" wrapText="1"/>
      <protection locked="0"/>
    </xf>
    <xf numFmtId="173" fontId="0" fillId="0" borderId="0" xfId="0" applyNumberFormat="1" applyFont="1" applyAlignment="1" applyProtection="1">
      <alignment horizontal="left" vertical="top" wrapText="1"/>
      <protection locked="0"/>
    </xf>
    <xf numFmtId="49" fontId="18" fillId="0" borderId="0" xfId="0" applyNumberFormat="1" applyFont="1" applyAlignment="1" applyProtection="1">
      <alignment horizontal="center" vertical="top"/>
      <protection locked="0"/>
    </xf>
    <xf numFmtId="49" fontId="0" fillId="0" borderId="0" xfId="0" applyNumberFormat="1" applyAlignment="1" applyProtection="1">
      <alignment horizontal="left" vertical="top"/>
      <protection locked="0"/>
    </xf>
    <xf numFmtId="49" fontId="0" fillId="0" borderId="6" xfId="0" applyNumberFormat="1" applyFont="1" applyBorder="1" applyAlignment="1" applyProtection="1">
      <alignment horizontal="center" vertical="center" wrapText="1"/>
      <protection locked="0"/>
    </xf>
    <xf numFmtId="49" fontId="0" fillId="0" borderId="5" xfId="0" applyNumberFormat="1" applyFont="1" applyBorder="1" applyAlignment="1" applyProtection="1">
      <alignment horizontal="center" vertical="center" wrapText="1"/>
      <protection locked="0"/>
    </xf>
    <xf numFmtId="49" fontId="0" fillId="0" borderId="7" xfId="0" applyNumberFormat="1" applyFont="1" applyBorder="1" applyAlignment="1" applyProtection="1">
      <alignment horizontal="center" vertical="center" wrapText="1"/>
      <protection locked="0"/>
    </xf>
    <xf numFmtId="49" fontId="0" fillId="0" borderId="9" xfId="0" applyNumberFormat="1" applyFont="1" applyBorder="1" applyAlignment="1" applyProtection="1">
      <alignment horizontal="center" vertical="center" wrapText="1"/>
      <protection locked="0"/>
    </xf>
    <xf numFmtId="49" fontId="0" fillId="0" borderId="10" xfId="0" applyNumberFormat="1" applyFont="1" applyBorder="1" applyAlignment="1" applyProtection="1">
      <alignment horizontal="center" vertical="center" wrapText="1"/>
      <protection locked="0"/>
    </xf>
    <xf numFmtId="49" fontId="0" fillId="0" borderId="0" xfId="0" applyNumberFormat="1" applyFont="1" applyAlignment="1" applyProtection="1">
      <alignment horizontal="right" vertical="top" wrapText="1"/>
      <protection locked="0"/>
    </xf>
    <xf numFmtId="49" fontId="0" fillId="0" borderId="0" xfId="0" applyNumberFormat="1" applyFont="1" applyAlignment="1" applyProtection="1">
      <alignment horizontal="left" vertical="top" wrapText="1"/>
      <protection locked="0"/>
    </xf>
    <xf numFmtId="49" fontId="19" fillId="0" borderId="2" xfId="0" applyNumberFormat="1" applyFont="1" applyBorder="1" applyAlignment="1" applyProtection="1">
      <alignment horizontal="center" vertical="top" wrapText="1"/>
      <protection locked="0"/>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49" fontId="19" fillId="0" borderId="2" xfId="0" applyNumberFormat="1" applyFont="1" applyBorder="1" applyAlignment="1" applyProtection="1">
      <alignment horizontal="center" vertical="top"/>
      <protection locked="0"/>
    </xf>
    <xf numFmtId="49" fontId="0" fillId="0" borderId="0" xfId="0" applyNumberFormat="1" applyFont="1" applyAlignment="1" applyProtection="1">
      <alignment horizontal="right" vertical="top"/>
      <protection locked="0"/>
    </xf>
    <xf numFmtId="0" fontId="10" fillId="0" borderId="0" xfId="0" applyFont="1" applyFill="1" applyAlignment="1">
      <alignment horizontal="left" wrapText="1"/>
    </xf>
    <xf numFmtId="0" fontId="10" fillId="0" borderId="0" xfId="0" applyFont="1" applyFill="1" applyAlignment="1">
      <alignment horizontal="left"/>
    </xf>
    <xf numFmtId="0" fontId="6" fillId="0" borderId="0" xfId="0" applyFont="1" applyFill="1" applyAlignment="1">
      <alignment horizontal="left" vertical="center" wrapText="1"/>
    </xf>
    <xf numFmtId="0" fontId="6" fillId="0" borderId="0" xfId="0" applyFont="1" applyFill="1" applyAlignment="1">
      <alignment horizontal="right" vertical="center" wrapText="1"/>
    </xf>
    <xf numFmtId="4" fontId="3" fillId="0" borderId="0" xfId="0" applyNumberFormat="1" applyFont="1" applyFill="1" applyAlignment="1">
      <alignment horizontal="center" vertical="center" wrapText="1"/>
    </xf>
    <xf numFmtId="4" fontId="2" fillId="0" borderId="0" xfId="0" applyNumberFormat="1" applyFont="1" applyFill="1" applyAlignment="1">
      <alignment horizontal="center" vertical="center" wrapText="1"/>
    </xf>
    <xf numFmtId="4" fontId="4" fillId="0" borderId="0" xfId="0" applyNumberFormat="1" applyFont="1" applyFill="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Alignment="1">
      <alignment horizontal="left" vertical="center" wrapText="1"/>
    </xf>
    <xf numFmtId="0" fontId="4" fillId="0" borderId="0" xfId="0" applyFont="1" applyFill="1" applyBorder="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2" fillId="0" borderId="0" xfId="0" applyFont="1" applyFill="1" applyAlignment="1">
      <alignment horizontal="left" vertical="center" wrapText="1"/>
    </xf>
    <xf numFmtId="0" fontId="8" fillId="0" borderId="0" xfId="0" applyFont="1" applyFill="1" applyAlignment="1">
      <alignment horizontal="left"/>
    </xf>
    <xf numFmtId="0" fontId="2" fillId="0" borderId="0" xfId="0" applyFont="1" applyFill="1" applyAlignment="1">
      <alignment horizontal="center"/>
    </xf>
    <xf numFmtId="0" fontId="6" fillId="0" borderId="0" xfId="0" applyFont="1" applyFill="1" applyAlignment="1">
      <alignment horizontal="right" vertical="top" wrapText="1"/>
    </xf>
    <xf numFmtId="0" fontId="10" fillId="0" borderId="0" xfId="0" applyFont="1" applyFill="1" applyBorder="1" applyAlignment="1">
      <alignment horizontal="left" vertical="center" wrapText="1"/>
    </xf>
    <xf numFmtId="4" fontId="36" fillId="0" borderId="0" xfId="0" applyNumberFormat="1" applyFont="1" applyFill="1" applyAlignment="1">
      <alignment horizontal="center" vertical="center" wrapText="1"/>
    </xf>
    <xf numFmtId="0" fontId="33" fillId="0" borderId="0" xfId="0" applyFont="1" applyFill="1" applyAlignment="1">
      <alignment horizontal="center"/>
    </xf>
    <xf numFmtId="0" fontId="33" fillId="0" borderId="0" xfId="0" applyFont="1" applyFill="1" applyAlignment="1">
      <alignment horizontal="left" vertical="center" wrapText="1"/>
    </xf>
    <xf numFmtId="0" fontId="55" fillId="0" borderId="0" xfId="0" applyFont="1" applyFill="1" applyAlignment="1">
      <alignment horizontal="left"/>
    </xf>
    <xf numFmtId="0" fontId="48"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3" fillId="0" borderId="0" xfId="0" applyFont="1" applyFill="1" applyAlignment="1">
      <alignment vertical="center" wrapText="1"/>
    </xf>
    <xf numFmtId="0" fontId="34" fillId="0" borderId="0" xfId="0" applyFont="1" applyFill="1" applyAlignment="1">
      <alignment vertical="center" wrapText="1"/>
    </xf>
    <xf numFmtId="0" fontId="0" fillId="0" borderId="1" xfId="0" applyFont="1" applyBorder="1" applyAlignment="1">
      <alignment horizontal="center" vertical="center" wrapText="1"/>
    </xf>
    <xf numFmtId="0" fontId="22" fillId="0" borderId="1" xfId="0" applyFont="1" applyBorder="1" applyAlignment="1">
      <alignment horizontal="left" vertical="center" wrapText="1"/>
    </xf>
    <xf numFmtId="0" fontId="0" fillId="0" borderId="0" xfId="0" applyFont="1" applyAlignment="1">
      <alignment horizontal="left" vertical="center"/>
    </xf>
    <xf numFmtId="0" fontId="22" fillId="0" borderId="7"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168" fontId="13" fillId="8" borderId="0" xfId="2" applyNumberFormat="1" applyFont="1" applyFill="1" applyAlignment="1">
      <alignment horizontal="center" vertical="center"/>
    </xf>
    <xf numFmtId="0" fontId="12" fillId="0" borderId="0" xfId="2" applyFont="1" applyAlignment="1">
      <alignment horizontal="left" vertical="center" wrapText="1"/>
    </xf>
    <xf numFmtId="0" fontId="2" fillId="0" borderId="0" xfId="2" applyFont="1" applyAlignment="1">
      <alignment horizontal="left" wrapText="1"/>
    </xf>
    <xf numFmtId="0" fontId="12" fillId="0" borderId="0" xfId="2" applyFont="1" applyAlignment="1">
      <alignment horizontal="left" wrapText="1"/>
    </xf>
    <xf numFmtId="0" fontId="13" fillId="0" borderId="0" xfId="2" applyFont="1" applyAlignment="1">
      <alignment horizontal="left" wrapText="1"/>
    </xf>
    <xf numFmtId="0" fontId="12" fillId="0" borderId="0" xfId="0" applyFont="1" applyAlignment="1">
      <alignment horizontal="left" vertical="center" wrapText="1"/>
    </xf>
    <xf numFmtId="49" fontId="45" fillId="0" borderId="0" xfId="2" applyNumberFormat="1" applyFont="1" applyAlignment="1">
      <alignment horizontal="left" wrapText="1"/>
    </xf>
    <xf numFmtId="49" fontId="13" fillId="0" borderId="0" xfId="2" applyNumberFormat="1" applyFont="1" applyAlignment="1">
      <alignment horizontal="left" wrapText="1"/>
    </xf>
    <xf numFmtId="49" fontId="12" fillId="0" borderId="4"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0" xfId="2" applyNumberFormat="1" applyFont="1" applyAlignment="1">
      <alignment horizontal="left" vertical="top" wrapText="1"/>
    </xf>
    <xf numFmtId="0" fontId="12" fillId="0" borderId="7" xfId="2" applyFont="1" applyBorder="1" applyAlignment="1">
      <alignment horizontal="center"/>
    </xf>
    <xf numFmtId="0" fontId="12" fillId="0" borderId="10" xfId="2" applyFont="1" applyBorder="1" applyAlignment="1">
      <alignment horizontal="center"/>
    </xf>
    <xf numFmtId="0" fontId="37" fillId="0" borderId="1" xfId="0" applyFont="1" applyBorder="1" applyAlignment="1">
      <alignment horizontal="center" vertical="center" wrapText="1"/>
    </xf>
    <xf numFmtId="49" fontId="44" fillId="0" borderId="0" xfId="2" applyNumberFormat="1" applyFont="1" applyAlignment="1">
      <alignment horizontal="left" vertical="center" wrapText="1"/>
    </xf>
    <xf numFmtId="0" fontId="33" fillId="0" borderId="0" xfId="2" applyFont="1" applyAlignment="1">
      <alignment vertical="center" wrapText="1"/>
    </xf>
    <xf numFmtId="0" fontId="56" fillId="0" borderId="0" xfId="0" applyFont="1" applyAlignment="1">
      <alignment vertical="center" wrapText="1"/>
    </xf>
    <xf numFmtId="1" fontId="33" fillId="0" borderId="0" xfId="0" applyNumberFormat="1" applyFont="1" applyAlignment="1">
      <alignment horizontal="left" vertical="top" wrapText="1"/>
    </xf>
    <xf numFmtId="1" fontId="33" fillId="0" borderId="0" xfId="0" applyNumberFormat="1" applyFont="1" applyAlignment="1">
      <alignment horizontal="left" vertical="center" wrapText="1"/>
    </xf>
    <xf numFmtId="1" fontId="2" fillId="0" borderId="0" xfId="0" applyNumberFormat="1" applyFont="1" applyAlignment="1">
      <alignment horizontal="left" vertical="center" wrapText="1"/>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2" applyFont="1" applyAlignment="1">
      <alignment vertical="center"/>
    </xf>
    <xf numFmtId="0" fontId="30" fillId="0" borderId="0" xfId="0" applyFont="1" applyAlignment="1">
      <alignment vertical="center"/>
    </xf>
    <xf numFmtId="0" fontId="35" fillId="0" borderId="0" xfId="2" applyFont="1" applyAlignment="1">
      <alignment horizontal="center" vertical="center" wrapText="1"/>
    </xf>
    <xf numFmtId="0" fontId="37" fillId="0" borderId="0" xfId="2" applyFont="1" applyAlignment="1">
      <alignment horizontal="center" vertical="center"/>
    </xf>
    <xf numFmtId="0" fontId="37" fillId="0" borderId="0" xfId="2" applyFont="1" applyAlignment="1">
      <alignment horizontal="center"/>
    </xf>
    <xf numFmtId="0" fontId="37" fillId="0" borderId="0" xfId="2" applyFont="1" applyAlignment="1">
      <alignment vertical="center" wrapText="1"/>
    </xf>
    <xf numFmtId="0" fontId="57" fillId="0" borderId="0" xfId="0" applyFont="1" applyAlignment="1">
      <alignment vertical="center" wrapText="1"/>
    </xf>
    <xf numFmtId="167" fontId="2" fillId="0" borderId="6" xfId="2" applyNumberFormat="1" applyFont="1" applyBorder="1" applyAlignment="1">
      <alignment horizontal="center" vertical="center"/>
    </xf>
    <xf numFmtId="167" fontId="2" fillId="0" borderId="8" xfId="2" applyNumberFormat="1" applyFont="1" applyBorder="1" applyAlignment="1">
      <alignment horizontal="center" vertical="center"/>
    </xf>
    <xf numFmtId="167" fontId="2" fillId="0" borderId="5" xfId="2" applyNumberFormat="1" applyFont="1" applyBorder="1" applyAlignment="1">
      <alignment horizontal="center" vertical="center"/>
    </xf>
    <xf numFmtId="0" fontId="0" fillId="0" borderId="0" xfId="0" applyAlignment="1">
      <alignment horizontal="center" wrapText="1"/>
    </xf>
    <xf numFmtId="168" fontId="13" fillId="0" borderId="0" xfId="2" applyNumberFormat="1" applyFont="1" applyFill="1" applyAlignment="1">
      <alignment horizontal="center" vertical="center"/>
    </xf>
    <xf numFmtId="0" fontId="33" fillId="11" borderId="0" xfId="2" applyFont="1" applyFill="1" applyAlignment="1">
      <alignment vertical="center" wrapText="1"/>
    </xf>
    <xf numFmtId="0" fontId="56" fillId="11" borderId="0" xfId="0" applyFont="1" applyFill="1" applyAlignment="1">
      <alignment vertical="center" wrapText="1"/>
    </xf>
    <xf numFmtId="1" fontId="33" fillId="0" borderId="0" xfId="0" applyNumberFormat="1" applyFont="1" applyFill="1" applyAlignment="1">
      <alignment horizontal="left" vertical="top" wrapText="1"/>
    </xf>
    <xf numFmtId="1" fontId="37" fillId="0" borderId="0" xfId="0" applyNumberFormat="1" applyFont="1" applyFill="1" applyAlignment="1">
      <alignment horizontal="left" vertical="top" wrapText="1"/>
    </xf>
    <xf numFmtId="1" fontId="37" fillId="0" borderId="0" xfId="0" applyNumberFormat="1" applyFont="1" applyAlignment="1">
      <alignment horizontal="left" vertical="center" wrapText="1"/>
    </xf>
    <xf numFmtId="0" fontId="2" fillId="0" borderId="0" xfId="2" applyFont="1" applyFill="1" applyAlignment="1">
      <alignment vertical="center" wrapText="1"/>
    </xf>
    <xf numFmtId="0" fontId="58" fillId="0" borderId="0" xfId="0" applyFont="1" applyFill="1" applyAlignment="1">
      <alignment vertical="center" wrapText="1"/>
    </xf>
    <xf numFmtId="0" fontId="59" fillId="0" borderId="0" xfId="2" applyFont="1" applyAlignment="1">
      <alignment horizontal="right" vertical="center"/>
    </xf>
    <xf numFmtId="0" fontId="5" fillId="0" borderId="0" xfId="0" applyFont="1" applyAlignment="1"/>
    <xf numFmtId="0" fontId="28" fillId="0" borderId="0" xfId="2" applyFont="1" applyAlignment="1">
      <alignment horizontal="center" vertical="center" wrapText="1"/>
    </xf>
    <xf numFmtId="0" fontId="28" fillId="0" borderId="0" xfId="2" applyFont="1" applyAlignment="1">
      <alignment horizontal="right" vertical="center"/>
    </xf>
    <xf numFmtId="0" fontId="2" fillId="0" borderId="0" xfId="2" applyFont="1" applyAlignment="1">
      <alignment horizontal="center" vertical="center"/>
    </xf>
    <xf numFmtId="0" fontId="2" fillId="0" borderId="0" xfId="2" applyFont="1" applyAlignment="1">
      <alignment horizontal="center"/>
    </xf>
    <xf numFmtId="0" fontId="2" fillId="0" borderId="0" xfId="2" applyFont="1" applyAlignment="1">
      <alignment vertical="center" wrapText="1"/>
    </xf>
    <xf numFmtId="0" fontId="58" fillId="0" borderId="0" xfId="0" applyFont="1" applyAlignment="1">
      <alignment vertical="center" wrapText="1"/>
    </xf>
    <xf numFmtId="0" fontId="1" fillId="0" borderId="0" xfId="0" applyFont="1" applyAlignment="1"/>
    <xf numFmtId="1" fontId="2" fillId="0" borderId="0" xfId="0" applyNumberFormat="1" applyFont="1" applyFill="1" applyAlignment="1">
      <alignment horizontal="left" vertical="top" wrapText="1"/>
    </xf>
    <xf numFmtId="49" fontId="12" fillId="0" borderId="0" xfId="2"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49" fontId="12" fillId="0" borderId="0" xfId="2" applyNumberFormat="1" applyFont="1" applyAlignment="1">
      <alignment horizontal="left" vertical="center" wrapText="1"/>
    </xf>
    <xf numFmtId="0" fontId="22" fillId="0" borderId="0" xfId="2" applyFont="1" applyAlignment="1">
      <alignment horizontal="left" vertical="center"/>
    </xf>
    <xf numFmtId="49" fontId="10" fillId="0" borderId="0" xfId="2" applyNumberFormat="1" applyFont="1" applyAlignment="1">
      <alignment horizontal="left" wrapText="1"/>
    </xf>
    <xf numFmtId="0" fontId="10" fillId="0" borderId="0" xfId="2" applyFont="1" applyAlignment="1">
      <alignment horizontal="center" vertical="center"/>
    </xf>
    <xf numFmtId="0" fontId="10" fillId="0" borderId="0" xfId="2" applyFont="1" applyAlignment="1">
      <alignment horizontal="left" vertical="center"/>
    </xf>
    <xf numFmtId="0" fontId="10" fillId="0" borderId="0" xfId="2" applyFont="1" applyAlignment="1">
      <alignment horizontal="center"/>
    </xf>
    <xf numFmtId="0" fontId="10" fillId="0" borderId="0" xfId="0" applyFont="1" applyAlignment="1">
      <alignment horizontal="left" vertical="center" wrapText="1"/>
    </xf>
    <xf numFmtId="0" fontId="10" fillId="0" borderId="0" xfId="2" applyFont="1" applyAlignment="1">
      <alignment vertical="center"/>
    </xf>
    <xf numFmtId="0" fontId="10" fillId="0" borderId="0" xfId="2" applyFont="1" applyAlignment="1">
      <alignment vertical="center" wrapText="1"/>
    </xf>
    <xf numFmtId="0" fontId="10" fillId="0" borderId="0" xfId="2" applyFont="1"/>
    <xf numFmtId="0" fontId="60" fillId="0" borderId="0" xfId="2" applyFont="1" applyFill="1" applyAlignment="1"/>
    <xf numFmtId="0" fontId="60" fillId="0" borderId="0" xfId="2" applyFont="1" applyFill="1" applyAlignment="1">
      <alignment wrapText="1"/>
    </xf>
    <xf numFmtId="0" fontId="48" fillId="0" borderId="0" xfId="2" applyFont="1" applyAlignment="1">
      <alignment horizontal="left"/>
    </xf>
    <xf numFmtId="0" fontId="48" fillId="0" borderId="0" xfId="2" applyFont="1" applyAlignment="1">
      <alignment horizontal="left" wrapText="1"/>
    </xf>
    <xf numFmtId="167" fontId="10" fillId="0" borderId="0" xfId="2" applyNumberFormat="1" applyFont="1" applyAlignment="1">
      <alignment horizontal="right" wrapText="1"/>
    </xf>
    <xf numFmtId="0" fontId="61" fillId="0" borderId="0" xfId="0" applyFont="1" applyAlignment="1">
      <alignment vertical="top"/>
    </xf>
    <xf numFmtId="0" fontId="62" fillId="0" borderId="0" xfId="2" applyFont="1" applyAlignment="1">
      <alignment horizontal="left" vertical="center"/>
    </xf>
    <xf numFmtId="182" fontId="62" fillId="0" borderId="0" xfId="2" applyNumberFormat="1" applyFont="1" applyAlignment="1">
      <alignment horizontal="center"/>
    </xf>
    <xf numFmtId="0" fontId="62" fillId="0" borderId="0" xfId="0" applyFont="1" applyAlignment="1">
      <alignment horizontal="left" vertical="center" wrapText="1"/>
    </xf>
    <xf numFmtId="0" fontId="63" fillId="0" borderId="0" xfId="0" applyFont="1"/>
    <xf numFmtId="4" fontId="0" fillId="0" borderId="0" xfId="0" applyNumberFormat="1"/>
    <xf numFmtId="0" fontId="12" fillId="0" borderId="1" xfId="0" applyFont="1" applyBorder="1" applyAlignment="1">
      <alignment vertical="center"/>
    </xf>
    <xf numFmtId="0" fontId="38" fillId="0" borderId="1" xfId="2" applyFont="1" applyFill="1" applyBorder="1" applyAlignment="1">
      <alignment horizontal="left" vertical="center" wrapText="1"/>
    </xf>
    <xf numFmtId="194" fontId="37" fillId="0" borderId="1" xfId="2" applyNumberFormat="1" applyFont="1" applyFill="1" applyBorder="1" applyAlignment="1">
      <alignment horizontal="center" vertical="center"/>
    </xf>
  </cellXfs>
  <cellStyles count="7">
    <cellStyle name="Обычный" xfId="0" builtinId="0"/>
    <cellStyle name="Обычный 2" xfId="1"/>
    <cellStyle name="Обычный 2 2" xfId="2"/>
    <cellStyle name="Обычный 3" xfId="3"/>
    <cellStyle name="Примечание 2 5" xfId="4"/>
    <cellStyle name="Финансовый" xfId="5" builtinId="3"/>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3</xdr:row>
      <xdr:rowOff>133350</xdr:rowOff>
    </xdr:from>
    <xdr:to>
      <xdr:col>22</xdr:col>
      <xdr:colOff>200025</xdr:colOff>
      <xdr:row>45</xdr:row>
      <xdr:rowOff>123825</xdr:rowOff>
    </xdr:to>
    <xdr:pic>
      <xdr:nvPicPr>
        <xdr:cNvPr id="9409"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619125"/>
          <a:ext cx="12068175" cy="679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workbookViewId="0">
      <selection activeCell="J60" sqref="J60"/>
    </sheetView>
  </sheetViews>
  <sheetFormatPr defaultRowHeight="12.75" x14ac:dyDescent="0.2"/>
  <cols>
    <col min="1" max="1" width="11.140625" style="95" customWidth="1"/>
    <col min="2" max="2" width="12" style="95" customWidth="1"/>
    <col min="3" max="3" width="74.42578125" style="95" customWidth="1"/>
    <col min="4" max="8" width="10.85546875" style="95" customWidth="1"/>
    <col min="9" max="16384" width="9.140625" style="95"/>
  </cols>
  <sheetData>
    <row r="1" spans="1:8" x14ac:dyDescent="0.2">
      <c r="A1" s="94" t="s">
        <v>62</v>
      </c>
      <c r="C1" s="94" t="s">
        <v>63</v>
      </c>
      <c r="H1" s="96" t="s">
        <v>64</v>
      </c>
    </row>
    <row r="3" spans="1:8" x14ac:dyDescent="0.2">
      <c r="A3" s="468" t="s">
        <v>65</v>
      </c>
      <c r="B3" s="468"/>
      <c r="C3" s="468"/>
      <c r="D3" s="468"/>
      <c r="E3" s="468"/>
      <c r="F3" s="468"/>
      <c r="G3" s="468"/>
      <c r="H3" s="468"/>
    </row>
    <row r="4" spans="1:8" x14ac:dyDescent="0.2">
      <c r="A4" s="97" t="s">
        <v>34</v>
      </c>
      <c r="B4" s="469" t="s">
        <v>66</v>
      </c>
      <c r="C4" s="469"/>
      <c r="D4" s="469"/>
      <c r="E4" s="469"/>
      <c r="F4" s="469"/>
      <c r="G4" s="469"/>
      <c r="H4" s="469"/>
    </row>
    <row r="5" spans="1:8" x14ac:dyDescent="0.2">
      <c r="B5" s="98"/>
      <c r="C5" s="98"/>
      <c r="D5" s="98"/>
      <c r="E5" s="98"/>
      <c r="F5" s="98"/>
      <c r="G5" s="98"/>
      <c r="H5" s="98"/>
    </row>
    <row r="7" spans="1:8" x14ac:dyDescent="0.2">
      <c r="A7" s="97" t="s">
        <v>67</v>
      </c>
      <c r="B7" s="469" t="s">
        <v>68</v>
      </c>
      <c r="C7" s="469"/>
      <c r="D7" s="469"/>
      <c r="E7" s="469"/>
      <c r="F7" s="469"/>
      <c r="G7" s="469"/>
    </row>
    <row r="8" spans="1:8" ht="25.5" customHeight="1" x14ac:dyDescent="0.2">
      <c r="A8" s="470" t="s">
        <v>69</v>
      </c>
      <c r="B8" s="471"/>
      <c r="C8" s="472">
        <f>H61</f>
        <v>32592.97</v>
      </c>
      <c r="D8" s="472"/>
      <c r="E8" s="472"/>
      <c r="F8" s="472"/>
      <c r="G8" s="99" t="s">
        <v>70</v>
      </c>
    </row>
    <row r="9" spans="1:8" x14ac:dyDescent="0.2">
      <c r="C9" s="98"/>
      <c r="D9" s="98"/>
      <c r="E9" s="98"/>
      <c r="F9" s="98"/>
    </row>
    <row r="10" spans="1:8" x14ac:dyDescent="0.2">
      <c r="A10" s="473"/>
      <c r="B10" s="473"/>
      <c r="C10" s="473"/>
      <c r="D10" s="473"/>
      <c r="E10" s="473"/>
      <c r="F10" s="473"/>
      <c r="G10" s="473"/>
      <c r="H10" s="473"/>
    </row>
    <row r="11" spans="1:8" x14ac:dyDescent="0.2">
      <c r="A11" s="474" t="s">
        <v>19</v>
      </c>
      <c r="B11" s="474"/>
      <c r="C11" s="474"/>
      <c r="D11" s="474"/>
      <c r="E11" s="474"/>
      <c r="F11" s="474"/>
      <c r="G11" s="474"/>
      <c r="H11" s="474"/>
    </row>
    <row r="12" spans="1:8" x14ac:dyDescent="0.2">
      <c r="A12" s="475" t="s">
        <v>68</v>
      </c>
      <c r="B12" s="475"/>
      <c r="C12" s="475"/>
      <c r="D12" s="475"/>
      <c r="E12" s="475"/>
      <c r="F12" s="475"/>
      <c r="G12" s="475"/>
      <c r="H12" s="475"/>
    </row>
    <row r="14" spans="1:8" x14ac:dyDescent="0.2">
      <c r="A14" s="476" t="s">
        <v>71</v>
      </c>
      <c r="B14" s="476"/>
      <c r="C14" s="476"/>
      <c r="D14" s="476"/>
      <c r="E14" s="476"/>
      <c r="F14" s="476"/>
      <c r="G14" s="476"/>
      <c r="H14" s="476"/>
    </row>
    <row r="15" spans="1:8" x14ac:dyDescent="0.2">
      <c r="A15" s="469" t="s">
        <v>72</v>
      </c>
      <c r="B15" s="469"/>
      <c r="C15" s="469"/>
      <c r="D15" s="469"/>
      <c r="E15" s="469"/>
      <c r="F15" s="469"/>
      <c r="G15" s="469"/>
      <c r="H15" s="469"/>
    </row>
    <row r="16" spans="1:8" x14ac:dyDescent="0.2">
      <c r="A16" s="98"/>
      <c r="B16" s="98"/>
      <c r="C16" s="98"/>
      <c r="D16" s="98"/>
      <c r="E16" s="98"/>
      <c r="F16" s="98"/>
      <c r="G16" s="98"/>
      <c r="H16" s="98"/>
    </row>
    <row r="17" spans="1:8" x14ac:dyDescent="0.2">
      <c r="A17" s="477" t="s">
        <v>73</v>
      </c>
      <c r="B17" s="469"/>
      <c r="C17" s="469"/>
      <c r="D17" s="469"/>
      <c r="E17" s="469"/>
      <c r="F17" s="469"/>
      <c r="G17" s="469"/>
      <c r="H17" s="469"/>
    </row>
    <row r="18" spans="1:8" ht="4.9000000000000004" customHeight="1" x14ac:dyDescent="0.2"/>
    <row r="19" spans="1:8" ht="5.0999999999999996" customHeight="1" x14ac:dyDescent="0.2"/>
    <row r="20" spans="1:8" ht="11.1" customHeight="1" x14ac:dyDescent="0.2">
      <c r="A20" s="478" t="s">
        <v>0</v>
      </c>
      <c r="B20" s="478" t="s">
        <v>20</v>
      </c>
      <c r="C20" s="478" t="s">
        <v>21</v>
      </c>
      <c r="D20" s="480" t="s">
        <v>37</v>
      </c>
      <c r="E20" s="481"/>
      <c r="F20" s="481"/>
      <c r="G20" s="481"/>
      <c r="H20" s="482"/>
    </row>
    <row r="21" spans="1:8" ht="105.75" customHeight="1" thickBot="1" x14ac:dyDescent="0.25">
      <c r="A21" s="479"/>
      <c r="B21" s="479"/>
      <c r="C21" s="479"/>
      <c r="D21" s="100" t="s">
        <v>74</v>
      </c>
      <c r="E21" s="100" t="s">
        <v>22</v>
      </c>
      <c r="F21" s="100" t="s">
        <v>23</v>
      </c>
      <c r="G21" s="100" t="s">
        <v>24</v>
      </c>
      <c r="H21" s="100" t="s">
        <v>38</v>
      </c>
    </row>
    <row r="22" spans="1:8" ht="13.5" thickTop="1" x14ac:dyDescent="0.2">
      <c r="A22" s="101">
        <v>1</v>
      </c>
      <c r="B22" s="101">
        <v>2</v>
      </c>
      <c r="C22" s="101">
        <v>3</v>
      </c>
      <c r="D22" s="101">
        <v>4</v>
      </c>
      <c r="E22" s="101">
        <v>5</v>
      </c>
      <c r="F22" s="101">
        <v>6</v>
      </c>
      <c r="G22" s="101">
        <v>7</v>
      </c>
      <c r="H22" s="101">
        <v>8</v>
      </c>
    </row>
    <row r="24" spans="1:8" ht="21" x14ac:dyDescent="0.2">
      <c r="B24" s="102" t="s">
        <v>75</v>
      </c>
      <c r="C24" s="102" t="s">
        <v>76</v>
      </c>
    </row>
    <row r="25" spans="1:8" x14ac:dyDescent="0.2">
      <c r="A25" s="103" t="s">
        <v>77</v>
      </c>
      <c r="B25" s="104" t="s">
        <v>25</v>
      </c>
      <c r="C25" s="104" t="s">
        <v>78</v>
      </c>
      <c r="D25" s="105">
        <v>16659.22</v>
      </c>
      <c r="E25" s="105">
        <v>275.67</v>
      </c>
      <c r="F25" s="105">
        <v>365.88</v>
      </c>
      <c r="G25" s="105"/>
      <c r="H25" s="105">
        <v>17300.77</v>
      </c>
    </row>
    <row r="26" spans="1:8" x14ac:dyDescent="0.2">
      <c r="B26" s="102"/>
      <c r="C26" s="102" t="s">
        <v>39</v>
      </c>
      <c r="D26" s="106">
        <v>16659.22</v>
      </c>
      <c r="E26" s="106">
        <v>275.67</v>
      </c>
      <c r="F26" s="106">
        <v>365.88</v>
      </c>
      <c r="G26" s="106"/>
      <c r="H26" s="106">
        <v>17300.77</v>
      </c>
    </row>
    <row r="28" spans="1:8" x14ac:dyDescent="0.2">
      <c r="B28" s="102" t="s">
        <v>79</v>
      </c>
      <c r="C28" s="102" t="s">
        <v>80</v>
      </c>
    </row>
    <row r="29" spans="1:8" x14ac:dyDescent="0.2">
      <c r="A29" s="103" t="s">
        <v>81</v>
      </c>
      <c r="B29" s="104" t="s">
        <v>82</v>
      </c>
      <c r="C29" s="104" t="s">
        <v>83</v>
      </c>
      <c r="D29" s="105">
        <v>21.12</v>
      </c>
      <c r="E29" s="105">
        <v>1536.1</v>
      </c>
      <c r="F29" s="105">
        <v>21.63</v>
      </c>
      <c r="G29" s="105"/>
      <c r="H29" s="105">
        <v>1578.85</v>
      </c>
    </row>
    <row r="30" spans="1:8" x14ac:dyDescent="0.2">
      <c r="B30" s="102"/>
      <c r="C30" s="102" t="s">
        <v>40</v>
      </c>
      <c r="D30" s="106">
        <v>21.12</v>
      </c>
      <c r="E30" s="106">
        <v>1536.1</v>
      </c>
      <c r="F30" s="106">
        <v>21.63</v>
      </c>
      <c r="G30" s="106"/>
      <c r="H30" s="106">
        <v>1578.85</v>
      </c>
    </row>
    <row r="32" spans="1:8" x14ac:dyDescent="0.2">
      <c r="B32" s="102" t="s">
        <v>84</v>
      </c>
      <c r="C32" s="102" t="s">
        <v>85</v>
      </c>
    </row>
    <row r="33" spans="1:8" x14ac:dyDescent="0.2">
      <c r="A33" s="103" t="s">
        <v>86</v>
      </c>
      <c r="B33" s="104" t="s">
        <v>87</v>
      </c>
      <c r="C33" s="104" t="s">
        <v>88</v>
      </c>
      <c r="D33" s="105">
        <v>1693.03</v>
      </c>
      <c r="E33" s="105"/>
      <c r="F33" s="105"/>
      <c r="G33" s="105"/>
      <c r="H33" s="105">
        <v>1693.03</v>
      </c>
    </row>
    <row r="34" spans="1:8" x14ac:dyDescent="0.2">
      <c r="B34" s="102"/>
      <c r="C34" s="102" t="s">
        <v>89</v>
      </c>
      <c r="D34" s="106">
        <v>1693.03</v>
      </c>
      <c r="E34" s="106"/>
      <c r="F34" s="106"/>
      <c r="G34" s="106"/>
      <c r="H34" s="106">
        <v>1693.03</v>
      </c>
    </row>
    <row r="35" spans="1:8" x14ac:dyDescent="0.2">
      <c r="B35" s="102"/>
      <c r="C35" s="102" t="s">
        <v>41</v>
      </c>
      <c r="D35" s="106">
        <v>18373.37</v>
      </c>
      <c r="E35" s="106">
        <v>1811.77</v>
      </c>
      <c r="F35" s="106">
        <v>387.51</v>
      </c>
      <c r="G35" s="106"/>
      <c r="H35" s="106">
        <v>20572.650000000001</v>
      </c>
    </row>
    <row r="36" spans="1:8" ht="52.5" x14ac:dyDescent="0.2">
      <c r="B36" s="102" t="s">
        <v>90</v>
      </c>
      <c r="C36" s="102" t="s">
        <v>91</v>
      </c>
      <c r="D36" s="106">
        <v>758.49</v>
      </c>
      <c r="E36" s="106">
        <v>74.28</v>
      </c>
      <c r="F36" s="106"/>
      <c r="G36" s="106"/>
      <c r="H36" s="106">
        <v>832.77</v>
      </c>
    </row>
    <row r="37" spans="1:8" x14ac:dyDescent="0.2">
      <c r="B37" s="102"/>
      <c r="C37" s="102" t="s">
        <v>42</v>
      </c>
      <c r="D37" s="106">
        <v>758.49</v>
      </c>
      <c r="E37" s="106">
        <v>74.28</v>
      </c>
      <c r="F37" s="106"/>
      <c r="G37" s="106"/>
      <c r="H37" s="106">
        <v>832.77</v>
      </c>
    </row>
    <row r="38" spans="1:8" x14ac:dyDescent="0.2">
      <c r="B38" s="102"/>
      <c r="C38" s="102" t="s">
        <v>43</v>
      </c>
      <c r="D38" s="106">
        <v>19131.86</v>
      </c>
      <c r="E38" s="106">
        <v>1886.05</v>
      </c>
      <c r="F38" s="106">
        <v>387.51</v>
      </c>
      <c r="G38" s="106"/>
      <c r="H38" s="106">
        <v>21405.42</v>
      </c>
    </row>
    <row r="40" spans="1:8" x14ac:dyDescent="0.2">
      <c r="B40" s="102" t="s">
        <v>92</v>
      </c>
      <c r="C40" s="102" t="s">
        <v>93</v>
      </c>
    </row>
    <row r="41" spans="1:8" x14ac:dyDescent="0.2">
      <c r="A41" s="103" t="s">
        <v>94</v>
      </c>
      <c r="B41" s="104" t="s">
        <v>95</v>
      </c>
      <c r="C41" s="104" t="s">
        <v>96</v>
      </c>
      <c r="D41" s="105">
        <v>126.34</v>
      </c>
      <c r="E41" s="105"/>
      <c r="F41" s="105"/>
      <c r="G41" s="105"/>
      <c r="H41" s="105">
        <v>126.34</v>
      </c>
    </row>
    <row r="42" spans="1:8" ht="52.5" x14ac:dyDescent="0.2">
      <c r="B42" s="102" t="s">
        <v>97</v>
      </c>
      <c r="C42" s="102" t="s">
        <v>98</v>
      </c>
      <c r="D42" s="106">
        <v>277.32</v>
      </c>
      <c r="E42" s="106">
        <v>27.16</v>
      </c>
      <c r="F42" s="106"/>
      <c r="G42" s="106"/>
      <c r="H42" s="106">
        <v>304.48</v>
      </c>
    </row>
    <row r="43" spans="1:8" x14ac:dyDescent="0.2">
      <c r="B43" s="102"/>
      <c r="C43" s="102" t="s">
        <v>44</v>
      </c>
      <c r="D43" s="106">
        <v>403.66</v>
      </c>
      <c r="E43" s="106">
        <v>27.16</v>
      </c>
      <c r="F43" s="106"/>
      <c r="G43" s="106"/>
      <c r="H43" s="106">
        <v>430.82</v>
      </c>
    </row>
    <row r="44" spans="1:8" x14ac:dyDescent="0.2">
      <c r="B44" s="102"/>
      <c r="C44" s="102" t="s">
        <v>45</v>
      </c>
      <c r="D44" s="106">
        <v>19535.52</v>
      </c>
      <c r="E44" s="106">
        <v>1913.21</v>
      </c>
      <c r="F44" s="106">
        <v>387.51</v>
      </c>
      <c r="G44" s="106"/>
      <c r="H44" s="106">
        <v>21836.240000000002</v>
      </c>
    </row>
    <row r="45" spans="1:8" ht="63" x14ac:dyDescent="0.2">
      <c r="B45" s="102" t="s">
        <v>99</v>
      </c>
      <c r="C45" s="102" t="s">
        <v>100</v>
      </c>
      <c r="D45" s="106"/>
      <c r="E45" s="106"/>
      <c r="F45" s="106"/>
      <c r="G45" s="106">
        <v>467.3</v>
      </c>
      <c r="H45" s="106">
        <v>467.3</v>
      </c>
    </row>
    <row r="46" spans="1:8" x14ac:dyDescent="0.2">
      <c r="B46" s="102"/>
      <c r="C46" s="102" t="s">
        <v>46</v>
      </c>
      <c r="D46" s="106"/>
      <c r="E46" s="106"/>
      <c r="F46" s="106"/>
      <c r="G46" s="106">
        <v>467.3</v>
      </c>
      <c r="H46" s="106">
        <v>467.3</v>
      </c>
    </row>
    <row r="47" spans="1:8" x14ac:dyDescent="0.2">
      <c r="B47" s="102"/>
      <c r="C47" s="102" t="s">
        <v>47</v>
      </c>
      <c r="D47" s="106">
        <v>19535.52</v>
      </c>
      <c r="E47" s="106">
        <v>1913.21</v>
      </c>
      <c r="F47" s="106">
        <v>387.51</v>
      </c>
      <c r="G47" s="106">
        <v>467.3</v>
      </c>
      <c r="H47" s="106">
        <v>22303.54</v>
      </c>
    </row>
    <row r="48" spans="1:8" x14ac:dyDescent="0.2">
      <c r="B48" s="102"/>
      <c r="C48" s="102" t="s">
        <v>48</v>
      </c>
      <c r="D48" s="106">
        <v>19535.52</v>
      </c>
      <c r="E48" s="106">
        <v>1913.21</v>
      </c>
      <c r="F48" s="106">
        <v>387.51</v>
      </c>
      <c r="G48" s="106">
        <v>467.3</v>
      </c>
      <c r="H48" s="106">
        <v>22303.54</v>
      </c>
    </row>
    <row r="49" spans="1:10" x14ac:dyDescent="0.2">
      <c r="B49" s="102" t="s">
        <v>101</v>
      </c>
      <c r="C49" s="102" t="s">
        <v>102</v>
      </c>
      <c r="D49" s="106"/>
      <c r="E49" s="106"/>
      <c r="F49" s="106"/>
      <c r="G49" s="106">
        <v>142.06</v>
      </c>
      <c r="H49" s="106">
        <v>142.06</v>
      </c>
    </row>
    <row r="50" spans="1:10" x14ac:dyDescent="0.2">
      <c r="B50" s="102" t="s">
        <v>103</v>
      </c>
      <c r="C50" s="102" t="s">
        <v>104</v>
      </c>
      <c r="D50" s="106"/>
      <c r="E50" s="106"/>
      <c r="F50" s="106"/>
      <c r="G50" s="106">
        <v>3300</v>
      </c>
      <c r="H50" s="106">
        <v>3300</v>
      </c>
    </row>
    <row r="51" spans="1:10" ht="63" x14ac:dyDescent="0.2">
      <c r="B51" s="102" t="s">
        <v>105</v>
      </c>
      <c r="C51" s="102" t="s">
        <v>106</v>
      </c>
      <c r="D51" s="106"/>
      <c r="E51" s="106"/>
      <c r="F51" s="106"/>
      <c r="G51" s="106">
        <v>43.67</v>
      </c>
      <c r="H51" s="106">
        <v>43.67</v>
      </c>
    </row>
    <row r="52" spans="1:10" ht="63" x14ac:dyDescent="0.2">
      <c r="B52" s="102" t="s">
        <v>107</v>
      </c>
      <c r="C52" s="102" t="s">
        <v>108</v>
      </c>
      <c r="D52" s="106"/>
      <c r="E52" s="106"/>
      <c r="F52" s="106"/>
      <c r="G52" s="106">
        <v>400</v>
      </c>
      <c r="H52" s="106">
        <v>400</v>
      </c>
    </row>
    <row r="53" spans="1:10" x14ac:dyDescent="0.2">
      <c r="B53" s="102" t="s">
        <v>109</v>
      </c>
      <c r="C53" s="102" t="s">
        <v>110</v>
      </c>
      <c r="D53" s="106"/>
      <c r="E53" s="106"/>
      <c r="F53" s="106"/>
      <c r="G53" s="106">
        <v>268.89</v>
      </c>
      <c r="H53" s="106">
        <v>268.89</v>
      </c>
    </row>
    <row r="54" spans="1:10" x14ac:dyDescent="0.2">
      <c r="B54" s="102" t="s">
        <v>111</v>
      </c>
      <c r="C54" s="102" t="s">
        <v>112</v>
      </c>
      <c r="D54" s="106"/>
      <c r="E54" s="106"/>
      <c r="F54" s="106"/>
      <c r="G54" s="106">
        <v>82.63</v>
      </c>
      <c r="H54" s="106">
        <v>82.63</v>
      </c>
    </row>
    <row r="55" spans="1:10" x14ac:dyDescent="0.2">
      <c r="B55" s="102" t="s">
        <v>113</v>
      </c>
      <c r="C55" s="102" t="s">
        <v>114</v>
      </c>
      <c r="D55" s="106"/>
      <c r="E55" s="106"/>
      <c r="F55" s="106"/>
      <c r="G55" s="106">
        <v>87.46</v>
      </c>
      <c r="H55" s="106">
        <v>87.46</v>
      </c>
    </row>
    <row r="56" spans="1:10" x14ac:dyDescent="0.2">
      <c r="B56" s="102"/>
      <c r="C56" s="102" t="s">
        <v>49</v>
      </c>
      <c r="D56" s="106"/>
      <c r="E56" s="106"/>
      <c r="F56" s="106"/>
      <c r="G56" s="106">
        <v>4324.71</v>
      </c>
      <c r="H56" s="106">
        <v>4324.71</v>
      </c>
    </row>
    <row r="57" spans="1:10" x14ac:dyDescent="0.2">
      <c r="B57" s="102"/>
      <c r="C57" s="102" t="s">
        <v>50</v>
      </c>
      <c r="D57" s="106">
        <v>19535.52</v>
      </c>
      <c r="E57" s="106">
        <v>1913.21</v>
      </c>
      <c r="F57" s="106">
        <v>387.51</v>
      </c>
      <c r="G57" s="106">
        <v>4792.01</v>
      </c>
      <c r="H57" s="106">
        <v>26628.25</v>
      </c>
    </row>
    <row r="58" spans="1:10" ht="42" x14ac:dyDescent="0.2">
      <c r="B58" s="102" t="s">
        <v>51</v>
      </c>
      <c r="C58" s="102" t="s">
        <v>115</v>
      </c>
      <c r="D58" s="106">
        <v>390.71</v>
      </c>
      <c r="E58" s="106">
        <v>38.26</v>
      </c>
      <c r="F58" s="106">
        <v>7.75</v>
      </c>
      <c r="G58" s="106">
        <v>95.84</v>
      </c>
      <c r="H58" s="106">
        <v>532.55999999999995</v>
      </c>
    </row>
    <row r="59" spans="1:10" x14ac:dyDescent="0.2">
      <c r="B59" s="102"/>
      <c r="C59" s="102" t="s">
        <v>52</v>
      </c>
      <c r="D59" s="106">
        <v>19926.23</v>
      </c>
      <c r="E59" s="106">
        <v>1951.47</v>
      </c>
      <c r="F59" s="106">
        <v>395.26</v>
      </c>
      <c r="G59" s="106">
        <v>4887.8500000000004</v>
      </c>
      <c r="H59" s="106">
        <v>27160.81</v>
      </c>
      <c r="I59" s="95">
        <f>G59*0.2</f>
        <v>977.57</v>
      </c>
      <c r="J59" s="95">
        <f>H59*0.2</f>
        <v>5432.1620000000003</v>
      </c>
    </row>
    <row r="60" spans="1:10" ht="52.5" x14ac:dyDescent="0.2">
      <c r="B60" s="102" t="s">
        <v>53</v>
      </c>
      <c r="C60" s="102" t="s">
        <v>116</v>
      </c>
      <c r="D60" s="106">
        <v>3985.25</v>
      </c>
      <c r="E60" s="106">
        <v>390.29</v>
      </c>
      <c r="F60" s="106">
        <v>79.05</v>
      </c>
      <c r="G60" s="106">
        <v>977.57</v>
      </c>
      <c r="H60" s="106">
        <v>5432.16</v>
      </c>
    </row>
    <row r="61" spans="1:10" x14ac:dyDescent="0.2">
      <c r="B61" s="102"/>
      <c r="C61" s="102" t="s">
        <v>54</v>
      </c>
      <c r="D61" s="106">
        <v>23911.48</v>
      </c>
      <c r="E61" s="106">
        <v>2341.7600000000002</v>
      </c>
      <c r="F61" s="106">
        <v>474.31</v>
      </c>
      <c r="G61" s="106">
        <v>5865.42</v>
      </c>
      <c r="H61" s="106">
        <v>32592.97</v>
      </c>
    </row>
    <row r="63" spans="1:10" ht="24" customHeight="1" x14ac:dyDescent="0.2">
      <c r="A63" s="483" t="s">
        <v>30</v>
      </c>
      <c r="B63" s="483"/>
      <c r="C63" s="484" t="s">
        <v>117</v>
      </c>
      <c r="D63" s="484"/>
      <c r="E63" s="484"/>
      <c r="F63" s="484"/>
      <c r="G63" s="484"/>
      <c r="H63" s="484"/>
    </row>
    <row r="64" spans="1:10" x14ac:dyDescent="0.2">
      <c r="C64" s="485" t="s">
        <v>118</v>
      </c>
      <c r="D64" s="485"/>
      <c r="E64" s="485"/>
      <c r="F64" s="485"/>
      <c r="G64" s="485"/>
      <c r="H64" s="485"/>
    </row>
    <row r="66" spans="1:8" s="108" customFormat="1" ht="15" customHeight="1" x14ac:dyDescent="0.2">
      <c r="A66" s="486" t="s">
        <v>26</v>
      </c>
      <c r="B66" s="486"/>
      <c r="C66" s="487" t="s">
        <v>119</v>
      </c>
      <c r="D66" s="487"/>
      <c r="E66" s="487"/>
      <c r="F66" s="487"/>
      <c r="G66" s="487"/>
      <c r="H66" s="487"/>
    </row>
    <row r="67" spans="1:8" x14ac:dyDescent="0.2">
      <c r="C67" s="488" t="s">
        <v>118</v>
      </c>
      <c r="D67" s="488"/>
      <c r="E67" s="488"/>
      <c r="F67" s="488"/>
      <c r="G67" s="488"/>
      <c r="H67" s="488"/>
    </row>
    <row r="69" spans="1:8" x14ac:dyDescent="0.2">
      <c r="A69" s="489" t="s">
        <v>31</v>
      </c>
      <c r="B69" s="489"/>
      <c r="C69" s="97" t="s">
        <v>120</v>
      </c>
      <c r="D69" s="97" t="s">
        <v>32</v>
      </c>
      <c r="E69" s="469" t="s">
        <v>121</v>
      </c>
      <c r="F69" s="469"/>
      <c r="G69" s="469"/>
      <c r="H69" s="469"/>
    </row>
    <row r="70" spans="1:8" x14ac:dyDescent="0.2">
      <c r="C70" s="107" t="s">
        <v>33</v>
      </c>
      <c r="E70" s="488" t="s">
        <v>118</v>
      </c>
      <c r="F70" s="488"/>
      <c r="G70" s="488"/>
      <c r="H70" s="488"/>
    </row>
    <row r="72" spans="1:8" x14ac:dyDescent="0.2">
      <c r="A72" s="489" t="s">
        <v>34</v>
      </c>
      <c r="B72" s="489"/>
      <c r="C72" s="469" t="s">
        <v>122</v>
      </c>
      <c r="D72" s="469"/>
      <c r="E72" s="469"/>
      <c r="F72" s="469"/>
      <c r="G72" s="469"/>
      <c r="H72" s="469"/>
    </row>
    <row r="73" spans="1:8" x14ac:dyDescent="0.2">
      <c r="C73" s="488" t="s">
        <v>123</v>
      </c>
      <c r="D73" s="488"/>
      <c r="E73" s="488"/>
      <c r="F73" s="488"/>
      <c r="G73" s="488"/>
      <c r="H73" s="488"/>
    </row>
  </sheetData>
  <mergeCells count="27">
    <mergeCell ref="C73:H73"/>
    <mergeCell ref="C67:H67"/>
    <mergeCell ref="A69:B69"/>
    <mergeCell ref="E69:H69"/>
    <mergeCell ref="E70:H70"/>
    <mergeCell ref="A72:B72"/>
    <mergeCell ref="C72:H72"/>
    <mergeCell ref="A63:B63"/>
    <mergeCell ref="C63:H63"/>
    <mergeCell ref="C64:H64"/>
    <mergeCell ref="A66:B66"/>
    <mergeCell ref="C66:H66"/>
    <mergeCell ref="A17:H17"/>
    <mergeCell ref="A20:A21"/>
    <mergeCell ref="B20:B21"/>
    <mergeCell ref="C20:C21"/>
    <mergeCell ref="D20:H20"/>
    <mergeCell ref="A10:H10"/>
    <mergeCell ref="A11:H11"/>
    <mergeCell ref="A12:H12"/>
    <mergeCell ref="A14:H14"/>
    <mergeCell ref="A15:H15"/>
    <mergeCell ref="A3:H3"/>
    <mergeCell ref="B4:H4"/>
    <mergeCell ref="B7:G7"/>
    <mergeCell ref="A8:B8"/>
    <mergeCell ref="C8:F8"/>
  </mergeCells>
  <pageMargins left="0.7" right="0.7" top="0.75" bottom="0.75" header="0.3" footer="0.3"/>
  <pageSetup paperSize="9" scale="7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17"/>
  <sheetViews>
    <sheetView view="pageBreakPreview" topLeftCell="A10" zoomScaleNormal="100" zoomScaleSheetLayoutView="100" workbookViewId="0">
      <selection activeCell="B40" sqref="B40:C40"/>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36" t="s">
        <v>228</v>
      </c>
      <c r="B10" s="537"/>
      <c r="C10" s="537"/>
      <c r="D10" s="537"/>
      <c r="E10" s="537"/>
      <c r="F10" s="537"/>
    </row>
    <row r="11" spans="1:256" ht="15.75" x14ac:dyDescent="0.25">
      <c r="A11" s="538" t="s">
        <v>222</v>
      </c>
      <c r="B11" s="538"/>
      <c r="C11" s="538"/>
      <c r="D11" s="538"/>
      <c r="E11" s="538"/>
      <c r="F11" s="538"/>
    </row>
    <row r="12" spans="1:256" ht="15.75" x14ac:dyDescent="0.25">
      <c r="A12" s="539" t="s">
        <v>221</v>
      </c>
      <c r="B12" s="539"/>
      <c r="C12" s="539"/>
      <c r="D12" s="539"/>
      <c r="E12" s="539"/>
      <c r="F12" s="53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280</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258"/>
      <c r="J17" s="133">
        <v>7</v>
      </c>
      <c r="K17" s="133">
        <v>8</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0" t="s">
        <v>190</v>
      </c>
      <c r="B18" s="135">
        <f>34345.5-B19</f>
        <v>12835.22</v>
      </c>
      <c r="C18" s="134">
        <f>F66</f>
        <v>1.1113999999999999</v>
      </c>
      <c r="D18" s="135">
        <f>B18*C18</f>
        <v>14265.06</v>
      </c>
      <c r="E18" s="134">
        <f>D101</f>
        <v>1.0226</v>
      </c>
      <c r="F18" s="135">
        <f>D18*E18</f>
        <v>14587.45</v>
      </c>
      <c r="G18" s="136"/>
      <c r="H18" s="136"/>
      <c r="I18" s="283"/>
      <c r="J18" s="136"/>
      <c r="K18" s="136"/>
      <c r="L18" s="137"/>
      <c r="M18" s="137"/>
      <c r="N18" s="137"/>
      <c r="O18" s="137"/>
      <c r="P18" s="138"/>
    </row>
    <row r="19" spans="1:256" ht="54" customHeight="1" x14ac:dyDescent="0.25">
      <c r="A19" s="273" t="s">
        <v>339</v>
      </c>
      <c r="B19" s="135">
        <v>21510.28</v>
      </c>
      <c r="C19" s="134">
        <f>F69</f>
        <v>1.069</v>
      </c>
      <c r="D19" s="135">
        <f>B19*C19</f>
        <v>22994.49</v>
      </c>
      <c r="E19" s="134">
        <f>D101</f>
        <v>1.0226</v>
      </c>
      <c r="F19" s="135">
        <f>D19*E19</f>
        <v>23514.17</v>
      </c>
      <c r="G19" s="136"/>
      <c r="H19" s="136"/>
      <c r="I19" s="283"/>
      <c r="J19" s="136"/>
      <c r="K19" s="136"/>
      <c r="L19" s="137"/>
      <c r="M19" s="137"/>
      <c r="N19" s="137"/>
      <c r="O19" s="137"/>
      <c r="P19" s="138"/>
    </row>
    <row r="20" spans="1:256" ht="15.75" x14ac:dyDescent="0.25">
      <c r="A20" s="270" t="s">
        <v>308</v>
      </c>
      <c r="B20" s="135">
        <v>258.26</v>
      </c>
      <c r="C20" s="134">
        <f>F66</f>
        <v>1.1113999999999999</v>
      </c>
      <c r="D20" s="135">
        <f>B20*C20</f>
        <v>287.02999999999997</v>
      </c>
      <c r="E20" s="134">
        <f>D101</f>
        <v>1.0226</v>
      </c>
      <c r="F20" s="135">
        <f>D20*E20</f>
        <v>293.52</v>
      </c>
      <c r="G20" s="136"/>
      <c r="H20" s="136"/>
      <c r="I20" s="283"/>
      <c r="J20" s="136"/>
      <c r="K20" s="136"/>
      <c r="L20" s="137"/>
      <c r="M20" s="137">
        <f>D24*E23</f>
        <v>0</v>
      </c>
      <c r="N20" s="137"/>
      <c r="O20" s="137"/>
      <c r="P20" s="138"/>
    </row>
    <row r="21" spans="1:256" ht="31.5" x14ac:dyDescent="0.25">
      <c r="A21" s="273" t="s">
        <v>312</v>
      </c>
      <c r="B21" s="135">
        <v>412.13</v>
      </c>
      <c r="C21" s="134">
        <f>F66</f>
        <v>1.1113999999999999</v>
      </c>
      <c r="D21" s="135">
        <f>B21*C21</f>
        <v>458.04</v>
      </c>
      <c r="E21" s="134">
        <f>D101</f>
        <v>1.0226</v>
      </c>
      <c r="F21" s="135">
        <f>D21*E21</f>
        <v>468.39</v>
      </c>
      <c r="G21" s="136"/>
      <c r="H21" s="136"/>
      <c r="I21" s="283"/>
      <c r="J21" s="136"/>
      <c r="K21" s="136"/>
      <c r="L21" s="137"/>
      <c r="M21" s="137"/>
      <c r="N21" s="137"/>
      <c r="O21" s="137"/>
      <c r="P21" s="138"/>
    </row>
    <row r="22" spans="1:256" ht="15.75" x14ac:dyDescent="0.25">
      <c r="A22" s="270" t="s">
        <v>309</v>
      </c>
      <c r="B22" s="135">
        <v>109.08</v>
      </c>
      <c r="C22" s="134">
        <f>F66</f>
        <v>1.1113999999999999</v>
      </c>
      <c r="D22" s="135">
        <f>B22*C22</f>
        <v>121.23</v>
      </c>
      <c r="E22" s="134">
        <f>D101</f>
        <v>1.0226</v>
      </c>
      <c r="F22" s="135">
        <f>D22*E22</f>
        <v>123.97</v>
      </c>
      <c r="G22" s="136"/>
      <c r="H22" s="136"/>
      <c r="I22" s="283"/>
      <c r="J22" s="136"/>
      <c r="K22" s="136"/>
      <c r="L22" s="140">
        <f>B18+B19+B20+B21+B22</f>
        <v>35124.97</v>
      </c>
      <c r="M22" s="140">
        <f>C18+C19+C20+C21+C22</f>
        <v>5.51</v>
      </c>
      <c r="N22" s="140">
        <f>D18+D19+D20+D21+D22</f>
        <v>38125.85</v>
      </c>
      <c r="O22" s="140">
        <f>F18+F19+F20+F21+F22</f>
        <v>38987.5</v>
      </c>
      <c r="P22" s="138"/>
    </row>
    <row r="23" spans="1:256" ht="31.5" x14ac:dyDescent="0.25">
      <c r="A23" s="274" t="s">
        <v>191</v>
      </c>
      <c r="B23" s="135">
        <f>(B18+B19+B20+B21+B22)*0.02</f>
        <v>702.5</v>
      </c>
      <c r="C23" s="134"/>
      <c r="D23" s="135">
        <f>(D18+D19+D20+D21+D22)*0.02</f>
        <v>762.52</v>
      </c>
      <c r="E23" s="134"/>
      <c r="F23" s="135">
        <f>(SUM(F18:F22))*0.02</f>
        <v>779.75</v>
      </c>
      <c r="G23" s="136"/>
      <c r="H23" s="136"/>
      <c r="I23" s="283"/>
      <c r="J23" s="136"/>
      <c r="K23" s="136"/>
      <c r="L23" s="140">
        <f>L22*0.02</f>
        <v>702.5</v>
      </c>
      <c r="M23" s="140">
        <f>M22*0.02</f>
        <v>0.11</v>
      </c>
      <c r="N23" s="140">
        <f>N22*0.02</f>
        <v>762.52</v>
      </c>
      <c r="O23" s="137">
        <f>D23*E22</f>
        <v>779.75295200000005</v>
      </c>
      <c r="P23" s="138"/>
    </row>
    <row r="24" spans="1:256" ht="15.75" x14ac:dyDescent="0.25">
      <c r="A24" s="270" t="s">
        <v>192</v>
      </c>
      <c r="B24" s="135">
        <f>SUM(B18:B23)</f>
        <v>35827.47</v>
      </c>
      <c r="C24" s="134"/>
      <c r="D24" s="135">
        <f>D18+D19+D20+D21+D22+D23</f>
        <v>38888.370000000003</v>
      </c>
      <c r="E24" s="134"/>
      <c r="F24" s="135">
        <f>SUM(F18:F23)</f>
        <v>39767.25</v>
      </c>
      <c r="G24" s="136"/>
      <c r="H24" s="136"/>
      <c r="I24" s="283"/>
      <c r="J24" s="136"/>
      <c r="K24" s="136"/>
      <c r="L24" s="140">
        <f>D18+D20+D21+D22+D23</f>
        <v>15893.88</v>
      </c>
      <c r="M24" s="137"/>
      <c r="N24" s="140">
        <f>N22+N23</f>
        <v>38888.370000000003</v>
      </c>
      <c r="O24" s="137"/>
      <c r="P24" s="138"/>
    </row>
    <row r="25" spans="1:256" ht="15.75" x14ac:dyDescent="0.25">
      <c r="A25" s="270" t="s">
        <v>193</v>
      </c>
      <c r="B25" s="135">
        <f>B24*0.2+0.01</f>
        <v>7165.5</v>
      </c>
      <c r="C25" s="134"/>
      <c r="D25" s="135">
        <f>D24*0.2</f>
        <v>7777.67</v>
      </c>
      <c r="E25" s="134"/>
      <c r="F25" s="135">
        <f>F24*0.2</f>
        <v>7953.45</v>
      </c>
      <c r="G25" s="136"/>
      <c r="H25" s="136"/>
      <c r="I25" s="283"/>
      <c r="J25" s="136"/>
      <c r="K25" s="136"/>
      <c r="L25" s="137">
        <f>D24*0.2</f>
        <v>7777.674</v>
      </c>
      <c r="M25" s="137"/>
      <c r="N25" s="137"/>
      <c r="O25" s="137"/>
      <c r="P25" s="138"/>
    </row>
    <row r="26" spans="1:256" ht="15.75" x14ac:dyDescent="0.25">
      <c r="A26" s="271" t="s">
        <v>310</v>
      </c>
      <c r="B26" s="275">
        <f>B24+B25</f>
        <v>42992.97</v>
      </c>
      <c r="C26" s="134"/>
      <c r="D26" s="275">
        <f>D24+D25</f>
        <v>46666.04</v>
      </c>
      <c r="E26" s="134"/>
      <c r="F26" s="275">
        <f>F24+F25</f>
        <v>47720.7</v>
      </c>
      <c r="G26" s="136"/>
      <c r="H26" s="136"/>
      <c r="I26" s="283"/>
      <c r="J26" s="275">
        <f>F26*E73</f>
        <v>2863.24</v>
      </c>
      <c r="K26" s="275">
        <f>F26*E74</f>
        <v>44857.46</v>
      </c>
      <c r="L26" s="140">
        <f>B26*C18</f>
        <v>47782.39</v>
      </c>
      <c r="M26" s="137"/>
      <c r="N26" s="137"/>
      <c r="O26" s="137"/>
      <c r="P26" s="138"/>
    </row>
    <row r="27" spans="1:256" ht="15.75" x14ac:dyDescent="0.25">
      <c r="A27" s="272" t="s">
        <v>311</v>
      </c>
      <c r="B27" s="135">
        <v>1813.5</v>
      </c>
      <c r="C27" s="550">
        <f>F66</f>
        <v>1.1113999999999999</v>
      </c>
      <c r="D27" s="135">
        <f>B27*C27</f>
        <v>2015.52</v>
      </c>
      <c r="E27" s="550">
        <f>C112</f>
        <v>1.0158</v>
      </c>
      <c r="F27" s="135">
        <f>D27*E27</f>
        <v>2047.37</v>
      </c>
      <c r="G27" s="136"/>
      <c r="H27" s="136"/>
      <c r="I27" s="283"/>
      <c r="J27" s="136"/>
      <c r="K27" s="136"/>
      <c r="L27" s="137"/>
      <c r="M27" s="137"/>
      <c r="N27" s="137"/>
      <c r="O27" s="137"/>
      <c r="P27" s="138"/>
    </row>
    <row r="28" spans="1:256" ht="15.75" x14ac:dyDescent="0.25">
      <c r="A28" s="270" t="s">
        <v>192</v>
      </c>
      <c r="B28" s="135">
        <f>B27</f>
        <v>1813.5</v>
      </c>
      <c r="C28" s="551"/>
      <c r="D28" s="135">
        <f>B28*C27</f>
        <v>2015.52</v>
      </c>
      <c r="E28" s="551"/>
      <c r="F28" s="135">
        <f>D28*E27</f>
        <v>2047.37</v>
      </c>
      <c r="G28" s="136"/>
      <c r="H28" s="136"/>
      <c r="I28" s="283"/>
      <c r="J28" s="136"/>
      <c r="K28" s="136"/>
      <c r="L28" s="137"/>
      <c r="M28" s="137"/>
      <c r="N28" s="137"/>
      <c r="O28" s="137"/>
      <c r="S28" s="138"/>
    </row>
    <row r="29" spans="1:256" ht="15.75" x14ac:dyDescent="0.25">
      <c r="A29" s="270" t="s">
        <v>193</v>
      </c>
      <c r="B29" s="141">
        <f>B28*0.2</f>
        <v>362.7</v>
      </c>
      <c r="C29" s="552"/>
      <c r="D29" s="135">
        <f>B29*C27</f>
        <v>403.1</v>
      </c>
      <c r="E29" s="552"/>
      <c r="F29" s="135">
        <f>F28*0.2</f>
        <v>409.47</v>
      </c>
      <c r="G29" s="136"/>
      <c r="H29" s="136"/>
      <c r="I29" s="283"/>
      <c r="J29" s="136"/>
      <c r="K29" s="136"/>
      <c r="L29" s="140">
        <f>D28*0.2</f>
        <v>403.1</v>
      </c>
      <c r="M29" s="137"/>
      <c r="N29" s="137">
        <f>D29*E27</f>
        <v>409.46897999999999</v>
      </c>
      <c r="O29" s="137"/>
      <c r="S29" s="138"/>
      <c r="T29" s="139"/>
    </row>
    <row r="30" spans="1:256" ht="37.5" customHeight="1" x14ac:dyDescent="0.25">
      <c r="A30" s="271" t="s">
        <v>310</v>
      </c>
      <c r="B30" s="276">
        <f>B28+B29</f>
        <v>2176.1999999999998</v>
      </c>
      <c r="C30" s="261"/>
      <c r="D30" s="275">
        <f>D28+D29</f>
        <v>2418.62</v>
      </c>
      <c r="E30" s="134"/>
      <c r="F30" s="275">
        <f>F28+F29</f>
        <v>2456.84</v>
      </c>
      <c r="G30" s="136"/>
      <c r="H30" s="136"/>
      <c r="I30" s="283"/>
      <c r="J30" s="275">
        <f>F30</f>
        <v>2456.84</v>
      </c>
      <c r="K30" s="275"/>
      <c r="L30" s="140">
        <f>B30*C27</f>
        <v>2418.63</v>
      </c>
      <c r="M30" s="137">
        <f>D29*E28</f>
        <v>0</v>
      </c>
      <c r="N30" s="140"/>
      <c r="O30" s="137"/>
      <c r="S30" s="138"/>
      <c r="T30" s="138"/>
    </row>
    <row r="31" spans="1:256" s="280" customFormat="1" ht="15.75" x14ac:dyDescent="0.25">
      <c r="A31" s="198" t="s">
        <v>313</v>
      </c>
      <c r="B31" s="199">
        <f>B26+B30</f>
        <v>45169.17</v>
      </c>
      <c r="C31" s="281"/>
      <c r="D31" s="199">
        <f>D26+D30</f>
        <v>49084.66</v>
      </c>
      <c r="E31" s="281"/>
      <c r="F31" s="199">
        <f t="shared" ref="F31:K31" si="0">F26+F30</f>
        <v>50177.54</v>
      </c>
      <c r="G31" s="199">
        <f t="shared" si="0"/>
        <v>0</v>
      </c>
      <c r="H31" s="199">
        <f t="shared" si="0"/>
        <v>0</v>
      </c>
      <c r="I31" s="199">
        <f t="shared" si="0"/>
        <v>0</v>
      </c>
      <c r="J31" s="199">
        <f t="shared" si="0"/>
        <v>5320.08</v>
      </c>
      <c r="K31" s="199">
        <f t="shared" si="0"/>
        <v>44857.46</v>
      </c>
      <c r="L31" s="278"/>
      <c r="M31" s="279" t="e">
        <f>B18+B31+#REF!</f>
        <v>#REF!</v>
      </c>
      <c r="N31" s="278"/>
      <c r="O31" s="278"/>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c r="BS31" s="277"/>
      <c r="BT31" s="277"/>
      <c r="BU31" s="277"/>
      <c r="BV31" s="277"/>
      <c r="BW31" s="277"/>
      <c r="BX31" s="277"/>
      <c r="BY31" s="277"/>
      <c r="BZ31" s="277"/>
      <c r="CA31" s="277"/>
      <c r="CB31" s="277"/>
      <c r="CC31" s="277"/>
      <c r="CD31" s="277"/>
      <c r="CE31" s="277"/>
      <c r="CF31" s="277"/>
      <c r="CG31" s="277"/>
      <c r="CH31" s="277"/>
      <c r="CI31" s="277"/>
      <c r="CJ31" s="277"/>
      <c r="CK31" s="277"/>
      <c r="CL31" s="277"/>
      <c r="CM31" s="277"/>
      <c r="CN31" s="277"/>
      <c r="CO31" s="277"/>
      <c r="CP31" s="277"/>
      <c r="CQ31" s="277"/>
      <c r="CR31" s="277"/>
      <c r="CS31" s="277"/>
      <c r="CT31" s="277"/>
      <c r="CU31" s="277"/>
      <c r="CV31" s="277"/>
      <c r="CW31" s="277"/>
      <c r="CX31" s="277"/>
      <c r="CY31" s="277"/>
      <c r="CZ31" s="277"/>
      <c r="DA31" s="277"/>
      <c r="DB31" s="277"/>
      <c r="DC31" s="277"/>
      <c r="DD31" s="277"/>
      <c r="DE31" s="277"/>
      <c r="DF31" s="277"/>
      <c r="DG31" s="277"/>
      <c r="DH31" s="277"/>
      <c r="DI31" s="277"/>
      <c r="DJ31" s="277"/>
      <c r="DK31" s="277"/>
      <c r="DL31" s="277"/>
      <c r="DM31" s="277"/>
      <c r="DN31" s="277"/>
      <c r="DO31" s="277"/>
      <c r="DP31" s="277"/>
      <c r="DQ31" s="277"/>
      <c r="DR31" s="277"/>
      <c r="DS31" s="277"/>
      <c r="DT31" s="277"/>
      <c r="DU31" s="277"/>
      <c r="DV31" s="277"/>
      <c r="DW31" s="277"/>
      <c r="DX31" s="277"/>
      <c r="DY31" s="277"/>
      <c r="DZ31" s="277"/>
      <c r="EA31" s="277"/>
      <c r="EB31" s="277"/>
      <c r="EC31" s="277"/>
      <c r="ED31" s="277"/>
      <c r="EE31" s="277"/>
      <c r="EF31" s="277"/>
      <c r="EG31" s="277"/>
      <c r="EH31" s="277"/>
      <c r="EI31" s="277"/>
      <c r="EJ31" s="277"/>
      <c r="EK31" s="277"/>
      <c r="EL31" s="277"/>
      <c r="EM31" s="277"/>
      <c r="EN31" s="277"/>
      <c r="EO31" s="277"/>
      <c r="EP31" s="277"/>
      <c r="EQ31" s="277"/>
      <c r="ER31" s="277"/>
      <c r="ES31" s="277"/>
      <c r="ET31" s="277"/>
      <c r="EU31" s="277"/>
      <c r="EV31" s="277"/>
      <c r="EW31" s="277"/>
      <c r="EX31" s="277"/>
      <c r="EY31" s="277"/>
      <c r="EZ31" s="277"/>
      <c r="FA31" s="277"/>
      <c r="FB31" s="277"/>
      <c r="FC31" s="277"/>
      <c r="FD31" s="277"/>
      <c r="FE31" s="277"/>
      <c r="FF31" s="277"/>
      <c r="FG31" s="277"/>
      <c r="FH31" s="277"/>
      <c r="FI31" s="277"/>
      <c r="FJ31" s="277"/>
      <c r="FK31" s="277"/>
      <c r="FL31" s="277"/>
      <c r="FM31" s="277"/>
      <c r="FN31" s="277"/>
      <c r="FO31" s="277"/>
      <c r="FP31" s="277"/>
      <c r="FQ31" s="277"/>
      <c r="FR31" s="277"/>
      <c r="FS31" s="277"/>
      <c r="FT31" s="277"/>
      <c r="FU31" s="277"/>
      <c r="FV31" s="277"/>
      <c r="FW31" s="277"/>
      <c r="FX31" s="277"/>
      <c r="FY31" s="277"/>
      <c r="FZ31" s="277"/>
      <c r="GA31" s="277"/>
      <c r="GB31" s="277"/>
      <c r="GC31" s="277"/>
      <c r="GD31" s="277"/>
      <c r="GE31" s="277"/>
      <c r="GF31" s="277"/>
      <c r="GG31" s="277"/>
      <c r="GH31" s="277"/>
      <c r="GI31" s="277"/>
      <c r="GJ31" s="277"/>
      <c r="GK31" s="277"/>
      <c r="GL31" s="277"/>
      <c r="GM31" s="277"/>
      <c r="GN31" s="277"/>
      <c r="GO31" s="277"/>
      <c r="GP31" s="277"/>
      <c r="GQ31" s="277"/>
      <c r="GR31" s="277"/>
      <c r="GS31" s="277"/>
      <c r="GT31" s="277"/>
      <c r="GU31" s="277"/>
      <c r="GV31" s="277"/>
      <c r="GW31" s="277"/>
      <c r="GX31" s="277"/>
      <c r="GY31" s="277"/>
      <c r="GZ31" s="277"/>
      <c r="HA31" s="277"/>
      <c r="HB31" s="277"/>
      <c r="HC31" s="277"/>
      <c r="HD31" s="277"/>
      <c r="HE31" s="277"/>
      <c r="HF31" s="277"/>
      <c r="HG31" s="277"/>
      <c r="HH31" s="277"/>
      <c r="HI31" s="277"/>
      <c r="HJ31" s="277"/>
      <c r="HK31" s="277"/>
      <c r="HL31" s="277"/>
      <c r="HM31" s="277"/>
      <c r="HN31" s="277"/>
      <c r="HO31" s="277"/>
      <c r="HP31" s="277"/>
      <c r="HQ31" s="277"/>
      <c r="HR31" s="277"/>
      <c r="HS31" s="277"/>
      <c r="HT31" s="277"/>
      <c r="HU31" s="277"/>
      <c r="HV31" s="277"/>
      <c r="HW31" s="277"/>
      <c r="HX31" s="277"/>
      <c r="HY31" s="277"/>
      <c r="HZ31" s="277"/>
      <c r="IA31" s="277"/>
      <c r="IB31" s="277"/>
      <c r="IC31" s="277"/>
      <c r="ID31" s="277"/>
      <c r="IE31" s="277"/>
      <c r="IF31" s="277"/>
      <c r="IG31" s="277"/>
      <c r="IH31" s="277"/>
      <c r="II31" s="277"/>
      <c r="IJ31" s="277"/>
      <c r="IK31" s="277"/>
      <c r="IL31" s="277"/>
      <c r="IM31" s="277"/>
      <c r="IN31" s="277"/>
      <c r="IO31" s="277"/>
      <c r="IP31" s="277"/>
      <c r="IQ31" s="277"/>
      <c r="IR31" s="277"/>
      <c r="IS31" s="277"/>
      <c r="IT31" s="277"/>
      <c r="IU31" s="277"/>
      <c r="IV31" s="277"/>
    </row>
    <row r="32" spans="1:256" ht="12" customHeight="1" x14ac:dyDescent="0.25">
      <c r="A32" s="535"/>
      <c r="B32" s="535"/>
      <c r="C32" s="535"/>
      <c r="D32" s="535"/>
      <c r="E32" s="535"/>
      <c r="F32" s="535"/>
      <c r="G32" s="143"/>
      <c r="H32" s="144"/>
      <c r="I32" s="144"/>
      <c r="J32" s="144"/>
      <c r="K32" s="144"/>
      <c r="L32" s="145"/>
      <c r="M32" s="146"/>
      <c r="N32" s="145"/>
      <c r="O32" s="137"/>
    </row>
    <row r="33" spans="1:256" hidden="1" x14ac:dyDescent="0.25">
      <c r="A33" s="535"/>
      <c r="B33" s="535"/>
      <c r="C33" s="535"/>
      <c r="D33" s="535"/>
      <c r="E33" s="535"/>
      <c r="F33" s="535"/>
      <c r="H33" s="144"/>
      <c r="I33" s="144"/>
      <c r="J33" s="144"/>
      <c r="K33" s="144"/>
      <c r="L33" s="145"/>
      <c r="M33" s="146"/>
      <c r="N33" s="145"/>
      <c r="O33" s="137"/>
    </row>
    <row r="34" spans="1:256" hidden="1" x14ac:dyDescent="0.25">
      <c r="A34" s="530"/>
      <c r="B34" s="530"/>
      <c r="C34" s="530"/>
      <c r="D34" s="148"/>
      <c r="E34" s="259"/>
      <c r="F34" s="259"/>
      <c r="H34" s="149"/>
      <c r="I34" s="144"/>
      <c r="J34" s="144"/>
      <c r="K34" s="144"/>
      <c r="L34" s="145"/>
      <c r="M34" s="146"/>
      <c r="N34" s="145"/>
      <c r="O34" s="137"/>
    </row>
    <row r="35" spans="1:256" ht="10.5" customHeight="1" x14ac:dyDescent="0.25">
      <c r="A35" s="259"/>
      <c r="G35" s="150"/>
      <c r="H35" s="150"/>
      <c r="I35" s="150"/>
      <c r="J35" s="150"/>
      <c r="K35" s="150"/>
      <c r="L35" s="151"/>
      <c r="M35" s="151"/>
      <c r="N35" s="145"/>
      <c r="O35" s="137"/>
    </row>
    <row r="36" spans="1:256" x14ac:dyDescent="0.25">
      <c r="A36" s="152" t="s">
        <v>194</v>
      </c>
      <c r="B36" s="153" t="s">
        <v>285</v>
      </c>
      <c r="C36" s="154"/>
      <c r="D36" s="197"/>
      <c r="F36" s="131"/>
      <c r="G36" s="125"/>
      <c r="H36" s="125"/>
      <c r="I36" s="144"/>
      <c r="J36" s="144"/>
      <c r="K36" s="144"/>
      <c r="L36" s="155"/>
      <c r="M36" s="145"/>
      <c r="N36" s="145"/>
      <c r="O36" s="15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125"/>
      <c r="GE36" s="125"/>
      <c r="GF36" s="125"/>
      <c r="GG36" s="125"/>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row>
    <row r="37" spans="1:256" x14ac:dyDescent="0.25">
      <c r="A37" s="152" t="s">
        <v>195</v>
      </c>
      <c r="B37" s="263" t="s">
        <v>283</v>
      </c>
      <c r="C37" s="129"/>
      <c r="D37" s="156"/>
      <c r="E37" s="156"/>
      <c r="F37" s="142"/>
      <c r="G37" s="157"/>
      <c r="H37" s="125"/>
      <c r="I37" s="144"/>
      <c r="J37" s="144"/>
      <c r="K37" s="144"/>
      <c r="L37" s="125"/>
      <c r="M37" s="307">
        <f>J31+K31</f>
        <v>50177.54</v>
      </c>
      <c r="N37" s="157"/>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pans="1:256" ht="15.75" x14ac:dyDescent="0.25">
      <c r="A38" s="152" t="s">
        <v>196</v>
      </c>
      <c r="B38" s="263" t="s">
        <v>284</v>
      </c>
      <c r="C38" s="129" t="s">
        <v>197</v>
      </c>
      <c r="D38" s="129"/>
      <c r="E38" s="156"/>
      <c r="F38" s="158"/>
      <c r="G38" s="155"/>
      <c r="H38" s="159"/>
      <c r="I38" s="144"/>
      <c r="J38" s="144"/>
      <c r="K38" s="144"/>
      <c r="L38" s="144"/>
      <c r="M38" s="144"/>
      <c r="N38" s="144"/>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25"/>
      <c r="GJ38" s="125"/>
      <c r="GK38" s="125"/>
      <c r="GL38" s="125"/>
      <c r="GM38" s="125"/>
      <c r="GN38" s="125"/>
      <c r="GO38" s="125"/>
      <c r="GP38" s="125"/>
      <c r="GQ38" s="125"/>
      <c r="GR38" s="125"/>
      <c r="GS38" s="125"/>
      <c r="GT38" s="125"/>
      <c r="GU38" s="125"/>
      <c r="GV38" s="125"/>
      <c r="GW38" s="125"/>
      <c r="GX38" s="125"/>
      <c r="GY38" s="125"/>
      <c r="GZ38" s="125"/>
      <c r="HA38" s="125"/>
      <c r="HB38" s="125"/>
      <c r="HC38" s="125"/>
      <c r="HD38" s="125"/>
      <c r="HE38" s="125"/>
      <c r="HF38" s="125"/>
      <c r="HG38" s="125"/>
      <c r="HH38" s="125"/>
      <c r="HI38" s="125"/>
      <c r="HJ38" s="125"/>
      <c r="HK38" s="125"/>
      <c r="HL38" s="125"/>
      <c r="HM38" s="125"/>
      <c r="HN38" s="125"/>
      <c r="HO38" s="125"/>
      <c r="HP38" s="125"/>
      <c r="HQ38" s="125"/>
      <c r="HR38" s="125"/>
      <c r="HS38" s="125"/>
      <c r="HT38" s="125"/>
      <c r="HU38" s="125"/>
      <c r="HV38" s="125"/>
      <c r="HW38" s="125"/>
      <c r="HX38" s="125"/>
      <c r="HY38" s="125"/>
      <c r="HZ38" s="125"/>
      <c r="IA38" s="125"/>
      <c r="IB38" s="125"/>
      <c r="IC38" s="125"/>
      <c r="ID38" s="125"/>
      <c r="IE38" s="125"/>
      <c r="IF38" s="125"/>
      <c r="IG38" s="125"/>
      <c r="IH38" s="125"/>
      <c r="II38" s="125"/>
      <c r="IJ38" s="125"/>
      <c r="IK38" s="125"/>
      <c r="IL38" s="125"/>
      <c r="IM38" s="125"/>
      <c r="IN38" s="125"/>
      <c r="IO38" s="125"/>
      <c r="IP38" s="125"/>
      <c r="IQ38" s="125"/>
      <c r="IR38" s="125"/>
      <c r="IS38" s="125"/>
      <c r="IT38" s="125"/>
      <c r="IU38" s="125"/>
      <c r="IV38" s="125"/>
    </row>
    <row r="39" spans="1:256" x14ac:dyDescent="0.25">
      <c r="A39" s="129"/>
      <c r="B39" s="129"/>
      <c r="C39" s="129"/>
      <c r="D39" s="129"/>
      <c r="E39" s="129"/>
      <c r="F39" s="160"/>
      <c r="G39" s="125"/>
      <c r="H39" s="125"/>
      <c r="I39" s="161"/>
      <c r="J39" s="161"/>
      <c r="K39" s="161"/>
      <c r="L39" s="162"/>
      <c r="M39" s="125"/>
      <c r="N39" s="144"/>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c r="IJ39" s="125"/>
      <c r="IK39" s="125"/>
      <c r="IL39" s="125"/>
      <c r="IM39" s="125"/>
      <c r="IN39" s="125"/>
      <c r="IO39" s="125"/>
      <c r="IP39" s="125"/>
      <c r="IQ39" s="125"/>
      <c r="IR39" s="125"/>
      <c r="IS39" s="125"/>
      <c r="IT39" s="125"/>
      <c r="IU39" s="125"/>
      <c r="IV39" s="125"/>
    </row>
    <row r="40" spans="1:256" ht="25.5" customHeight="1" x14ac:dyDescent="0.25">
      <c r="A40" s="152" t="s">
        <v>198</v>
      </c>
      <c r="B40" s="527" t="s">
        <v>281</v>
      </c>
      <c r="C40" s="527"/>
      <c r="D40" s="129"/>
      <c r="E40" s="129"/>
      <c r="F40" s="129"/>
      <c r="G40" s="125"/>
      <c r="H40" s="125"/>
      <c r="I40" s="125"/>
      <c r="J40" s="125"/>
      <c r="K40" s="125"/>
      <c r="L40" s="163"/>
      <c r="M40" s="144"/>
      <c r="N40" s="144"/>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c r="DT40" s="125"/>
      <c r="DU40" s="125"/>
      <c r="DV40" s="125"/>
      <c r="DW40" s="125"/>
      <c r="DX40" s="125"/>
      <c r="DY40" s="125"/>
      <c r="DZ40" s="125"/>
      <c r="EA40" s="125"/>
      <c r="EB40" s="125"/>
      <c r="EC40" s="125"/>
      <c r="ED40" s="125"/>
      <c r="EE40" s="125"/>
      <c r="EF40" s="125"/>
      <c r="EG40" s="125"/>
      <c r="EH40" s="125"/>
      <c r="EI40" s="125"/>
      <c r="EJ40" s="125"/>
      <c r="EK40" s="125"/>
      <c r="EL40" s="125"/>
      <c r="EM40" s="125"/>
      <c r="EN40" s="125"/>
      <c r="EO40" s="125"/>
      <c r="EP40" s="125"/>
      <c r="EQ40" s="125"/>
      <c r="ER40" s="125"/>
      <c r="ES40" s="125"/>
      <c r="ET40" s="125"/>
      <c r="EU40" s="125"/>
      <c r="EV40" s="125"/>
      <c r="EW40" s="125"/>
      <c r="EX40" s="125"/>
      <c r="EY40" s="125"/>
      <c r="EZ40" s="125"/>
      <c r="FA40" s="125"/>
      <c r="FB40" s="125"/>
      <c r="FC40" s="125"/>
      <c r="FD40" s="125"/>
      <c r="FE40" s="125"/>
      <c r="FF40" s="125"/>
      <c r="FG40" s="125"/>
      <c r="FH40" s="125"/>
      <c r="FI40" s="125"/>
      <c r="FJ40" s="125"/>
      <c r="FK40" s="125"/>
      <c r="FL40" s="125"/>
      <c r="FM40" s="125"/>
      <c r="FN40" s="125"/>
      <c r="FO40" s="125"/>
      <c r="FP40" s="125"/>
      <c r="FQ40" s="125"/>
      <c r="FR40" s="125"/>
      <c r="FS40" s="125"/>
      <c r="FT40" s="125"/>
      <c r="FU40" s="125"/>
      <c r="FV40" s="125"/>
      <c r="FW40" s="125"/>
      <c r="FX40" s="125"/>
      <c r="FY40" s="125"/>
      <c r="FZ40" s="125"/>
      <c r="GA40" s="125"/>
      <c r="GB40" s="125"/>
      <c r="GC40" s="125"/>
      <c r="GD40" s="125"/>
      <c r="GE40" s="125"/>
      <c r="GF40" s="125"/>
      <c r="GG40" s="125"/>
      <c r="GH40" s="125"/>
      <c r="GI40" s="125"/>
      <c r="GJ40" s="125"/>
      <c r="GK40" s="125"/>
      <c r="GL40" s="125"/>
      <c r="GM40" s="125"/>
      <c r="GN40" s="125"/>
      <c r="GO40" s="125"/>
      <c r="GP40" s="125"/>
      <c r="GQ40" s="125"/>
      <c r="GR40" s="125"/>
      <c r="GS40" s="125"/>
      <c r="GT40" s="125"/>
      <c r="GU40" s="125"/>
      <c r="GV40" s="125"/>
      <c r="GW40" s="125"/>
      <c r="GX40" s="125"/>
      <c r="GY40" s="125"/>
      <c r="GZ40" s="125"/>
      <c r="HA40" s="125"/>
      <c r="HB40" s="125"/>
      <c r="HC40" s="125"/>
      <c r="HD40" s="125"/>
      <c r="HE40" s="125"/>
      <c r="HF40" s="125"/>
      <c r="HG40" s="125"/>
      <c r="HH40" s="125"/>
      <c r="HI40" s="125"/>
      <c r="HJ40" s="125"/>
      <c r="HK40" s="125"/>
      <c r="HL40" s="125"/>
      <c r="HM40" s="125"/>
      <c r="HN40" s="125"/>
      <c r="HO40" s="125"/>
      <c r="HP40" s="125"/>
      <c r="HQ40" s="125"/>
      <c r="HR40" s="125"/>
      <c r="HS40" s="125"/>
      <c r="HT40" s="125"/>
      <c r="HU40" s="125"/>
      <c r="HV40" s="125"/>
      <c r="HW40" s="125"/>
      <c r="HX40" s="125"/>
      <c r="HY40" s="125"/>
      <c r="HZ40" s="125"/>
      <c r="IA40" s="125"/>
      <c r="IB40" s="125"/>
      <c r="IC40" s="125"/>
      <c r="ID40" s="125"/>
      <c r="IE40" s="125"/>
      <c r="IF40" s="125"/>
      <c r="IG40" s="125"/>
      <c r="IH40" s="125"/>
      <c r="II40" s="125"/>
      <c r="IJ40" s="125"/>
      <c r="IK40" s="125"/>
      <c r="IL40" s="125"/>
      <c r="IM40" s="125"/>
      <c r="IN40" s="125"/>
      <c r="IO40" s="125"/>
      <c r="IP40" s="125"/>
      <c r="IQ40" s="125"/>
      <c r="IR40" s="125"/>
      <c r="IS40" s="125"/>
      <c r="IT40" s="125"/>
      <c r="IU40" s="125"/>
      <c r="IV40" s="125"/>
    </row>
    <row r="41" spans="1:256" x14ac:dyDescent="0.25">
      <c r="A41" s="152" t="s">
        <v>199</v>
      </c>
      <c r="B41" s="262" t="s">
        <v>282</v>
      </c>
      <c r="C41" s="129"/>
      <c r="D41" s="129"/>
      <c r="E41" s="129"/>
      <c r="F41" s="129"/>
      <c r="G41" s="125"/>
      <c r="H41" s="125"/>
      <c r="I41" s="125"/>
      <c r="J41" s="125"/>
      <c r="K41" s="125"/>
      <c r="L41" s="125"/>
      <c r="M41" s="144"/>
      <c r="N41" s="144"/>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125"/>
      <c r="BY41" s="125"/>
      <c r="BZ41" s="125"/>
      <c r="CA41" s="125"/>
      <c r="CB41" s="125"/>
      <c r="CC41" s="125"/>
      <c r="CD41" s="125"/>
      <c r="CE41" s="125"/>
      <c r="CF41" s="125"/>
      <c r="CG41" s="125"/>
      <c r="CH41" s="125"/>
      <c r="CI41" s="125"/>
      <c r="CJ41" s="125"/>
      <c r="CK41" s="125"/>
      <c r="CL41" s="125"/>
      <c r="CM41" s="125"/>
      <c r="CN41" s="125"/>
      <c r="CO41" s="125"/>
      <c r="CP41" s="125"/>
      <c r="CQ41" s="125"/>
      <c r="CR41" s="125"/>
      <c r="CS41" s="125"/>
      <c r="CT41" s="125"/>
      <c r="CU41" s="125"/>
      <c r="CV41" s="125"/>
      <c r="CW41" s="125"/>
      <c r="CX41" s="125"/>
      <c r="CY41" s="125"/>
      <c r="CZ41" s="125"/>
      <c r="DA41" s="125"/>
      <c r="DB41" s="125"/>
      <c r="DC41" s="125"/>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5"/>
      <c r="DZ41" s="125"/>
      <c r="EA41" s="125"/>
      <c r="EB41" s="125"/>
      <c r="EC41" s="125"/>
      <c r="ED41" s="125"/>
      <c r="EE41" s="125"/>
      <c r="EF41" s="125"/>
      <c r="EG41" s="125"/>
      <c r="EH41" s="125"/>
      <c r="EI41" s="125"/>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5"/>
      <c r="FI41" s="125"/>
      <c r="FJ41" s="125"/>
      <c r="FK41" s="125"/>
      <c r="FL41" s="125"/>
      <c r="FM41" s="125"/>
      <c r="FN41" s="125"/>
      <c r="FO41" s="125"/>
      <c r="FP41" s="125"/>
      <c r="FQ41" s="125"/>
      <c r="FR41" s="125"/>
      <c r="FS41" s="125"/>
      <c r="FT41" s="125"/>
      <c r="FU41" s="125"/>
      <c r="FV41" s="125"/>
      <c r="FW41" s="125"/>
      <c r="FX41" s="125"/>
      <c r="FY41" s="125"/>
      <c r="FZ41" s="125"/>
      <c r="GA41" s="125"/>
      <c r="GB41" s="125"/>
      <c r="GC41" s="125"/>
      <c r="GD41" s="125"/>
      <c r="GE41" s="125"/>
      <c r="GF41" s="125"/>
      <c r="GG41" s="125"/>
      <c r="GH41" s="125"/>
      <c r="GI41" s="125"/>
      <c r="GJ41" s="125"/>
      <c r="GK41" s="125"/>
      <c r="GL41" s="125"/>
      <c r="GM41" s="125"/>
      <c r="GN41" s="125"/>
      <c r="GO41" s="125"/>
      <c r="GP41" s="125"/>
      <c r="GQ41" s="125"/>
      <c r="GR41" s="125"/>
      <c r="GS41" s="125"/>
      <c r="GT41" s="125"/>
      <c r="GU41" s="125"/>
      <c r="GV41" s="125"/>
      <c r="GW41" s="125"/>
      <c r="GX41" s="125"/>
      <c r="GY41" s="125"/>
      <c r="GZ41" s="125"/>
      <c r="HA41" s="125"/>
      <c r="HB41" s="125"/>
      <c r="HC41" s="125"/>
      <c r="HD41" s="125"/>
      <c r="HE41" s="125"/>
      <c r="HF41" s="125"/>
      <c r="HG41" s="125"/>
      <c r="HH41" s="125"/>
      <c r="HI41" s="125"/>
      <c r="HJ41" s="125"/>
      <c r="HK41" s="125"/>
      <c r="HL41" s="125"/>
      <c r="HM41" s="125"/>
      <c r="HN41" s="125"/>
      <c r="HO41" s="125"/>
      <c r="HP41" s="125"/>
      <c r="HQ41" s="125"/>
      <c r="HR41" s="125"/>
      <c r="HS41" s="125"/>
      <c r="HT41" s="125"/>
      <c r="HU41" s="125"/>
      <c r="HV41" s="125"/>
      <c r="HW41" s="125"/>
      <c r="HX41" s="125"/>
      <c r="HY41" s="125"/>
      <c r="HZ41" s="125"/>
      <c r="IA41" s="125"/>
      <c r="IB41" s="125"/>
      <c r="IC41" s="125"/>
      <c r="ID41" s="125"/>
      <c r="IE41" s="125"/>
      <c r="IF41" s="125"/>
      <c r="IG41" s="125"/>
      <c r="IH41" s="125"/>
      <c r="II41" s="125"/>
      <c r="IJ41" s="125"/>
      <c r="IK41" s="125"/>
      <c r="IL41" s="125"/>
      <c r="IM41" s="125"/>
      <c r="IN41" s="125"/>
      <c r="IO41" s="125"/>
      <c r="IP41" s="125"/>
      <c r="IQ41" s="125"/>
      <c r="IR41" s="125"/>
      <c r="IS41" s="125"/>
      <c r="IT41" s="125"/>
      <c r="IU41" s="125"/>
      <c r="IV41" s="125"/>
    </row>
    <row r="42" spans="1:256" x14ac:dyDescent="0.25">
      <c r="A42" s="152"/>
      <c r="B42" s="262"/>
      <c r="C42" s="129"/>
      <c r="D42" s="129"/>
      <c r="E42" s="129"/>
      <c r="F42" s="129"/>
      <c r="G42" s="125"/>
      <c r="H42" s="157"/>
      <c r="I42" s="125"/>
      <c r="J42" s="125"/>
      <c r="K42" s="125"/>
      <c r="L42" s="125"/>
      <c r="M42" s="144"/>
      <c r="N42" s="144"/>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5"/>
      <c r="GD42" s="125"/>
      <c r="GE42" s="125"/>
      <c r="GF42" s="125"/>
      <c r="GG42" s="125"/>
      <c r="GH42" s="125"/>
      <c r="GI42" s="125"/>
      <c r="GJ42" s="125"/>
      <c r="GK42" s="125"/>
      <c r="GL42" s="125"/>
      <c r="GM42" s="125"/>
      <c r="GN42" s="125"/>
      <c r="GO42" s="125"/>
      <c r="GP42" s="125"/>
      <c r="GQ42" s="125"/>
      <c r="GR42" s="125"/>
      <c r="GS42" s="125"/>
      <c r="GT42" s="125"/>
      <c r="GU42" s="125"/>
      <c r="GV42" s="125"/>
      <c r="GW42" s="125"/>
      <c r="GX42" s="125"/>
      <c r="GY42" s="125"/>
      <c r="GZ42" s="125"/>
      <c r="HA42" s="125"/>
      <c r="HB42" s="125"/>
      <c r="HC42" s="125"/>
      <c r="HD42" s="125"/>
      <c r="HE42" s="125"/>
      <c r="HF42" s="125"/>
      <c r="HG42" s="125"/>
      <c r="HH42" s="125"/>
      <c r="HI42" s="125"/>
      <c r="HJ42" s="125"/>
      <c r="HK42" s="125"/>
      <c r="HL42" s="125"/>
      <c r="HM42" s="125"/>
      <c r="HN42" s="125"/>
      <c r="HO42" s="125"/>
      <c r="HP42" s="125"/>
      <c r="HQ42" s="125"/>
      <c r="HR42" s="125"/>
      <c r="HS42" s="125"/>
      <c r="HT42" s="125"/>
      <c r="HU42" s="125"/>
      <c r="HV42" s="125"/>
      <c r="HW42" s="125"/>
      <c r="HX42" s="125"/>
      <c r="HY42" s="125"/>
      <c r="HZ42" s="125"/>
      <c r="IA42" s="125"/>
      <c r="IB42" s="125"/>
      <c r="IC42" s="125"/>
      <c r="ID42" s="125"/>
      <c r="IE42" s="125"/>
      <c r="IF42" s="125"/>
      <c r="IG42" s="125"/>
      <c r="IH42" s="125"/>
      <c r="II42" s="125"/>
      <c r="IJ42" s="125"/>
      <c r="IK42" s="125"/>
      <c r="IL42" s="125"/>
      <c r="IM42" s="125"/>
      <c r="IN42" s="125"/>
      <c r="IO42" s="125"/>
      <c r="IP42" s="125"/>
      <c r="IQ42" s="125"/>
      <c r="IR42" s="125"/>
      <c r="IS42" s="125"/>
      <c r="IT42" s="125"/>
      <c r="IU42" s="125"/>
      <c r="IV42" s="125"/>
    </row>
    <row r="43" spans="1:256" ht="8.25" customHeight="1" x14ac:dyDescent="0.25">
      <c r="A43" s="129"/>
      <c r="B43" s="165"/>
      <c r="C43" s="129"/>
      <c r="D43" s="129"/>
      <c r="E43" s="129"/>
      <c r="F43" s="129"/>
      <c r="H43" s="125"/>
      <c r="I43" s="125"/>
      <c r="J43" s="125"/>
      <c r="K43" s="125"/>
      <c r="L43" s="125"/>
      <c r="M43" s="161"/>
      <c r="N43" s="144"/>
    </row>
    <row r="44" spans="1:256" ht="33" customHeight="1" x14ac:dyDescent="0.25">
      <c r="A44" s="528" t="s">
        <v>200</v>
      </c>
      <c r="B44" s="528"/>
      <c r="C44" s="528"/>
      <c r="D44" s="528"/>
      <c r="E44" s="528"/>
      <c r="F44" s="528"/>
      <c r="G44" s="125"/>
      <c r="H44" s="125"/>
      <c r="I44" s="125"/>
      <c r="J44" s="125"/>
      <c r="K44" s="125"/>
      <c r="L44" s="125"/>
      <c r="M44" s="144"/>
      <c r="N44" s="144"/>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c r="DT44" s="125"/>
      <c r="DU44" s="125"/>
      <c r="DV44" s="125"/>
      <c r="DW44" s="125"/>
      <c r="DX44" s="125"/>
      <c r="DY44" s="125"/>
      <c r="DZ44" s="125"/>
      <c r="EA44" s="125"/>
      <c r="EB44" s="125"/>
      <c r="EC44" s="125"/>
      <c r="ED44" s="125"/>
      <c r="EE44" s="125"/>
      <c r="EF44" s="125"/>
      <c r="EG44" s="125"/>
      <c r="EH44" s="125"/>
      <c r="EI44" s="125"/>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c r="GE44" s="125"/>
      <c r="GF44" s="125"/>
      <c r="GG44" s="125"/>
      <c r="GH44" s="125"/>
      <c r="GI44" s="125"/>
      <c r="GJ44" s="125"/>
      <c r="GK44" s="125"/>
      <c r="GL44" s="125"/>
      <c r="GM44" s="125"/>
      <c r="GN44" s="125"/>
      <c r="GO44" s="125"/>
      <c r="GP44" s="125"/>
      <c r="GQ44" s="125"/>
      <c r="GR44" s="125"/>
      <c r="GS44" s="125"/>
      <c r="GT44" s="125"/>
      <c r="GU44" s="125"/>
      <c r="GV44" s="125"/>
      <c r="GW44" s="125"/>
      <c r="GX44" s="125"/>
      <c r="GY44" s="125"/>
      <c r="GZ44" s="125"/>
      <c r="HA44" s="125"/>
      <c r="HB44" s="125"/>
      <c r="HC44" s="125"/>
      <c r="HD44" s="125"/>
      <c r="HE44" s="125"/>
      <c r="HF44" s="125"/>
      <c r="HG44" s="125"/>
      <c r="HH44" s="125"/>
      <c r="HI44" s="125"/>
      <c r="HJ44" s="125"/>
      <c r="HK44" s="125"/>
      <c r="HL44" s="125"/>
      <c r="HM44" s="125"/>
      <c r="HN44" s="125"/>
      <c r="HO44" s="125"/>
      <c r="HP44" s="125"/>
      <c r="HQ44" s="125"/>
      <c r="HR44" s="125"/>
      <c r="HS44" s="125"/>
      <c r="HT44" s="125"/>
      <c r="HU44" s="125"/>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c r="IV44" s="125"/>
    </row>
    <row r="45" spans="1:256" ht="6.75" customHeight="1" x14ac:dyDescent="0.25">
      <c r="A45" s="166"/>
      <c r="B45" s="166"/>
      <c r="C45" s="166"/>
      <c r="D45" s="166"/>
      <c r="E45" s="166"/>
      <c r="F45" s="166"/>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ht="29.25" x14ac:dyDescent="0.25">
      <c r="A46" s="167" t="s">
        <v>201</v>
      </c>
      <c r="B46" s="167" t="s">
        <v>202</v>
      </c>
      <c r="C46" s="167" t="s">
        <v>203</v>
      </c>
      <c r="D46" s="168"/>
      <c r="E46" s="166"/>
      <c r="F46" s="166"/>
      <c r="G46" s="125"/>
      <c r="H46" s="125"/>
      <c r="I46" s="125" t="e">
        <f>#REF!-#REF!</f>
        <v>#REF!</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x14ac:dyDescent="0.25">
      <c r="A47" s="169" t="s">
        <v>204</v>
      </c>
      <c r="B47" s="267">
        <v>100.45</v>
      </c>
      <c r="C47" s="266">
        <v>1.0044999999999999</v>
      </c>
      <c r="D47" s="170"/>
      <c r="E47" s="170"/>
      <c r="F47" s="147"/>
      <c r="G47" s="171"/>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69" t="s">
        <v>205</v>
      </c>
      <c r="B48" s="268">
        <v>100.32</v>
      </c>
      <c r="C48" s="266">
        <v>1.0032000000000001</v>
      </c>
      <c r="D48" s="170"/>
      <c r="E48" s="170"/>
      <c r="F48" s="153"/>
      <c r="G48" s="172"/>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x14ac:dyDescent="0.25">
      <c r="A49" s="169" t="s">
        <v>206</v>
      </c>
      <c r="B49" s="268">
        <v>100.49</v>
      </c>
      <c r="C49" s="266">
        <v>1.0048999999999999</v>
      </c>
      <c r="D49" s="173"/>
      <c r="E49" s="173"/>
      <c r="F49" s="153"/>
      <c r="G49" s="172"/>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69" t="s">
        <v>207</v>
      </c>
      <c r="B50" s="268">
        <v>100.64</v>
      </c>
      <c r="C50" s="266">
        <v>1.0064</v>
      </c>
      <c r="D50" s="174"/>
      <c r="E50" s="147"/>
      <c r="F50" s="175"/>
      <c r="G50" s="172"/>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x14ac:dyDescent="0.25">
      <c r="A51" s="169" t="s">
        <v>208</v>
      </c>
      <c r="B51" s="268" t="s">
        <v>293</v>
      </c>
      <c r="C51" s="266">
        <v>1.0062</v>
      </c>
      <c r="D51" s="529"/>
      <c r="E51" s="530"/>
      <c r="F51" s="176"/>
      <c r="G51" s="172"/>
      <c r="H51" s="128"/>
      <c r="I51" s="128"/>
      <c r="J51" s="128"/>
      <c r="K51" s="128"/>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x14ac:dyDescent="0.25">
      <c r="A52" s="177" t="s">
        <v>209</v>
      </c>
      <c r="B52" s="268" t="s">
        <v>294</v>
      </c>
      <c r="C52" s="266">
        <v>1.0047999999999999</v>
      </c>
      <c r="D52" s="125"/>
      <c r="E52" s="125"/>
      <c r="F52" s="178"/>
      <c r="G52" s="172"/>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row>
    <row r="53" spans="1:256" x14ac:dyDescent="0.25">
      <c r="A53" s="179" t="s">
        <v>210</v>
      </c>
      <c r="B53" s="268" t="s">
        <v>295</v>
      </c>
      <c r="C53" s="266" t="s">
        <v>303</v>
      </c>
      <c r="D53" s="529"/>
      <c r="E53" s="530"/>
      <c r="F53" s="530"/>
      <c r="G53" s="172"/>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x14ac:dyDescent="0.25">
      <c r="A54" s="264" t="s">
        <v>212</v>
      </c>
      <c r="B54" s="268" t="s">
        <v>296</v>
      </c>
      <c r="C54" s="266">
        <v>0.99080000000000001</v>
      </c>
      <c r="D54" s="174"/>
      <c r="E54" s="147"/>
      <c r="F54" s="147"/>
      <c r="G54" s="172"/>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x14ac:dyDescent="0.25">
      <c r="A55" s="264" t="s">
        <v>286</v>
      </c>
      <c r="B55" s="268" t="s">
        <v>297</v>
      </c>
      <c r="C55" s="266">
        <v>0.99870000000000003</v>
      </c>
      <c r="D55" s="174"/>
      <c r="E55" s="147"/>
      <c r="F55" s="147"/>
      <c r="G55" s="172"/>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264" t="s">
        <v>287</v>
      </c>
      <c r="B56" s="268" t="s">
        <v>298</v>
      </c>
      <c r="C56" s="266">
        <v>0.98370000000000002</v>
      </c>
      <c r="D56" s="174"/>
      <c r="E56" s="147"/>
      <c r="F56" s="147"/>
      <c r="G56" s="172"/>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264" t="s">
        <v>288</v>
      </c>
      <c r="B57" s="268" t="s">
        <v>299</v>
      </c>
      <c r="C57" s="266" t="s">
        <v>301</v>
      </c>
      <c r="D57" s="174"/>
      <c r="E57" s="147"/>
      <c r="F57" s="147"/>
      <c r="G57" s="172"/>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264" t="s">
        <v>289</v>
      </c>
      <c r="B58" s="268" t="s">
        <v>300</v>
      </c>
      <c r="C58" s="266" t="s">
        <v>302</v>
      </c>
      <c r="D58" s="174"/>
      <c r="E58" s="147"/>
      <c r="F58" s="147"/>
      <c r="G58" s="172"/>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264" t="s">
        <v>290</v>
      </c>
      <c r="B59" s="268" t="s">
        <v>300</v>
      </c>
      <c r="C59" s="266" t="s">
        <v>302</v>
      </c>
      <c r="D59" s="529" t="s">
        <v>211</v>
      </c>
      <c r="E59" s="530"/>
      <c r="F59" s="530"/>
      <c r="G59" s="172"/>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264" t="s">
        <v>291</v>
      </c>
      <c r="B60" s="268" t="s">
        <v>300</v>
      </c>
      <c r="C60" s="266" t="s">
        <v>302</v>
      </c>
      <c r="D60" s="529" t="s">
        <v>211</v>
      </c>
      <c r="E60" s="530"/>
      <c r="F60" s="530"/>
      <c r="G60" s="172"/>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9" t="s">
        <v>292</v>
      </c>
      <c r="B61" s="268" t="s">
        <v>300</v>
      </c>
      <c r="C61" s="266" t="s">
        <v>302</v>
      </c>
      <c r="D61" s="529" t="s">
        <v>211</v>
      </c>
      <c r="E61" s="530"/>
      <c r="F61" s="530"/>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80"/>
      <c r="B62" s="173"/>
      <c r="C62" s="181"/>
      <c r="D62" s="147"/>
      <c r="E62" s="147"/>
      <c r="F62" s="178"/>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176" t="s">
        <v>213</v>
      </c>
      <c r="B63" s="182"/>
      <c r="C63" s="153"/>
      <c r="D63" s="153"/>
      <c r="E63" s="153"/>
      <c r="F63" s="183"/>
      <c r="G63" s="172"/>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5" t="s">
        <v>304</v>
      </c>
      <c r="B64" s="182"/>
      <c r="C64" s="153"/>
      <c r="D64" s="153"/>
      <c r="E64" s="153"/>
      <c r="F64" s="183"/>
      <c r="G64" s="172"/>
      <c r="H64" s="125"/>
      <c r="I64" s="125"/>
      <c r="J64" s="125"/>
      <c r="K64" s="125"/>
      <c r="L64" s="125"/>
      <c r="M64" s="125">
        <f>PRODUCT(C47:C61)</f>
        <v>1.0029484175077099</v>
      </c>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ht="9.75" customHeight="1" x14ac:dyDescent="0.25">
      <c r="A65" s="184"/>
      <c r="B65" s="185"/>
      <c r="C65" s="129"/>
      <c r="D65" s="156"/>
      <c r="E65" s="129"/>
      <c r="F65" s="186"/>
      <c r="G65" s="172"/>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ht="36" customHeight="1" x14ac:dyDescent="0.25">
      <c r="A66" s="531" t="s">
        <v>307</v>
      </c>
      <c r="B66" s="531"/>
      <c r="C66" s="531"/>
      <c r="D66" s="531"/>
      <c r="E66" s="531"/>
      <c r="F66" s="175">
        <f>C47*C48*C49*C50*C51*C52*C53*C54*C55*C56*C57*C58*C59*C60*C61</f>
        <v>1.1113999999999999</v>
      </c>
      <c r="H66" s="125"/>
      <c r="I66" s="125"/>
      <c r="J66" s="125"/>
      <c r="K66" s="125"/>
      <c r="L66" s="125"/>
      <c r="M66" s="269">
        <f>C47*C48*C49*C50*C51*C52*C53*C54*C55*C56*C57*C58*C59*C60*C61</f>
        <v>1.1113999999999999</v>
      </c>
      <c r="N66" s="125"/>
      <c r="O66" s="125">
        <f>PRODUCT(C47:C61)</f>
        <v>1.0029484175077099</v>
      </c>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ht="8.25" customHeight="1" x14ac:dyDescent="0.25">
      <c r="A67" s="244"/>
      <c r="B67" s="244"/>
      <c r="C67" s="244"/>
      <c r="D67" s="244"/>
      <c r="E67" s="244"/>
      <c r="F67" s="17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ht="18" customHeight="1" x14ac:dyDescent="0.25">
      <c r="A68" s="265" t="s">
        <v>305</v>
      </c>
      <c r="B68" s="244"/>
      <c r="C68" s="244"/>
      <c r="D68" s="244"/>
      <c r="E68" s="244"/>
      <c r="F68" s="17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ht="23.25" customHeight="1" x14ac:dyDescent="0.25">
      <c r="A69" s="531" t="s">
        <v>306</v>
      </c>
      <c r="B69" s="531"/>
      <c r="C69" s="531"/>
      <c r="D69" s="531"/>
      <c r="E69" s="531"/>
      <c r="F69" s="175">
        <f>C59*C60*C61</f>
        <v>1.069</v>
      </c>
      <c r="H69" s="125"/>
      <c r="I69" s="125"/>
      <c r="J69" s="125"/>
      <c r="K69" s="125"/>
      <c r="L69" s="125"/>
      <c r="M69" s="125">
        <f>C59*C60*C61</f>
        <v>1.069030140625</v>
      </c>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76" t="s">
        <v>197</v>
      </c>
      <c r="B70" s="176"/>
      <c r="C70" s="176"/>
      <c r="D70" s="125"/>
      <c r="E70" s="176"/>
      <c r="F70" s="187"/>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78" t="s">
        <v>214</v>
      </c>
      <c r="B71" s="178"/>
      <c r="C71" s="178"/>
      <c r="D71" s="178"/>
      <c r="E71" s="178"/>
      <c r="F71" s="187"/>
      <c r="G71" s="188"/>
      <c r="H71" s="189"/>
      <c r="I71" s="188"/>
      <c r="J71" s="188"/>
      <c r="K71" s="188"/>
      <c r="L71" s="188"/>
      <c r="M71" s="188"/>
    </row>
    <row r="72" spans="1:256" x14ac:dyDescent="0.25">
      <c r="A72" s="191"/>
      <c r="B72" s="191"/>
      <c r="C72" s="191"/>
      <c r="D72" s="191"/>
      <c r="E72" s="191"/>
      <c r="F72" s="192"/>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ht="38.25" customHeight="1" x14ac:dyDescent="0.25">
      <c r="A73" s="153" t="s">
        <v>315</v>
      </c>
      <c r="B73" s="153"/>
      <c r="C73" s="153"/>
      <c r="D73" s="125"/>
      <c r="E73" s="305">
        <v>0.06</v>
      </c>
      <c r="F73" s="190"/>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x14ac:dyDescent="0.25">
      <c r="A74" s="153" t="s">
        <v>316</v>
      </c>
      <c r="B74" s="153"/>
      <c r="C74" s="153"/>
      <c r="D74" s="125"/>
      <c r="E74" s="305">
        <v>0.94</v>
      </c>
      <c r="F74" s="190"/>
      <c r="G74" s="125"/>
      <c r="H74" s="125"/>
      <c r="I74" s="125"/>
      <c r="J74" s="125"/>
      <c r="K74" s="125"/>
      <c r="L74" s="125"/>
      <c r="M74" s="125"/>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c r="BV74" s="188"/>
      <c r="BW74" s="188"/>
      <c r="BX74" s="188"/>
      <c r="BY74" s="188"/>
      <c r="BZ74" s="188"/>
      <c r="CA74" s="188"/>
      <c r="CB74" s="188"/>
      <c r="CC74" s="188"/>
      <c r="CD74" s="188"/>
      <c r="CE74" s="188"/>
      <c r="CF74" s="188"/>
      <c r="CG74" s="188"/>
      <c r="CH74" s="188"/>
      <c r="CI74" s="188"/>
      <c r="CJ74" s="188"/>
      <c r="CK74" s="188"/>
      <c r="CL74" s="188"/>
      <c r="CM74" s="188"/>
      <c r="CN74" s="188"/>
      <c r="CO74" s="188"/>
      <c r="CP74" s="188"/>
      <c r="CQ74" s="188"/>
      <c r="CR74" s="188"/>
      <c r="CS74" s="188"/>
      <c r="CT74" s="188"/>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8"/>
      <c r="EJ74" s="188"/>
      <c r="EK74" s="188"/>
      <c r="EL74" s="188"/>
      <c r="EM74" s="188"/>
      <c r="EN74" s="188"/>
      <c r="EO74" s="188"/>
      <c r="EP74" s="188"/>
      <c r="EQ74" s="188"/>
      <c r="ER74" s="188"/>
      <c r="ES74" s="188"/>
      <c r="ET74" s="188"/>
      <c r="EU74" s="188"/>
      <c r="EV74" s="188"/>
      <c r="EW74" s="188"/>
      <c r="EX74" s="188"/>
      <c r="EY74" s="188"/>
      <c r="EZ74" s="188"/>
      <c r="FA74" s="188"/>
      <c r="FB74" s="188"/>
      <c r="FC74" s="188"/>
      <c r="FD74" s="188"/>
      <c r="FE74" s="188"/>
      <c r="FF74" s="188"/>
      <c r="FG74" s="188"/>
      <c r="FH74" s="188"/>
      <c r="FI74" s="188"/>
      <c r="FJ74" s="188"/>
      <c r="FK74" s="188"/>
      <c r="FL74" s="188"/>
      <c r="FM74" s="188"/>
      <c r="FN74" s="188"/>
      <c r="FO74" s="188"/>
      <c r="FP74" s="188"/>
      <c r="FQ74" s="188"/>
      <c r="FR74" s="188"/>
      <c r="FS74" s="188"/>
      <c r="FT74" s="188"/>
      <c r="FU74" s="188"/>
      <c r="FV74" s="188"/>
      <c r="FW74" s="188"/>
      <c r="FX74" s="188"/>
      <c r="FY74" s="188"/>
      <c r="FZ74" s="188"/>
      <c r="GA74" s="188"/>
      <c r="GB74" s="188"/>
      <c r="GC74" s="188"/>
      <c r="GD74" s="188"/>
      <c r="GE74" s="188"/>
      <c r="GF74" s="188"/>
      <c r="GG74" s="188"/>
      <c r="GH74" s="188"/>
      <c r="GI74" s="188"/>
      <c r="GJ74" s="188"/>
      <c r="GK74" s="188"/>
      <c r="GL74" s="188"/>
      <c r="GM74" s="188"/>
      <c r="GN74" s="188"/>
      <c r="GO74" s="188"/>
      <c r="GP74" s="188"/>
      <c r="GQ74" s="188"/>
      <c r="GR74" s="188"/>
      <c r="GS74" s="188"/>
      <c r="GT74" s="188"/>
      <c r="GU74" s="188"/>
      <c r="GV74" s="188"/>
      <c r="GW74" s="188"/>
      <c r="GX74" s="188"/>
      <c r="GY74" s="188"/>
      <c r="GZ74" s="188"/>
      <c r="HA74" s="188"/>
      <c r="HB74" s="188"/>
      <c r="HC74" s="188"/>
      <c r="HD74" s="188"/>
      <c r="HE74" s="188"/>
      <c r="HF74" s="188"/>
      <c r="HG74" s="188"/>
      <c r="HH74" s="188"/>
      <c r="HI74" s="188"/>
      <c r="HJ74" s="188"/>
      <c r="HK74" s="188"/>
      <c r="HL74" s="188"/>
      <c r="HM74" s="188"/>
      <c r="HN74" s="188"/>
      <c r="HO74" s="188"/>
      <c r="HP74" s="188"/>
      <c r="HQ74" s="188"/>
      <c r="HR74" s="188"/>
      <c r="HS74" s="188"/>
      <c r="HT74" s="188"/>
      <c r="HU74" s="188"/>
      <c r="HV74" s="188"/>
      <c r="HW74" s="188"/>
      <c r="HX74" s="188"/>
      <c r="HY74" s="188"/>
      <c r="HZ74" s="188"/>
      <c r="IA74" s="188"/>
      <c r="IB74" s="188"/>
      <c r="IC74" s="188"/>
      <c r="ID74" s="188"/>
      <c r="IE74" s="188"/>
      <c r="IF74" s="188"/>
      <c r="IG74" s="188"/>
      <c r="IH74" s="188"/>
      <c r="II74" s="188"/>
      <c r="IJ74" s="188"/>
      <c r="IK74" s="188"/>
      <c r="IL74" s="188"/>
      <c r="IM74" s="188"/>
      <c r="IN74" s="188"/>
      <c r="IO74" s="188"/>
      <c r="IP74" s="188"/>
      <c r="IQ74" s="188"/>
      <c r="IR74" s="188"/>
      <c r="IS74" s="188"/>
      <c r="IT74" s="188"/>
      <c r="IU74" s="188"/>
      <c r="IV74" s="188"/>
    </row>
    <row r="75" spans="1:256" ht="18.75" customHeight="1" x14ac:dyDescent="0.25">
      <c r="A75" s="153"/>
      <c r="B75" s="178"/>
      <c r="C75" s="178"/>
      <c r="D75" s="178"/>
      <c r="E75" s="183"/>
      <c r="F75" s="190"/>
      <c r="G75" s="125"/>
      <c r="H75" s="125"/>
      <c r="I75" s="125"/>
      <c r="J75" s="125"/>
      <c r="K75" s="125"/>
      <c r="L75" s="125"/>
      <c r="M75" s="125"/>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c r="DH75" s="188"/>
      <c r="DI75" s="188"/>
      <c r="DJ75" s="188"/>
      <c r="DK75" s="188"/>
      <c r="DL75" s="188"/>
      <c r="DM75" s="188"/>
      <c r="DN75" s="188"/>
      <c r="DO75" s="188"/>
      <c r="DP75" s="188"/>
      <c r="DQ75" s="188"/>
      <c r="DR75" s="188"/>
      <c r="DS75" s="188"/>
      <c r="DT75" s="188"/>
      <c r="DU75" s="188"/>
      <c r="DV75" s="188"/>
      <c r="DW75" s="188"/>
      <c r="DX75" s="188"/>
      <c r="DY75" s="188"/>
      <c r="DZ75" s="188"/>
      <c r="EA75" s="188"/>
      <c r="EB75" s="188"/>
      <c r="EC75" s="188"/>
      <c r="ED75" s="188"/>
      <c r="EE75" s="188"/>
      <c r="EF75" s="188"/>
      <c r="EG75" s="188"/>
      <c r="EH75" s="188"/>
      <c r="EI75" s="188"/>
      <c r="EJ75" s="188"/>
      <c r="EK75" s="188"/>
      <c r="EL75" s="188"/>
      <c r="EM75" s="188"/>
      <c r="EN75" s="188"/>
      <c r="EO75" s="188"/>
      <c r="EP75" s="188"/>
      <c r="EQ75" s="188"/>
      <c r="ER75" s="188"/>
      <c r="ES75" s="188"/>
      <c r="ET75" s="188"/>
      <c r="EU75" s="188"/>
      <c r="EV75" s="188"/>
      <c r="EW75" s="188"/>
      <c r="EX75" s="188"/>
      <c r="EY75" s="188"/>
      <c r="EZ75" s="188"/>
      <c r="FA75" s="188"/>
      <c r="FB75" s="188"/>
      <c r="FC75" s="188"/>
      <c r="FD75" s="188"/>
      <c r="FE75" s="188"/>
      <c r="FF75" s="188"/>
      <c r="FG75" s="188"/>
      <c r="FH75" s="188"/>
      <c r="FI75" s="188"/>
      <c r="FJ75" s="188"/>
      <c r="FK75" s="188"/>
      <c r="FL75" s="188"/>
      <c r="FM75" s="188"/>
      <c r="FN75" s="188"/>
      <c r="FO75" s="188"/>
      <c r="FP75" s="188"/>
      <c r="FQ75" s="188"/>
      <c r="FR75" s="188"/>
      <c r="FS75" s="188"/>
      <c r="FT75" s="188"/>
      <c r="FU75" s="188"/>
      <c r="FV75" s="188"/>
      <c r="FW75" s="188"/>
      <c r="FX75" s="188"/>
      <c r="FY75" s="188"/>
      <c r="FZ75" s="188"/>
      <c r="GA75" s="188"/>
      <c r="GB75" s="188"/>
      <c r="GC75" s="188"/>
      <c r="GD75" s="188"/>
      <c r="GE75" s="188"/>
      <c r="GF75" s="188"/>
      <c r="GG75" s="188"/>
      <c r="GH75" s="188"/>
      <c r="GI75" s="188"/>
      <c r="GJ75" s="188"/>
      <c r="GK75" s="188"/>
      <c r="GL75" s="188"/>
      <c r="GM75" s="188"/>
      <c r="GN75" s="188"/>
      <c r="GO75" s="188"/>
      <c r="GP75" s="188"/>
      <c r="GQ75" s="188"/>
      <c r="GR75" s="188"/>
      <c r="GS75" s="188"/>
      <c r="GT75" s="188"/>
      <c r="GU75" s="188"/>
      <c r="GV75" s="188"/>
      <c r="GW75" s="188"/>
      <c r="GX75" s="188"/>
      <c r="GY75" s="188"/>
      <c r="GZ75" s="188"/>
      <c r="HA75" s="188"/>
      <c r="HB75" s="188"/>
      <c r="HC75" s="188"/>
      <c r="HD75" s="188"/>
      <c r="HE75" s="188"/>
      <c r="HF75" s="188"/>
      <c r="HG75" s="188"/>
      <c r="HH75" s="188"/>
      <c r="HI75" s="188"/>
      <c r="HJ75" s="188"/>
      <c r="HK75" s="188"/>
      <c r="HL75" s="188"/>
      <c r="HM75" s="188"/>
      <c r="HN75" s="188"/>
      <c r="HO75" s="188"/>
      <c r="HP75" s="188"/>
      <c r="HQ75" s="188"/>
      <c r="HR75" s="188"/>
      <c r="HS75" s="188"/>
      <c r="HT75" s="188"/>
      <c r="HU75" s="188"/>
      <c r="HV75" s="188"/>
      <c r="HW75" s="188"/>
      <c r="HX75" s="188"/>
      <c r="HY75" s="188"/>
      <c r="HZ75" s="188"/>
      <c r="IA75" s="188"/>
      <c r="IB75" s="188"/>
      <c r="IC75" s="188"/>
      <c r="ID75" s="188"/>
      <c r="IE75" s="188"/>
      <c r="IF75" s="188"/>
      <c r="IG75" s="188"/>
      <c r="IH75" s="188"/>
      <c r="II75" s="188"/>
      <c r="IJ75" s="188"/>
      <c r="IK75" s="188"/>
      <c r="IL75" s="188"/>
      <c r="IM75" s="188"/>
      <c r="IN75" s="188"/>
      <c r="IO75" s="188"/>
      <c r="IP75" s="188"/>
      <c r="IQ75" s="188"/>
      <c r="IR75" s="188"/>
      <c r="IS75" s="188"/>
      <c r="IT75" s="188"/>
      <c r="IU75" s="188"/>
      <c r="IV75" s="188"/>
    </row>
    <row r="76" spans="1:256" ht="42" customHeight="1" x14ac:dyDescent="0.25">
      <c r="A76" s="522" t="s">
        <v>215</v>
      </c>
      <c r="B76" s="522"/>
      <c r="C76" s="522"/>
      <c r="D76" s="522"/>
      <c r="E76" s="522"/>
      <c r="F76" s="153"/>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x14ac:dyDescent="0.25">
      <c r="A77" s="187"/>
      <c r="B77" s="187" t="s">
        <v>202</v>
      </c>
      <c r="C77" s="284" t="s">
        <v>216</v>
      </c>
      <c r="D77" s="187"/>
      <c r="E77" s="187"/>
      <c r="F77" s="190"/>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x14ac:dyDescent="0.25">
      <c r="A78" s="183" t="s">
        <v>217</v>
      </c>
      <c r="B78" s="183">
        <v>107.8</v>
      </c>
      <c r="C78" s="190">
        <f>B78/100</f>
        <v>1.0780000000000001</v>
      </c>
      <c r="D78" s="190"/>
      <c r="E78" s="190"/>
      <c r="F78" s="190"/>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83" t="s">
        <v>317</v>
      </c>
      <c r="B79" s="183">
        <v>105.3</v>
      </c>
      <c r="C79" s="190">
        <f>B79/100</f>
        <v>1.0529999999999999</v>
      </c>
      <c r="D79" s="190"/>
      <c r="E79" s="190"/>
      <c r="F79" s="183"/>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83"/>
      <c r="B80" s="183"/>
      <c r="C80" s="190"/>
      <c r="D80" s="190"/>
      <c r="E80" s="190"/>
      <c r="F80" s="183"/>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pans="1:256" ht="30.75" customHeight="1" x14ac:dyDescent="0.25">
      <c r="A81" s="153" t="s">
        <v>318</v>
      </c>
      <c r="B81" s="153"/>
      <c r="C81" s="153"/>
      <c r="D81" s="190"/>
      <c r="E81" s="190"/>
      <c r="F81" s="183"/>
      <c r="G81" s="522"/>
      <c r="H81" s="522"/>
      <c r="I81" s="522"/>
      <c r="J81" s="522"/>
      <c r="K81" s="522"/>
      <c r="L81" s="522"/>
      <c r="M81" s="125"/>
    </row>
    <row r="82" spans="1:256" x14ac:dyDescent="0.25">
      <c r="A82" s="180"/>
      <c r="B82" s="180"/>
      <c r="C82" s="193"/>
      <c r="D82" s="180"/>
      <c r="E82" s="190"/>
      <c r="F82" s="285"/>
      <c r="G82" s="522"/>
      <c r="H82" s="522"/>
      <c r="I82" s="522"/>
      <c r="J82" s="522"/>
      <c r="K82" s="522"/>
      <c r="L82" s="522"/>
      <c r="M82" s="125"/>
    </row>
    <row r="83" spans="1:256" ht="15" customHeight="1" x14ac:dyDescent="0.25">
      <c r="A83" s="180" t="s">
        <v>319</v>
      </c>
      <c r="B83" s="286" t="s">
        <v>320</v>
      </c>
      <c r="C83" s="193" t="s">
        <v>218</v>
      </c>
      <c r="D83" s="180">
        <f>ROUND(POWER(C78,1/12),4)</f>
        <v>1.0063</v>
      </c>
      <c r="E83" s="153"/>
      <c r="F83" s="285"/>
      <c r="G83" s="522"/>
      <c r="H83" s="522"/>
      <c r="I83" s="522"/>
      <c r="J83" s="522"/>
      <c r="K83" s="522"/>
      <c r="L83" s="522"/>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row>
    <row r="84" spans="1:256" ht="18" x14ac:dyDescent="0.25">
      <c r="A84" s="180" t="s">
        <v>321</v>
      </c>
      <c r="B84" s="286" t="s">
        <v>322</v>
      </c>
      <c r="C84" s="193" t="s">
        <v>218</v>
      </c>
      <c r="D84" s="180">
        <f>ROUND(POWER(C79,1/12),4)</f>
        <v>1.0043</v>
      </c>
      <c r="E84" s="153"/>
      <c r="F84" s="64"/>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row>
    <row r="85" spans="1:256" ht="18.75" customHeight="1" x14ac:dyDescent="0.25">
      <c r="A85" s="180"/>
      <c r="B85" s="286"/>
      <c r="C85" s="193"/>
      <c r="D85" s="180"/>
      <c r="E85" s="190"/>
      <c r="F85" s="183"/>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3" t="s">
        <v>323</v>
      </c>
      <c r="B86" s="183"/>
      <c r="C86" s="183"/>
      <c r="D86" s="183"/>
      <c r="E86" s="183"/>
      <c r="F86" s="183"/>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324</v>
      </c>
      <c r="B87" s="183"/>
      <c r="C87" s="183"/>
      <c r="D87" s="183"/>
      <c r="E87" s="183"/>
      <c r="F87" s="183"/>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ht="20.25" customHeight="1" x14ac:dyDescent="0.25">
      <c r="A88" s="194" t="s">
        <v>325</v>
      </c>
      <c r="B88" s="195"/>
      <c r="C88" s="195"/>
      <c r="D88" s="195"/>
      <c r="E88" s="183"/>
      <c r="F88" s="64"/>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ht="49.5" customHeight="1" x14ac:dyDescent="0.25">
      <c r="A89" s="524" t="s">
        <v>335</v>
      </c>
      <c r="B89" s="524"/>
      <c r="C89" s="524"/>
      <c r="D89" s="524"/>
      <c r="E89" s="304">
        <f>ROUND(POWER(D83,3),4)</f>
        <v>1.0189999999999999</v>
      </c>
      <c r="F89" s="64"/>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ht="40.5" customHeight="1" x14ac:dyDescent="0.25">
      <c r="A90" s="524" t="s">
        <v>326</v>
      </c>
      <c r="B90" s="524"/>
      <c r="C90" s="524"/>
      <c r="D90" s="524"/>
      <c r="E90" s="288"/>
      <c r="F90" s="64"/>
      <c r="H90" s="196"/>
      <c r="I90" s="196"/>
      <c r="J90" s="196"/>
      <c r="K90" s="196"/>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c r="HA90" s="125"/>
      <c r="HB90" s="125"/>
      <c r="HC90" s="125"/>
      <c r="HD90" s="125"/>
      <c r="HE90" s="125"/>
      <c r="HF90" s="125"/>
      <c r="HG90" s="125"/>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c r="IG90" s="125"/>
      <c r="IH90" s="125"/>
      <c r="II90" s="125"/>
      <c r="IJ90" s="125"/>
      <c r="IK90" s="125"/>
      <c r="IL90" s="125"/>
      <c r="IM90" s="125"/>
      <c r="IN90" s="125"/>
      <c r="IO90" s="125"/>
      <c r="IP90" s="125"/>
      <c r="IQ90" s="125"/>
      <c r="IR90" s="125"/>
      <c r="IS90" s="125"/>
      <c r="IT90" s="125"/>
      <c r="IU90" s="125"/>
      <c r="IV90" s="125"/>
    </row>
    <row r="91" spans="1:256" ht="15" customHeight="1" x14ac:dyDescent="0.25">
      <c r="A91" s="525" t="s">
        <v>336</v>
      </c>
      <c r="B91" s="525"/>
      <c r="C91" s="525"/>
      <c r="D91" s="525"/>
      <c r="E91" s="289">
        <f>(E89-1)/2+1</f>
        <v>1.0095000000000001</v>
      </c>
      <c r="F91" s="290"/>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row>
    <row r="92" spans="1:256" x14ac:dyDescent="0.25">
      <c r="A92" s="287"/>
      <c r="B92" s="287"/>
      <c r="C92" s="287"/>
      <c r="D92" s="287"/>
      <c r="E92" s="291"/>
      <c r="F92" s="290"/>
      <c r="G92" s="200"/>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5.75" customHeight="1" x14ac:dyDescent="0.25">
      <c r="A93" s="178" t="s">
        <v>327</v>
      </c>
      <c r="B93" s="183"/>
      <c r="C93" s="292"/>
      <c r="D93" s="293"/>
      <c r="E93" s="183"/>
      <c r="F93" s="153"/>
      <c r="G93" s="200"/>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55.5" customHeight="1" x14ac:dyDescent="0.25">
      <c r="A94" s="526" t="s">
        <v>337</v>
      </c>
      <c r="B94" s="526"/>
      <c r="C94" s="526"/>
      <c r="D94" s="526"/>
      <c r="E94" s="526"/>
      <c r="F94" s="526"/>
      <c r="G94" s="200"/>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64"/>
      <c r="B95" s="125"/>
      <c r="C95" s="64"/>
      <c r="D95" s="64"/>
      <c r="E95" s="64"/>
      <c r="F95" s="125"/>
      <c r="G95" s="200"/>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ht="15.75" customHeight="1" x14ac:dyDescent="0.25">
      <c r="A96" s="178" t="s">
        <v>328</v>
      </c>
      <c r="B96" s="294" t="s">
        <v>338</v>
      </c>
      <c r="C96" s="125"/>
      <c r="D96" s="292" t="s">
        <v>218</v>
      </c>
      <c r="E96" s="295">
        <f>ROUND(E89*(POWER(D84,1)+POWER(D84,1))/2,4)</f>
        <v>1.0234000000000001</v>
      </c>
      <c r="F96" s="296"/>
      <c r="G96" s="200"/>
      <c r="L96" s="131"/>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x14ac:dyDescent="0.25">
      <c r="A97" s="178"/>
      <c r="B97" s="294"/>
      <c r="C97" s="125"/>
      <c r="D97" s="292"/>
      <c r="E97" s="295"/>
      <c r="F97" s="296"/>
      <c r="G97" s="200"/>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x14ac:dyDescent="0.25">
      <c r="A98" s="178"/>
      <c r="B98" s="183"/>
      <c r="C98" s="292"/>
      <c r="D98" s="183"/>
      <c r="E98" s="183"/>
      <c r="F98" s="297"/>
    </row>
    <row r="99" spans="1:256" ht="36" customHeight="1" x14ac:dyDescent="0.25">
      <c r="A99" s="524" t="s">
        <v>329</v>
      </c>
      <c r="B99" s="524"/>
      <c r="C99" s="524"/>
      <c r="D99" s="524"/>
      <c r="E99" s="524"/>
      <c r="F99" s="524"/>
    </row>
    <row r="100" spans="1:256" x14ac:dyDescent="0.25">
      <c r="A100" s="183"/>
      <c r="B100" s="125"/>
      <c r="C100" s="125"/>
      <c r="D100" s="125"/>
      <c r="E100" s="125"/>
      <c r="F100" s="297"/>
      <c r="G100" s="125"/>
      <c r="H100" s="125"/>
      <c r="I100" s="125"/>
      <c r="J100" s="125"/>
      <c r="K100" s="125"/>
      <c r="L100" s="125"/>
      <c r="M100" s="125"/>
    </row>
    <row r="101" spans="1:256" x14ac:dyDescent="0.25">
      <c r="A101" s="521" t="s">
        <v>345</v>
      </c>
      <c r="B101" s="521"/>
      <c r="C101" s="521"/>
      <c r="D101" s="295">
        <f>ROUND((E73*E91+E74*E96),4)</f>
        <v>1.0226</v>
      </c>
      <c r="E101" s="183"/>
      <c r="F101" s="297"/>
    </row>
    <row r="102" spans="1:256" x14ac:dyDescent="0.25">
      <c r="A102" s="298"/>
      <c r="B102" s="299"/>
      <c r="C102" s="299"/>
      <c r="D102" s="295"/>
      <c r="E102" s="183"/>
      <c r="F102" s="297"/>
    </row>
    <row r="103" spans="1:256" x14ac:dyDescent="0.25">
      <c r="A103" s="298" t="s">
        <v>311</v>
      </c>
      <c r="B103" s="299"/>
      <c r="C103" s="299"/>
      <c r="D103" s="295"/>
      <c r="E103" s="183"/>
      <c r="F103" s="297"/>
    </row>
    <row r="104" spans="1:256" x14ac:dyDescent="0.25">
      <c r="A104" s="183" t="s">
        <v>330</v>
      </c>
      <c r="B104" s="306" t="s">
        <v>283</v>
      </c>
      <c r="C104" s="299"/>
      <c r="D104" s="295"/>
      <c r="E104" s="183"/>
      <c r="F104" s="297"/>
    </row>
    <row r="105" spans="1:256" x14ac:dyDescent="0.25">
      <c r="A105" s="183" t="s">
        <v>331</v>
      </c>
      <c r="B105" s="306" t="s">
        <v>341</v>
      </c>
      <c r="C105" s="299"/>
      <c r="D105" s="295"/>
      <c r="E105" s="183"/>
      <c r="F105" s="297"/>
    </row>
    <row r="106" spans="1:256" x14ac:dyDescent="0.25">
      <c r="A106" s="183" t="s">
        <v>198</v>
      </c>
      <c r="B106" s="300" t="s">
        <v>340</v>
      </c>
      <c r="C106" s="299"/>
      <c r="D106" s="295"/>
      <c r="E106" s="183"/>
      <c r="F106" s="297"/>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x14ac:dyDescent="0.25">
      <c r="A107" s="183" t="s">
        <v>199</v>
      </c>
      <c r="B107" s="181" t="s">
        <v>282</v>
      </c>
      <c r="C107" s="299"/>
      <c r="D107" s="295"/>
      <c r="E107" s="183"/>
      <c r="F107" s="297"/>
    </row>
    <row r="108" spans="1:256" x14ac:dyDescent="0.25">
      <c r="A108" s="183"/>
      <c r="B108" s="181"/>
      <c r="C108" s="299"/>
      <c r="D108" s="295"/>
      <c r="E108" s="183"/>
      <c r="F108" s="297"/>
    </row>
    <row r="109" spans="1:256" x14ac:dyDescent="0.25">
      <c r="A109" s="178" t="s">
        <v>332</v>
      </c>
      <c r="B109" s="181"/>
      <c r="C109" s="299"/>
      <c r="D109" s="295"/>
      <c r="E109" s="183"/>
      <c r="F109" s="297"/>
    </row>
    <row r="110" spans="1:256" x14ac:dyDescent="0.25">
      <c r="A110" s="178"/>
      <c r="B110" s="181"/>
      <c r="C110" s="299"/>
      <c r="D110" s="295"/>
      <c r="E110" s="183"/>
      <c r="F110" s="297"/>
    </row>
    <row r="111" spans="1:256" ht="53.25" customHeight="1" x14ac:dyDescent="0.25">
      <c r="A111" s="522" t="s">
        <v>343</v>
      </c>
      <c r="B111" s="522"/>
      <c r="C111" s="522"/>
      <c r="D111" s="522"/>
      <c r="E111" s="522"/>
      <c r="F111" s="522"/>
    </row>
    <row r="112" spans="1:256" x14ac:dyDescent="0.25">
      <c r="A112" s="301" t="s">
        <v>333</v>
      </c>
      <c r="B112" s="301" t="s">
        <v>342</v>
      </c>
      <c r="C112" s="302">
        <f>ROUND((D83*D83+POWER(D83,3))/2,4)</f>
        <v>1.0158</v>
      </c>
      <c r="D112" s="287"/>
      <c r="E112" s="287"/>
      <c r="F112" s="287"/>
    </row>
    <row r="113" spans="1:6" x14ac:dyDescent="0.25">
      <c r="A113" s="178"/>
      <c r="B113" s="293"/>
      <c r="C113" s="293"/>
      <c r="D113" s="295"/>
      <c r="E113" s="183"/>
      <c r="F113" s="297"/>
    </row>
    <row r="114" spans="1:6" ht="72" customHeight="1" x14ac:dyDescent="0.25">
      <c r="A114" s="522" t="s">
        <v>344</v>
      </c>
      <c r="B114" s="522"/>
      <c r="C114" s="522"/>
      <c r="D114" s="522"/>
      <c r="E114" s="522"/>
      <c r="F114" s="522"/>
    </row>
    <row r="115" spans="1:6" x14ac:dyDescent="0.25">
      <c r="A115" s="153" t="s">
        <v>197</v>
      </c>
      <c r="B115" s="153"/>
      <c r="C115" s="153"/>
      <c r="D115" s="153"/>
      <c r="E115" s="153"/>
      <c r="F115" s="297"/>
    </row>
    <row r="116" spans="1:6" x14ac:dyDescent="0.25">
      <c r="A116" s="296" t="s">
        <v>334</v>
      </c>
      <c r="B116" s="153"/>
      <c r="C116" s="153"/>
      <c r="D116" s="303"/>
      <c r="E116" s="153"/>
      <c r="F116" s="297"/>
    </row>
    <row r="117" spans="1:6" x14ac:dyDescent="0.25">
      <c r="A117" s="125"/>
      <c r="B117" s="296"/>
      <c r="C117" s="296"/>
      <c r="D117" s="296"/>
      <c r="E117" s="296"/>
      <c r="F117" s="180"/>
    </row>
  </sheetData>
  <mergeCells count="45">
    <mergeCell ref="G81:L81"/>
    <mergeCell ref="G82:L82"/>
    <mergeCell ref="G83:L83"/>
    <mergeCell ref="A89:D89"/>
    <mergeCell ref="A90:D90"/>
    <mergeCell ref="A94:F94"/>
    <mergeCell ref="A99:F99"/>
    <mergeCell ref="A101:C101"/>
    <mergeCell ref="A111:F111"/>
    <mergeCell ref="A114:F114"/>
    <mergeCell ref="D51:E51"/>
    <mergeCell ref="D53:F53"/>
    <mergeCell ref="A91:D91"/>
    <mergeCell ref="D59:F59"/>
    <mergeCell ref="D60:F60"/>
    <mergeCell ref="D61:F61"/>
    <mergeCell ref="A66:E66"/>
    <mergeCell ref="A69:E69"/>
    <mergeCell ref="A76:E76"/>
    <mergeCell ref="A32:F32"/>
    <mergeCell ref="A33:F33"/>
    <mergeCell ref="A34:C34"/>
    <mergeCell ref="B40:C40"/>
    <mergeCell ref="A44:F44"/>
    <mergeCell ref="F15:F16"/>
    <mergeCell ref="G15:H15"/>
    <mergeCell ref="I15:I16"/>
    <mergeCell ref="J15:K15"/>
    <mergeCell ref="C27:C29"/>
    <mergeCell ref="E27:E29"/>
    <mergeCell ref="A15:A16"/>
    <mergeCell ref="B15:B16"/>
    <mergeCell ref="C15:C16"/>
    <mergeCell ref="D15:D16"/>
    <mergeCell ref="E15:E16"/>
    <mergeCell ref="A9:F9"/>
    <mergeCell ref="A10:F10"/>
    <mergeCell ref="A11:F11"/>
    <mergeCell ref="A12:F12"/>
    <mergeCell ref="A13:F13"/>
    <mergeCell ref="D1:F1"/>
    <mergeCell ref="A3:F3"/>
    <mergeCell ref="A4:F4"/>
    <mergeCell ref="A6:F6"/>
    <mergeCell ref="A7:F7"/>
  </mergeCells>
  <pageMargins left="0.7" right="0.7" top="0.75" bottom="0.75" header="0.3" footer="0.3"/>
  <pageSetup paperSize="9" scale="47" orientation="portrait" r:id="rId1"/>
  <rowBreaks count="1" manualBreakCount="1">
    <brk id="69" max="10" man="1"/>
  </rowBreaks>
  <colBreaks count="1" manualBreakCount="1">
    <brk id="11" max="8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4"/>
  <sheetViews>
    <sheetView view="pageBreakPreview" topLeftCell="A16" zoomScale="90" zoomScaleNormal="70" zoomScaleSheetLayoutView="90" workbookViewId="0">
      <selection activeCell="H36" sqref="H36"/>
    </sheetView>
  </sheetViews>
  <sheetFormatPr defaultRowHeight="15.75" x14ac:dyDescent="0.25"/>
  <cols>
    <col min="1" max="1" width="7.5703125" style="6" customWidth="1"/>
    <col min="2" max="2" width="72.28515625" style="6" customWidth="1"/>
    <col min="3" max="3" width="16.7109375" style="7" customWidth="1"/>
    <col min="4" max="4" width="15.85546875" style="7" customWidth="1"/>
    <col min="5" max="5" width="14.5703125" style="7" customWidth="1"/>
    <col min="6" max="7" width="18.7109375" style="7" customWidth="1"/>
    <col min="8" max="8" width="20" style="7" customWidth="1"/>
    <col min="9" max="9" width="18.7109375" style="7" customWidth="1"/>
    <col min="10" max="10" width="20" style="7" customWidth="1"/>
    <col min="11" max="11" width="19.42578125" style="9" customWidth="1"/>
    <col min="12" max="12" width="17.5703125" style="6" customWidth="1"/>
    <col min="13" max="13" width="14.42578125" style="6" customWidth="1"/>
    <col min="14" max="14" width="17.85546875" style="6" customWidth="1"/>
    <col min="15" max="15" width="13.28515625" style="6" bestFit="1" customWidth="1"/>
    <col min="16" max="16" width="11.5703125" style="6" bestFit="1" customWidth="1"/>
    <col min="17" max="17" width="11.28515625" style="6" bestFit="1" customWidth="1"/>
    <col min="18" max="16384" width="9.140625" style="6"/>
  </cols>
  <sheetData>
    <row r="1" spans="1:15" s="39" customFormat="1" ht="15.75" customHeight="1" x14ac:dyDescent="0.25">
      <c r="A1" s="492" t="s">
        <v>230</v>
      </c>
      <c r="B1" s="492"/>
      <c r="C1" s="492"/>
      <c r="D1" s="32"/>
      <c r="E1" s="32"/>
      <c r="F1" s="505" t="s">
        <v>229</v>
      </c>
      <c r="G1" s="505"/>
      <c r="H1" s="505"/>
      <c r="I1" s="505"/>
      <c r="J1" s="505"/>
      <c r="K1" s="505"/>
    </row>
    <row r="2" spans="1:15" s="39" customFormat="1" ht="23.25" customHeight="1" x14ac:dyDescent="0.2">
      <c r="A2" s="492"/>
      <c r="B2" s="492"/>
      <c r="C2" s="492"/>
      <c r="D2" s="38"/>
      <c r="E2" s="38"/>
      <c r="F2" s="505"/>
      <c r="G2" s="505"/>
      <c r="H2" s="505"/>
      <c r="I2" s="505"/>
      <c r="J2" s="505"/>
      <c r="K2" s="505"/>
    </row>
    <row r="3" spans="1:15" s="39" customFormat="1" ht="22.5" customHeight="1" x14ac:dyDescent="0.25">
      <c r="A3" s="492"/>
      <c r="B3" s="492"/>
      <c r="C3" s="492"/>
      <c r="D3" s="40"/>
      <c r="E3" s="40"/>
      <c r="F3" s="505"/>
      <c r="G3" s="505"/>
      <c r="H3" s="505"/>
      <c r="I3" s="505"/>
      <c r="J3" s="505"/>
      <c r="K3" s="505"/>
    </row>
    <row r="4" spans="1:15" s="39" customFormat="1" ht="21" customHeight="1" x14ac:dyDescent="0.2">
      <c r="A4" s="492"/>
      <c r="B4" s="492"/>
      <c r="C4" s="492"/>
      <c r="D4" s="38"/>
      <c r="E4" s="38"/>
      <c r="F4" s="505"/>
      <c r="G4" s="505"/>
      <c r="H4" s="505"/>
      <c r="I4" s="505"/>
      <c r="J4" s="505"/>
      <c r="K4" s="505"/>
    </row>
    <row r="5" spans="1:15" s="39" customFormat="1" ht="33.75" customHeight="1" x14ac:dyDescent="0.2">
      <c r="A5" s="492"/>
      <c r="B5" s="492"/>
      <c r="C5" s="492"/>
      <c r="D5" s="38"/>
      <c r="E5" s="38"/>
      <c r="F5" s="505"/>
      <c r="G5" s="505"/>
      <c r="H5" s="505"/>
      <c r="I5" s="505"/>
      <c r="J5" s="505"/>
      <c r="K5" s="505"/>
    </row>
    <row r="6" spans="1:15" s="39" customFormat="1" ht="19.5" customHeight="1" x14ac:dyDescent="0.2">
      <c r="A6" s="41"/>
      <c r="B6" s="41"/>
      <c r="C6" s="41"/>
      <c r="D6" s="38"/>
      <c r="E6" s="38"/>
      <c r="F6" s="28"/>
      <c r="G6" s="28"/>
      <c r="H6" s="28"/>
      <c r="I6" s="28"/>
      <c r="J6" s="28"/>
      <c r="K6" s="28"/>
    </row>
    <row r="7" spans="1:15" s="30" customFormat="1" ht="37.5" customHeight="1" x14ac:dyDescent="0.25">
      <c r="A7" s="494" t="s">
        <v>124</v>
      </c>
      <c r="B7" s="495"/>
      <c r="C7" s="495"/>
      <c r="D7" s="495"/>
      <c r="E7" s="495"/>
      <c r="F7" s="495"/>
      <c r="G7" s="495"/>
      <c r="H7" s="495"/>
      <c r="I7" s="495"/>
      <c r="J7" s="495"/>
      <c r="K7" s="496"/>
    </row>
    <row r="8" spans="1:15" ht="18" customHeight="1" x14ac:dyDescent="0.25">
      <c r="A8" s="353"/>
      <c r="B8" s="507"/>
      <c r="C8" s="507"/>
      <c r="D8" s="507"/>
      <c r="E8" s="507"/>
      <c r="F8" s="507"/>
      <c r="G8" s="507"/>
      <c r="H8" s="507"/>
      <c r="I8" s="507"/>
      <c r="J8" s="507"/>
      <c r="K8" s="507"/>
    </row>
    <row r="9" spans="1:15" ht="23.25" customHeight="1" x14ac:dyDescent="0.25">
      <c r="H9" s="121">
        <v>1.0780000000000001</v>
      </c>
      <c r="I9" s="121"/>
      <c r="J9" s="121">
        <v>1.0529999999999999</v>
      </c>
      <c r="K9" s="26" t="s">
        <v>9</v>
      </c>
      <c r="O9" s="508"/>
    </row>
    <row r="10" spans="1:15" ht="138" customHeight="1" x14ac:dyDescent="0.25">
      <c r="A10" s="1" t="s">
        <v>0</v>
      </c>
      <c r="B10" s="2" t="s">
        <v>1</v>
      </c>
      <c r="C10" s="5" t="s">
        <v>233</v>
      </c>
      <c r="D10" s="5" t="s">
        <v>6</v>
      </c>
      <c r="E10" s="5" t="s">
        <v>10</v>
      </c>
      <c r="F10" s="5" t="s">
        <v>241</v>
      </c>
      <c r="G10" s="5" t="s">
        <v>234</v>
      </c>
      <c r="H10" s="327" t="s">
        <v>175</v>
      </c>
      <c r="I10" s="5" t="s">
        <v>242</v>
      </c>
      <c r="J10" s="327" t="s">
        <v>246</v>
      </c>
      <c r="K10" s="328" t="s">
        <v>381</v>
      </c>
      <c r="O10" s="508"/>
    </row>
    <row r="11" spans="1:15" ht="18" customHeight="1" x14ac:dyDescent="0.25">
      <c r="A11" s="11">
        <v>1</v>
      </c>
      <c r="B11" s="11">
        <v>2</v>
      </c>
      <c r="C11" s="11">
        <v>3</v>
      </c>
      <c r="D11" s="11">
        <v>4</v>
      </c>
      <c r="E11" s="11">
        <v>5</v>
      </c>
      <c r="F11" s="11">
        <v>6</v>
      </c>
      <c r="G11" s="11">
        <v>7</v>
      </c>
      <c r="H11" s="211">
        <v>8</v>
      </c>
      <c r="I11" s="11">
        <v>9</v>
      </c>
      <c r="J11" s="211">
        <v>10</v>
      </c>
      <c r="K11" s="11">
        <v>11</v>
      </c>
    </row>
    <row r="12" spans="1:15" ht="22.5" customHeight="1" x14ac:dyDescent="0.25">
      <c r="A12" s="43"/>
      <c r="B12" s="20" t="s">
        <v>2</v>
      </c>
      <c r="C12" s="14"/>
      <c r="D12" s="14"/>
      <c r="E12" s="14"/>
      <c r="F12" s="329"/>
      <c r="G12" s="329"/>
      <c r="H12" s="212"/>
      <c r="I12" s="14"/>
      <c r="J12" s="212"/>
      <c r="K12" s="31"/>
    </row>
    <row r="13" spans="1:15" ht="35.25" customHeight="1" x14ac:dyDescent="0.25">
      <c r="A13" s="11">
        <v>1</v>
      </c>
      <c r="B13" s="10" t="s">
        <v>161</v>
      </c>
      <c r="C13" s="14">
        <v>148.22</v>
      </c>
      <c r="D13" s="329"/>
      <c r="E13" s="329"/>
      <c r="F13" s="329"/>
      <c r="G13" s="14">
        <f>C13</f>
        <v>148.22</v>
      </c>
      <c r="H13" s="212">
        <f>G13*H9</f>
        <v>159.78</v>
      </c>
      <c r="I13" s="14">
        <v>0</v>
      </c>
      <c r="J13" s="212">
        <v>0</v>
      </c>
      <c r="K13" s="27">
        <f t="shared" ref="K13:K25" si="0">H13+J13</f>
        <v>159.78</v>
      </c>
    </row>
    <row r="14" spans="1:15" ht="33" customHeight="1" x14ac:dyDescent="0.25">
      <c r="A14" s="11">
        <v>2</v>
      </c>
      <c r="B14" s="10" t="s">
        <v>231</v>
      </c>
      <c r="C14" s="14">
        <v>108.42</v>
      </c>
      <c r="D14" s="329"/>
      <c r="E14" s="329"/>
      <c r="F14" s="329"/>
      <c r="G14" s="14">
        <f>C14</f>
        <v>108.42</v>
      </c>
      <c r="H14" s="212">
        <f>G14*H9</f>
        <v>116.88</v>
      </c>
      <c r="I14" s="14">
        <v>0</v>
      </c>
      <c r="J14" s="212">
        <v>0</v>
      </c>
      <c r="K14" s="27">
        <f t="shared" si="0"/>
        <v>116.88</v>
      </c>
    </row>
    <row r="15" spans="1:15" ht="24" customHeight="1" x14ac:dyDescent="0.25">
      <c r="A15" s="11">
        <v>3</v>
      </c>
      <c r="B15" s="10" t="s">
        <v>386</v>
      </c>
      <c r="C15" s="83">
        <v>9738.98</v>
      </c>
      <c r="D15" s="84"/>
      <c r="E15" s="84"/>
      <c r="F15" s="84"/>
      <c r="G15" s="84"/>
      <c r="H15" s="215"/>
      <c r="I15" s="4">
        <f t="shared" ref="I15:I22" si="1">C15-G15</f>
        <v>9738.98</v>
      </c>
      <c r="J15" s="215">
        <f>I15*H9*J9</f>
        <v>11055.05</v>
      </c>
      <c r="K15" s="27">
        <f t="shared" si="0"/>
        <v>11055.05</v>
      </c>
    </row>
    <row r="16" spans="1:15" ht="24" customHeight="1" x14ac:dyDescent="0.25">
      <c r="A16" s="11">
        <v>5</v>
      </c>
      <c r="B16" s="10" t="s">
        <v>387</v>
      </c>
      <c r="C16" s="83">
        <v>-1248.6400000000001</v>
      </c>
      <c r="D16" s="84"/>
      <c r="E16" s="84"/>
      <c r="F16" s="84"/>
      <c r="G16" s="84"/>
      <c r="H16" s="215"/>
      <c r="I16" s="4">
        <f t="shared" si="1"/>
        <v>-1248.6400000000001</v>
      </c>
      <c r="J16" s="215">
        <f>I16*H9*J9</f>
        <v>-1417.37</v>
      </c>
      <c r="K16" s="27">
        <f>H16+J16</f>
        <v>-1417.37</v>
      </c>
    </row>
    <row r="17" spans="1:14" ht="24" customHeight="1" x14ac:dyDescent="0.25">
      <c r="A17" s="11">
        <v>4</v>
      </c>
      <c r="B17" s="10" t="s">
        <v>391</v>
      </c>
      <c r="C17" s="83">
        <v>15660.11</v>
      </c>
      <c r="D17" s="84"/>
      <c r="E17" s="84"/>
      <c r="F17" s="84"/>
      <c r="G17" s="84"/>
      <c r="H17" s="215"/>
      <c r="I17" s="4">
        <f t="shared" si="1"/>
        <v>15660.11</v>
      </c>
      <c r="J17" s="215">
        <f>I17*J9</f>
        <v>16490.099999999999</v>
      </c>
      <c r="K17" s="4">
        <f t="shared" si="0"/>
        <v>16490.099999999999</v>
      </c>
    </row>
    <row r="18" spans="1:14" ht="24" customHeight="1" x14ac:dyDescent="0.25">
      <c r="A18" s="11">
        <v>6</v>
      </c>
      <c r="B18" s="10" t="s">
        <v>155</v>
      </c>
      <c r="C18" s="83">
        <v>341.96</v>
      </c>
      <c r="D18" s="84"/>
      <c r="E18" s="84"/>
      <c r="F18" s="84"/>
      <c r="G18" s="84"/>
      <c r="H18" s="215"/>
      <c r="I18" s="4">
        <f t="shared" si="1"/>
        <v>341.96</v>
      </c>
      <c r="J18" s="215">
        <f>I18*H9*J9</f>
        <v>388.17</v>
      </c>
      <c r="K18" s="27">
        <f t="shared" si="0"/>
        <v>388.17</v>
      </c>
    </row>
    <row r="19" spans="1:14" ht="20.25" customHeight="1" x14ac:dyDescent="0.25">
      <c r="A19" s="11">
        <v>7</v>
      </c>
      <c r="B19" s="10" t="s">
        <v>156</v>
      </c>
      <c r="C19" s="83">
        <v>800.27</v>
      </c>
      <c r="D19" s="84"/>
      <c r="E19" s="84"/>
      <c r="F19" s="84"/>
      <c r="G19" s="84"/>
      <c r="H19" s="215"/>
      <c r="I19" s="4">
        <f t="shared" si="1"/>
        <v>800.27</v>
      </c>
      <c r="J19" s="215">
        <f>I19*H9*J9</f>
        <v>908.41</v>
      </c>
      <c r="K19" s="27">
        <f t="shared" si="0"/>
        <v>908.41</v>
      </c>
    </row>
    <row r="20" spans="1:14" ht="21" customHeight="1" x14ac:dyDescent="0.25">
      <c r="A20" s="11">
        <v>8</v>
      </c>
      <c r="B20" s="10" t="s">
        <v>88</v>
      </c>
      <c r="C20" s="83">
        <v>1477.68</v>
      </c>
      <c r="D20" s="84"/>
      <c r="E20" s="84"/>
      <c r="F20" s="84"/>
      <c r="G20" s="84"/>
      <c r="H20" s="215"/>
      <c r="I20" s="4">
        <f t="shared" si="1"/>
        <v>1477.68</v>
      </c>
      <c r="J20" s="215">
        <f>I20*H9*J9</f>
        <v>1677.36</v>
      </c>
      <c r="K20" s="27">
        <f t="shared" si="0"/>
        <v>1677.36</v>
      </c>
    </row>
    <row r="21" spans="1:14" ht="23.25" customHeight="1" x14ac:dyDescent="0.25">
      <c r="A21" s="11">
        <v>9</v>
      </c>
      <c r="B21" s="10" t="s">
        <v>157</v>
      </c>
      <c r="C21" s="83">
        <v>1856.45</v>
      </c>
      <c r="D21" s="84"/>
      <c r="E21" s="84"/>
      <c r="F21" s="84"/>
      <c r="G21" s="84"/>
      <c r="H21" s="215"/>
      <c r="I21" s="4">
        <f t="shared" si="1"/>
        <v>1856.45</v>
      </c>
      <c r="J21" s="215">
        <f>I21*H9*J9</f>
        <v>2107.3200000000002</v>
      </c>
      <c r="K21" s="27">
        <f t="shared" si="0"/>
        <v>2107.3200000000002</v>
      </c>
    </row>
    <row r="22" spans="1:14" ht="30.75" customHeight="1" x14ac:dyDescent="0.25">
      <c r="A22" s="11">
        <v>10</v>
      </c>
      <c r="B22" s="10" t="s">
        <v>389</v>
      </c>
      <c r="C22" s="83">
        <f>169.25-14.99</f>
        <v>154.26</v>
      </c>
      <c r="D22" s="84"/>
      <c r="E22" s="84"/>
      <c r="F22" s="84"/>
      <c r="G22" s="4">
        <f>(G13+G14)*0.012</f>
        <v>3.08</v>
      </c>
      <c r="H22" s="215">
        <f>G22*H9</f>
        <v>3.32</v>
      </c>
      <c r="I22" s="4">
        <f t="shared" si="1"/>
        <v>151.18</v>
      </c>
      <c r="J22" s="215">
        <f>I22*H9*J9</f>
        <v>171.61</v>
      </c>
      <c r="K22" s="27">
        <f>H22+J22</f>
        <v>174.93</v>
      </c>
    </row>
    <row r="23" spans="1:14" ht="33" customHeight="1" x14ac:dyDescent="0.25">
      <c r="A23" s="11">
        <v>12</v>
      </c>
      <c r="B23" s="10" t="s">
        <v>392</v>
      </c>
      <c r="C23" s="83">
        <v>187.92</v>
      </c>
      <c r="D23" s="84"/>
      <c r="E23" s="84"/>
      <c r="F23" s="84"/>
      <c r="G23" s="4"/>
      <c r="H23" s="215"/>
      <c r="I23" s="4">
        <f>C23</f>
        <v>187.92</v>
      </c>
      <c r="J23" s="215">
        <f>I23*J9</f>
        <v>197.88</v>
      </c>
      <c r="K23" s="27">
        <f>J23</f>
        <v>197.88</v>
      </c>
    </row>
    <row r="24" spans="1:14" ht="33.75" customHeight="1" x14ac:dyDescent="0.25">
      <c r="A24" s="11">
        <v>13</v>
      </c>
      <c r="B24" s="10" t="s">
        <v>171</v>
      </c>
      <c r="C24" s="83">
        <v>0.59</v>
      </c>
      <c r="D24" s="84"/>
      <c r="E24" s="84"/>
      <c r="F24" s="84"/>
      <c r="G24" s="84"/>
      <c r="H24" s="215"/>
      <c r="I24" s="4">
        <f>C24-G24</f>
        <v>0.59</v>
      </c>
      <c r="J24" s="215">
        <f>I24*H9*J9</f>
        <v>0.67</v>
      </c>
      <c r="K24" s="27">
        <f t="shared" si="0"/>
        <v>0.67</v>
      </c>
      <c r="L24" s="6">
        <f>H26*0.02</f>
        <v>5.5995999999999997</v>
      </c>
    </row>
    <row r="25" spans="1:14" ht="26.25" customHeight="1" x14ac:dyDescent="0.25">
      <c r="A25" s="11">
        <v>14</v>
      </c>
      <c r="B25" s="10" t="s">
        <v>158</v>
      </c>
      <c r="C25" s="83">
        <v>7.0000000000000007E-2</v>
      </c>
      <c r="D25" s="84"/>
      <c r="E25" s="84"/>
      <c r="F25" s="84"/>
      <c r="G25" s="84"/>
      <c r="H25" s="215"/>
      <c r="I25" s="4">
        <f>C25-G25</f>
        <v>7.0000000000000007E-2</v>
      </c>
      <c r="J25" s="215">
        <f>I25*H9*J9</f>
        <v>0.08</v>
      </c>
      <c r="K25" s="27">
        <f t="shared" si="0"/>
        <v>0.08</v>
      </c>
      <c r="M25" s="9">
        <f>SUM(K13:K25)</f>
        <v>31859.26</v>
      </c>
    </row>
    <row r="26" spans="1:14" ht="19.5" customHeight="1" x14ac:dyDescent="0.25">
      <c r="A26" s="11"/>
      <c r="B26" s="20" t="s">
        <v>359</v>
      </c>
      <c r="C26" s="3">
        <f>ROUND(SUM(C13:C25),2)</f>
        <v>29226.29</v>
      </c>
      <c r="D26" s="3">
        <v>0</v>
      </c>
      <c r="E26" s="3">
        <v>0</v>
      </c>
      <c r="F26" s="3">
        <f>C26-D26</f>
        <v>29226.29</v>
      </c>
      <c r="G26" s="3">
        <f>SUM(G13:G25)</f>
        <v>259.72000000000003</v>
      </c>
      <c r="H26" s="207">
        <f>SUM(H13:H25)</f>
        <v>279.98</v>
      </c>
      <c r="I26" s="3">
        <f t="shared" ref="I26:I36" si="2">F26-G26</f>
        <v>28966.57</v>
      </c>
      <c r="J26" s="207">
        <f>SUM(J13:J25)</f>
        <v>31579.279999999999</v>
      </c>
      <c r="K26" s="344">
        <f t="shared" ref="K26:K36" si="3">H26+J26</f>
        <v>31859.26</v>
      </c>
      <c r="L26" s="9">
        <f>SUM(I13:I25)</f>
        <v>28966.57</v>
      </c>
      <c r="M26" s="9">
        <f>L26-I26</f>
        <v>0</v>
      </c>
      <c r="N26" s="9">
        <f>SUM(C13:C25)</f>
        <v>29226.29</v>
      </c>
    </row>
    <row r="27" spans="1:14" ht="22.5" customHeight="1" x14ac:dyDescent="0.25">
      <c r="A27" s="11">
        <v>15</v>
      </c>
      <c r="B27" s="12" t="s">
        <v>388</v>
      </c>
      <c r="C27" s="83">
        <f>(C26-C17-C23)*0.02</f>
        <v>267.57</v>
      </c>
      <c r="D27" s="83">
        <f>(D26-D15)*2%</f>
        <v>0</v>
      </c>
      <c r="E27" s="83">
        <v>0</v>
      </c>
      <c r="F27" s="4">
        <f>C27-D27</f>
        <v>267.57</v>
      </c>
      <c r="G27" s="4">
        <f>(G26)*0.02</f>
        <v>5.19</v>
      </c>
      <c r="H27" s="215">
        <f>ROUND(H26*0.02,2)</f>
        <v>5.6</v>
      </c>
      <c r="I27" s="4">
        <f t="shared" si="2"/>
        <v>262.38</v>
      </c>
      <c r="J27" s="215">
        <f>I27*H9*J9</f>
        <v>297.83999999999997</v>
      </c>
      <c r="K27" s="27">
        <f t="shared" si="3"/>
        <v>303.44</v>
      </c>
      <c r="L27" s="6">
        <f>F27*H9</f>
        <v>288.44045999999997</v>
      </c>
    </row>
    <row r="28" spans="1:14" ht="22.5" customHeight="1" x14ac:dyDescent="0.25">
      <c r="A28" s="11">
        <v>16</v>
      </c>
      <c r="B28" s="12" t="s">
        <v>393</v>
      </c>
      <c r="C28" s="83">
        <f>(C17+C23)*0.02</f>
        <v>316.95999999999998</v>
      </c>
      <c r="D28" s="83">
        <f>(D27-D17)*2%</f>
        <v>0</v>
      </c>
      <c r="E28" s="83">
        <v>0</v>
      </c>
      <c r="F28" s="4">
        <f>C28-D28</f>
        <v>316.95999999999998</v>
      </c>
      <c r="G28" s="4">
        <v>0</v>
      </c>
      <c r="H28" s="215">
        <v>0</v>
      </c>
      <c r="I28" s="4">
        <f t="shared" si="2"/>
        <v>316.95999999999998</v>
      </c>
      <c r="J28" s="215">
        <f>I28*J9</f>
        <v>333.76</v>
      </c>
      <c r="K28" s="27">
        <f t="shared" si="3"/>
        <v>333.76</v>
      </c>
    </row>
    <row r="29" spans="1:14" s="205" customFormat="1" ht="21.75" customHeight="1" x14ac:dyDescent="0.25">
      <c r="A29" s="211"/>
      <c r="B29" s="202" t="s">
        <v>374</v>
      </c>
      <c r="C29" s="207">
        <f>ROUND(C26+C27+C28,2)</f>
        <v>29810.82</v>
      </c>
      <c r="D29" s="207">
        <f>D26+D27</f>
        <v>0</v>
      </c>
      <c r="E29" s="207">
        <v>0</v>
      </c>
      <c r="F29" s="207">
        <f>C29-D29</f>
        <v>29810.82</v>
      </c>
      <c r="G29" s="207">
        <f>G26+G27+G28</f>
        <v>264.91000000000003</v>
      </c>
      <c r="H29" s="207">
        <f>H26+H27+H28</f>
        <v>285.58</v>
      </c>
      <c r="I29" s="207">
        <f t="shared" si="2"/>
        <v>29545.91</v>
      </c>
      <c r="J29" s="207">
        <f>J26+J27+J28</f>
        <v>32210.880000000001</v>
      </c>
      <c r="K29" s="345">
        <f t="shared" si="3"/>
        <v>32496.46</v>
      </c>
    </row>
    <row r="30" spans="1:14" ht="18.75" customHeight="1" x14ac:dyDescent="0.25">
      <c r="A30" s="11">
        <v>17</v>
      </c>
      <c r="B30" s="10" t="s">
        <v>159</v>
      </c>
      <c r="C30" s="83">
        <v>1813.5</v>
      </c>
      <c r="D30" s="83">
        <f>(D29-D19)*2%</f>
        <v>0</v>
      </c>
      <c r="E30" s="83">
        <f>(E29-E19)*2%</f>
        <v>0</v>
      </c>
      <c r="F30" s="83">
        <f>C30</f>
        <v>1813.5</v>
      </c>
      <c r="G30" s="83">
        <f>F30</f>
        <v>1813.5</v>
      </c>
      <c r="H30" s="215">
        <f>G30*H9</f>
        <v>1954.95</v>
      </c>
      <c r="I30" s="4">
        <f t="shared" si="2"/>
        <v>0</v>
      </c>
      <c r="J30" s="215">
        <v>0</v>
      </c>
      <c r="K30" s="27">
        <f t="shared" si="3"/>
        <v>1954.95</v>
      </c>
      <c r="L30" s="6">
        <f>J33*0.2</f>
        <v>6442.1760000000004</v>
      </c>
    </row>
    <row r="31" spans="1:14" s="205" customFormat="1" x14ac:dyDescent="0.25">
      <c r="A31" s="211"/>
      <c r="B31" s="202" t="s">
        <v>375</v>
      </c>
      <c r="C31" s="207">
        <f>C30</f>
        <v>1813.5</v>
      </c>
      <c r="D31" s="207">
        <v>0</v>
      </c>
      <c r="E31" s="207">
        <v>0</v>
      </c>
      <c r="F31" s="207">
        <f>C31</f>
        <v>1813.5</v>
      </c>
      <c r="G31" s="207">
        <f>G30</f>
        <v>1813.5</v>
      </c>
      <c r="H31" s="207">
        <f>H30</f>
        <v>1954.95</v>
      </c>
      <c r="I31" s="207">
        <f t="shared" si="2"/>
        <v>0</v>
      </c>
      <c r="J31" s="207">
        <f>J30</f>
        <v>0</v>
      </c>
      <c r="K31" s="345">
        <f t="shared" si="3"/>
        <v>1954.95</v>
      </c>
    </row>
    <row r="32" spans="1:14" s="205" customFormat="1" x14ac:dyDescent="0.25">
      <c r="A32" s="211"/>
      <c r="B32" s="202" t="s">
        <v>376</v>
      </c>
      <c r="C32" s="207">
        <f>C29+C31</f>
        <v>31624.32</v>
      </c>
      <c r="D32" s="207">
        <v>0</v>
      </c>
      <c r="E32" s="207">
        <v>0</v>
      </c>
      <c r="F32" s="207">
        <f>F29+F31</f>
        <v>31624.32</v>
      </c>
      <c r="G32" s="207">
        <f>G29+G31</f>
        <v>2078.41</v>
      </c>
      <c r="H32" s="207">
        <f>H29+H31</f>
        <v>2240.5300000000002</v>
      </c>
      <c r="I32" s="207">
        <f t="shared" si="2"/>
        <v>29545.91</v>
      </c>
      <c r="J32" s="207">
        <f>J29+J31</f>
        <v>32210.880000000001</v>
      </c>
      <c r="K32" s="345">
        <f t="shared" si="3"/>
        <v>34451.410000000003</v>
      </c>
      <c r="L32" s="208">
        <f>K29+K31</f>
        <v>34451.410000000003</v>
      </c>
    </row>
    <row r="33" spans="1:14" ht="24" customHeight="1" x14ac:dyDescent="0.25">
      <c r="A33" s="330"/>
      <c r="B33" s="22" t="s">
        <v>382</v>
      </c>
      <c r="C33" s="218">
        <f>(C32-C30)</f>
        <v>29810.82</v>
      </c>
      <c r="D33" s="218">
        <f>D29</f>
        <v>0</v>
      </c>
      <c r="E33" s="218">
        <f>E29</f>
        <v>0</v>
      </c>
      <c r="F33" s="13">
        <f>C33-D33</f>
        <v>29810.82</v>
      </c>
      <c r="G33" s="13">
        <f>G32-G30</f>
        <v>264.91000000000003</v>
      </c>
      <c r="H33" s="331">
        <f>H32-H30</f>
        <v>285.58</v>
      </c>
      <c r="I33" s="3">
        <f t="shared" si="2"/>
        <v>29545.91</v>
      </c>
      <c r="J33" s="331">
        <f>J32</f>
        <v>32210.880000000001</v>
      </c>
      <c r="K33" s="346">
        <f t="shared" si="3"/>
        <v>32496.46</v>
      </c>
      <c r="L33" s="6">
        <f>F33*H9</f>
        <v>32136.063959999999</v>
      </c>
      <c r="N33" s="16">
        <f>H29+H31+H34</f>
        <v>2297.65</v>
      </c>
    </row>
    <row r="34" spans="1:14" ht="20.25" customHeight="1" x14ac:dyDescent="0.25">
      <c r="A34" s="11"/>
      <c r="B34" s="12" t="s">
        <v>390</v>
      </c>
      <c r="C34" s="83">
        <f>(C29-C17-C23-C28)*0.2-0.01</f>
        <v>2729.16</v>
      </c>
      <c r="D34" s="83">
        <v>0</v>
      </c>
      <c r="E34" s="83">
        <v>0</v>
      </c>
      <c r="F34" s="4">
        <f>C34-D34</f>
        <v>2729.16</v>
      </c>
      <c r="G34" s="4">
        <f>ROUND(G33*20%,2)</f>
        <v>52.98</v>
      </c>
      <c r="H34" s="215">
        <f>ROUND(H33*20%,2)</f>
        <v>57.12</v>
      </c>
      <c r="I34" s="4">
        <f>F34-G34</f>
        <v>2676.18</v>
      </c>
      <c r="J34" s="215">
        <f>I34*H9*J9</f>
        <v>3037.82</v>
      </c>
      <c r="K34" s="27">
        <f>H34+J34</f>
        <v>3094.94</v>
      </c>
      <c r="L34" s="6">
        <f>C33*0.2</f>
        <v>5962.1639999999998</v>
      </c>
      <c r="M34" s="16">
        <f>G32+G34</f>
        <v>2131.39</v>
      </c>
    </row>
    <row r="35" spans="1:14" ht="20.25" customHeight="1" x14ac:dyDescent="0.25">
      <c r="A35" s="11"/>
      <c r="B35" s="12" t="s">
        <v>394</v>
      </c>
      <c r="C35" s="83">
        <f>(C17+C23+C28)*0.2</f>
        <v>3233</v>
      </c>
      <c r="D35" s="83">
        <v>0</v>
      </c>
      <c r="E35" s="83">
        <v>0</v>
      </c>
      <c r="F35" s="4">
        <f>C35-D35</f>
        <v>3233</v>
      </c>
      <c r="G35" s="4">
        <v>0</v>
      </c>
      <c r="H35" s="215">
        <v>0</v>
      </c>
      <c r="I35" s="4">
        <f t="shared" si="2"/>
        <v>3233</v>
      </c>
      <c r="J35" s="215">
        <f>I35*J9</f>
        <v>3404.35</v>
      </c>
      <c r="K35" s="27">
        <f t="shared" si="3"/>
        <v>3404.35</v>
      </c>
      <c r="L35" s="6">
        <f>H33*0.02</f>
        <v>5.7115999999999998</v>
      </c>
      <c r="M35" s="16"/>
    </row>
    <row r="36" spans="1:14" s="18" customFormat="1" ht="23.25" customHeight="1" x14ac:dyDescent="0.25">
      <c r="A36" s="92"/>
      <c r="B36" s="23" t="s">
        <v>3</v>
      </c>
      <c r="C36" s="90">
        <f>C32+C34+C35</f>
        <v>37586.480000000003</v>
      </c>
      <c r="D36" s="90">
        <v>0</v>
      </c>
      <c r="E36" s="90">
        <v>0</v>
      </c>
      <c r="F36" s="90">
        <f>C36-D36</f>
        <v>37586.480000000003</v>
      </c>
      <c r="G36" s="90">
        <f>G32+G34+G35</f>
        <v>2131.39</v>
      </c>
      <c r="H36" s="90">
        <f>H32+H34+H35</f>
        <v>2297.65</v>
      </c>
      <c r="I36" s="90">
        <f t="shared" si="2"/>
        <v>35455.089999999997</v>
      </c>
      <c r="J36" s="90">
        <f>J32+J34+J35</f>
        <v>38653.050000000003</v>
      </c>
      <c r="K36" s="90">
        <f t="shared" si="3"/>
        <v>40950.699999999997</v>
      </c>
      <c r="L36" s="16">
        <f>H33*0.2</f>
        <v>57.12</v>
      </c>
      <c r="M36" s="9"/>
    </row>
    <row r="37" spans="1:14" ht="21.75" customHeight="1" x14ac:dyDescent="0.25">
      <c r="A37" s="11"/>
      <c r="B37" s="21" t="s">
        <v>4</v>
      </c>
      <c r="C37" s="14"/>
      <c r="D37" s="87"/>
      <c r="E37" s="87"/>
      <c r="F37" s="87"/>
      <c r="G37" s="87"/>
      <c r="H37" s="217"/>
      <c r="I37" s="86"/>
      <c r="J37" s="217"/>
      <c r="K37" s="37"/>
      <c r="L37" s="6">
        <f>I26*0.002</f>
        <v>57.933140000000002</v>
      </c>
    </row>
    <row r="38" spans="1:14" s="30" customFormat="1" ht="24.75" customHeight="1" x14ac:dyDescent="0.25">
      <c r="A38" s="11">
        <v>1</v>
      </c>
      <c r="B38" s="10" t="s">
        <v>360</v>
      </c>
      <c r="C38" s="14">
        <v>625.44000000000005</v>
      </c>
      <c r="D38" s="79">
        <v>0</v>
      </c>
      <c r="E38" s="79">
        <f>C38-F38</f>
        <v>566.99</v>
      </c>
      <c r="F38" s="79">
        <f>F26*0.002</f>
        <v>58.45</v>
      </c>
      <c r="G38" s="79">
        <f>G26*0.002</f>
        <v>0.52</v>
      </c>
      <c r="H38" s="215">
        <f>H26*0.002</f>
        <v>0.56000000000000005</v>
      </c>
      <c r="I38" s="4">
        <f>F38-G38</f>
        <v>57.93</v>
      </c>
      <c r="J38" s="215">
        <f>J26*0.002</f>
        <v>63.16</v>
      </c>
      <c r="K38" s="27">
        <f>H38+J38</f>
        <v>63.72</v>
      </c>
      <c r="L38" s="30">
        <f>I38*H9</f>
        <v>62.448540000000001</v>
      </c>
      <c r="M38" s="30">
        <v>29.28378</v>
      </c>
    </row>
    <row r="39" spans="1:14" ht="30.75" customHeight="1" x14ac:dyDescent="0.25">
      <c r="A39" s="11">
        <v>4</v>
      </c>
      <c r="B39" s="10" t="s">
        <v>237</v>
      </c>
      <c r="C39" s="79">
        <v>581.04</v>
      </c>
      <c r="D39" s="79">
        <f>C39</f>
        <v>581.04</v>
      </c>
      <c r="E39" s="79">
        <v>0</v>
      </c>
      <c r="F39" s="79">
        <f>C39-D39</f>
        <v>0</v>
      </c>
      <c r="G39" s="79">
        <v>0</v>
      </c>
      <c r="H39" s="215">
        <f>C39-D39</f>
        <v>0</v>
      </c>
      <c r="I39" s="4">
        <f t="shared" ref="I39:I44" si="4">F39-G39</f>
        <v>0</v>
      </c>
      <c r="J39" s="215">
        <v>0</v>
      </c>
      <c r="K39" s="27">
        <f t="shared" ref="K39:K49" si="5">H39+J39</f>
        <v>0</v>
      </c>
      <c r="L39" s="9" t="e">
        <f>C38+#REF!+#REF!+C30</f>
        <v>#REF!</v>
      </c>
      <c r="M39" s="6">
        <f>H26*0.2%</f>
        <v>0.55996000000000001</v>
      </c>
    </row>
    <row r="40" spans="1:14" ht="23.25" customHeight="1" x14ac:dyDescent="0.25">
      <c r="A40" s="11">
        <v>5</v>
      </c>
      <c r="B40" s="10" t="s">
        <v>172</v>
      </c>
      <c r="C40" s="83">
        <v>1197</v>
      </c>
      <c r="D40" s="4">
        <f>C40</f>
        <v>1197</v>
      </c>
      <c r="E40" s="4">
        <v>0</v>
      </c>
      <c r="F40" s="4">
        <v>0</v>
      </c>
      <c r="G40" s="4">
        <v>0</v>
      </c>
      <c r="H40" s="215">
        <v>0</v>
      </c>
      <c r="I40" s="4">
        <f t="shared" si="4"/>
        <v>0</v>
      </c>
      <c r="J40" s="215">
        <v>0</v>
      </c>
      <c r="K40" s="27">
        <f t="shared" si="5"/>
        <v>0</v>
      </c>
      <c r="L40" s="6" t="e">
        <f>L39*0.2</f>
        <v>#REF!</v>
      </c>
    </row>
    <row r="41" spans="1:14" ht="34.5" customHeight="1" x14ac:dyDescent="0.25">
      <c r="A41" s="11">
        <v>6</v>
      </c>
      <c r="B41" s="10" t="s">
        <v>364</v>
      </c>
      <c r="C41" s="83">
        <v>610.41</v>
      </c>
      <c r="D41" s="4">
        <f>C41</f>
        <v>610.41</v>
      </c>
      <c r="E41" s="4">
        <v>0</v>
      </c>
      <c r="F41" s="4">
        <v>0</v>
      </c>
      <c r="G41" s="4">
        <v>0</v>
      </c>
      <c r="H41" s="215">
        <v>0</v>
      </c>
      <c r="I41" s="4">
        <f t="shared" si="4"/>
        <v>0</v>
      </c>
      <c r="J41" s="215">
        <v>0</v>
      </c>
      <c r="K41" s="27">
        <f t="shared" si="5"/>
        <v>0</v>
      </c>
      <c r="L41" s="6">
        <f>G38*H9</f>
        <v>0.56055999999999995</v>
      </c>
      <c r="M41" s="16" t="e">
        <f>C45+#REF!+C27</f>
        <v>#REF!</v>
      </c>
    </row>
    <row r="42" spans="1:14" ht="23.25" customHeight="1" x14ac:dyDescent="0.25">
      <c r="A42" s="11">
        <v>7</v>
      </c>
      <c r="B42" s="10" t="s">
        <v>395</v>
      </c>
      <c r="C42" s="83">
        <v>1500</v>
      </c>
      <c r="D42" s="4">
        <f>C42</f>
        <v>1500</v>
      </c>
      <c r="E42" s="4">
        <v>0</v>
      </c>
      <c r="F42" s="4">
        <v>0</v>
      </c>
      <c r="G42" s="4">
        <v>0</v>
      </c>
      <c r="H42" s="215">
        <v>0</v>
      </c>
      <c r="I42" s="4">
        <f t="shared" si="4"/>
        <v>0</v>
      </c>
      <c r="J42" s="215">
        <v>0</v>
      </c>
      <c r="K42" s="27">
        <f t="shared" si="5"/>
        <v>0</v>
      </c>
      <c r="M42" s="16"/>
    </row>
    <row r="43" spans="1:14" ht="38.25" customHeight="1" x14ac:dyDescent="0.25">
      <c r="A43" s="11">
        <v>9</v>
      </c>
      <c r="B43" s="10" t="s">
        <v>396</v>
      </c>
      <c r="C43" s="83">
        <v>200.35</v>
      </c>
      <c r="D43" s="4">
        <f>C43</f>
        <v>200.35</v>
      </c>
      <c r="E43" s="4">
        <v>0</v>
      </c>
      <c r="F43" s="4">
        <v>0</v>
      </c>
      <c r="G43" s="4">
        <v>0</v>
      </c>
      <c r="H43" s="215">
        <v>0</v>
      </c>
      <c r="I43" s="4">
        <f t="shared" si="4"/>
        <v>0</v>
      </c>
      <c r="J43" s="215">
        <v>0</v>
      </c>
      <c r="K43" s="27">
        <f t="shared" si="5"/>
        <v>0</v>
      </c>
    </row>
    <row r="44" spans="1:14" ht="21" customHeight="1" x14ac:dyDescent="0.25">
      <c r="A44" s="11"/>
      <c r="B44" s="20" t="s">
        <v>365</v>
      </c>
      <c r="C44" s="3">
        <f>ROUND(SUM(C38:C43),2)</f>
        <v>4714.24</v>
      </c>
      <c r="D44" s="3">
        <f>SUM(D38:D43)</f>
        <v>4088.8</v>
      </c>
      <c r="E44" s="3">
        <f>SUM(E38:E43)</f>
        <v>566.99</v>
      </c>
      <c r="F44" s="3">
        <f>C44-D44-E44</f>
        <v>58.45</v>
      </c>
      <c r="G44" s="3">
        <f>SUM(G38:G43)</f>
        <v>0.52</v>
      </c>
      <c r="H44" s="207">
        <f>SUM(H38:H43)</f>
        <v>0.56000000000000005</v>
      </c>
      <c r="I44" s="3">
        <f t="shared" si="4"/>
        <v>57.93</v>
      </c>
      <c r="J44" s="207">
        <f>SUM(J38:J43)</f>
        <v>63.16</v>
      </c>
      <c r="K44" s="344">
        <f>H44+J44</f>
        <v>63.72</v>
      </c>
      <c r="L44" s="16"/>
      <c r="M44" s="16">
        <f>C26+C31+C44</f>
        <v>35754.03</v>
      </c>
    </row>
    <row r="45" spans="1:14" ht="22.5" customHeight="1" x14ac:dyDescent="0.25">
      <c r="A45" s="11" t="s">
        <v>366</v>
      </c>
      <c r="B45" s="12" t="s">
        <v>388</v>
      </c>
      <c r="C45" s="83">
        <f>(C38+C40+C39+C41+C30)*0.02</f>
        <v>96.55</v>
      </c>
      <c r="D45" s="83">
        <f>16/1.2+94.08/1.2+2.78/1.2</f>
        <v>94.05</v>
      </c>
      <c r="E45" s="83">
        <v>0</v>
      </c>
      <c r="F45" s="4">
        <f>C45-D45-E45</f>
        <v>2.5</v>
      </c>
      <c r="G45" s="4">
        <f>F45/2</f>
        <v>1.25</v>
      </c>
      <c r="H45" s="215">
        <f>G45*H9</f>
        <v>1.35</v>
      </c>
      <c r="I45" s="4">
        <f t="shared" ref="I45:I50" si="6">F45-G45</f>
        <v>1.25</v>
      </c>
      <c r="J45" s="215">
        <f>I45*H9*J9</f>
        <v>1.42</v>
      </c>
      <c r="K45" s="27">
        <f>H45+J45</f>
        <v>2.77</v>
      </c>
      <c r="L45" s="16"/>
      <c r="M45" s="16">
        <f>C27+C45</f>
        <v>364.12</v>
      </c>
    </row>
    <row r="46" spans="1:14" ht="22.5" customHeight="1" x14ac:dyDescent="0.25">
      <c r="A46" s="11">
        <v>11</v>
      </c>
      <c r="B46" s="12" t="s">
        <v>393</v>
      </c>
      <c r="C46" s="83">
        <f>(C42+C43)*0.02</f>
        <v>34.01</v>
      </c>
      <c r="D46" s="83">
        <f>0</f>
        <v>0</v>
      </c>
      <c r="E46" s="83">
        <v>0</v>
      </c>
      <c r="F46" s="4">
        <f>C46-D46-E46</f>
        <v>34.01</v>
      </c>
      <c r="G46" s="4">
        <f>F46/2</f>
        <v>17.010000000000002</v>
      </c>
      <c r="H46" s="215">
        <f>G46</f>
        <v>17.010000000000002</v>
      </c>
      <c r="I46" s="4">
        <f t="shared" si="6"/>
        <v>17</v>
      </c>
      <c r="J46" s="215">
        <f>I46*J9</f>
        <v>17.899999999999999</v>
      </c>
      <c r="K46" s="27">
        <f>H46+J46</f>
        <v>34.909999999999997</v>
      </c>
      <c r="L46" s="16"/>
      <c r="M46" s="16"/>
    </row>
    <row r="47" spans="1:14" s="205" customFormat="1" ht="20.25" customHeight="1" x14ac:dyDescent="0.25">
      <c r="A47" s="332"/>
      <c r="B47" s="202" t="s">
        <v>385</v>
      </c>
      <c r="C47" s="207">
        <f>ROUND(SUM(C44:C46),2)</f>
        <v>4844.8</v>
      </c>
      <c r="D47" s="207">
        <f>D44+D45</f>
        <v>4182.8500000000004</v>
      </c>
      <c r="E47" s="207">
        <f>E44+E45</f>
        <v>566.99</v>
      </c>
      <c r="F47" s="207">
        <f>F44+F45+F46</f>
        <v>94.96</v>
      </c>
      <c r="G47" s="207">
        <f>G44+G45+G46</f>
        <v>18.78</v>
      </c>
      <c r="H47" s="207">
        <f>H44+H45+H46</f>
        <v>18.920000000000002</v>
      </c>
      <c r="I47" s="207">
        <f t="shared" si="6"/>
        <v>76.180000000000007</v>
      </c>
      <c r="J47" s="207">
        <f>J44+J45+J46</f>
        <v>82.48</v>
      </c>
      <c r="K47" s="345">
        <f>H47+J47</f>
        <v>101.4</v>
      </c>
      <c r="L47" s="208">
        <f>H48*0.2</f>
        <v>3.78</v>
      </c>
      <c r="M47" s="16">
        <f>C29+C30+C47</f>
        <v>36469.120000000003</v>
      </c>
    </row>
    <row r="48" spans="1:14" ht="18" customHeight="1" x14ac:dyDescent="0.25">
      <c r="A48" s="333"/>
      <c r="B48" s="22" t="s">
        <v>373</v>
      </c>
      <c r="C48" s="13">
        <f>ROUND((C47-C42-C40),2)</f>
        <v>2147.8000000000002</v>
      </c>
      <c r="D48" s="13">
        <f>ROUND((D47-D42-D40),2)</f>
        <v>1485.85</v>
      </c>
      <c r="E48" s="13">
        <f>ROUND((E47-E42-E40),2)</f>
        <v>566.99</v>
      </c>
      <c r="F48" s="13">
        <f>ROUND((F47-F42-F40),2)</f>
        <v>94.96</v>
      </c>
      <c r="G48" s="13">
        <f>G47</f>
        <v>18.78</v>
      </c>
      <c r="H48" s="331">
        <f>H47</f>
        <v>18.920000000000002</v>
      </c>
      <c r="I48" s="218">
        <f t="shared" si="6"/>
        <v>76.180000000000007</v>
      </c>
      <c r="J48" s="331">
        <f>J47</f>
        <v>82.48</v>
      </c>
      <c r="K48" s="346">
        <f t="shared" si="5"/>
        <v>101.4</v>
      </c>
      <c r="L48" s="16">
        <f>H48*0.2</f>
        <v>3.78</v>
      </c>
      <c r="M48" s="9"/>
    </row>
    <row r="49" spans="1:16" ht="18" customHeight="1" x14ac:dyDescent="0.25">
      <c r="A49" s="43"/>
      <c r="B49" s="12" t="s">
        <v>390</v>
      </c>
      <c r="C49" s="83">
        <f>(C38+C39+C41+C45)*0.2</f>
        <v>382.69</v>
      </c>
      <c r="D49" s="83">
        <f>(D38+D39+D41+D45)*0.2</f>
        <v>257.10000000000002</v>
      </c>
      <c r="E49" s="83">
        <f>(E38+E39+E41+E45)*0.2</f>
        <v>113.4</v>
      </c>
      <c r="F49" s="83">
        <f>(F38+F39+F41+F45)*0.2</f>
        <v>12.19</v>
      </c>
      <c r="G49" s="83">
        <f>(G38+G39+G41+G45)*0.2</f>
        <v>0.35</v>
      </c>
      <c r="H49" s="215">
        <f>G49*H9</f>
        <v>0.38</v>
      </c>
      <c r="I49" s="4">
        <f t="shared" si="6"/>
        <v>11.84</v>
      </c>
      <c r="J49" s="215">
        <f>I49*H9*J9</f>
        <v>13.44</v>
      </c>
      <c r="K49" s="27">
        <f t="shared" si="5"/>
        <v>13.82</v>
      </c>
      <c r="L49" s="16">
        <f>I49*J9*H9</f>
        <v>13.44</v>
      </c>
      <c r="M49" s="9">
        <f>C34+C49</f>
        <v>3111.85</v>
      </c>
    </row>
    <row r="50" spans="1:16" ht="18" customHeight="1" x14ac:dyDescent="0.25">
      <c r="A50" s="43"/>
      <c r="B50" s="12" t="s">
        <v>394</v>
      </c>
      <c r="C50" s="83">
        <f>(C43+C46)*0.2</f>
        <v>46.87</v>
      </c>
      <c r="D50" s="83">
        <f>(D43+D46)*0.2</f>
        <v>40.07</v>
      </c>
      <c r="E50" s="83">
        <f>(E43+E46)*0.2</f>
        <v>0</v>
      </c>
      <c r="F50" s="83">
        <f>(F43+F46)*0.2</f>
        <v>6.8</v>
      </c>
      <c r="G50" s="83">
        <f>(G43+G46)*0.2</f>
        <v>3.4</v>
      </c>
      <c r="H50" s="215">
        <f>G50*H9</f>
        <v>3.67</v>
      </c>
      <c r="I50" s="4">
        <f t="shared" si="6"/>
        <v>3.4</v>
      </c>
      <c r="J50" s="215">
        <f>I50*J9</f>
        <v>3.58</v>
      </c>
      <c r="K50" s="27">
        <f>H50+J50</f>
        <v>7.25</v>
      </c>
      <c r="L50" s="16"/>
      <c r="M50" s="9"/>
    </row>
    <row r="51" spans="1:16" x14ac:dyDescent="0.25">
      <c r="A51" s="47"/>
      <c r="B51" s="23" t="s">
        <v>5</v>
      </c>
      <c r="C51" s="90">
        <f t="shared" ref="C51:J51" si="7">C47+C49+C50</f>
        <v>5274.36</v>
      </c>
      <c r="D51" s="90">
        <f t="shared" si="7"/>
        <v>4480.0200000000004</v>
      </c>
      <c r="E51" s="90">
        <f t="shared" si="7"/>
        <v>680.39</v>
      </c>
      <c r="F51" s="90">
        <f t="shared" si="7"/>
        <v>113.95</v>
      </c>
      <c r="G51" s="90">
        <f t="shared" si="7"/>
        <v>22.53</v>
      </c>
      <c r="H51" s="90">
        <f t="shared" si="7"/>
        <v>22.97</v>
      </c>
      <c r="I51" s="90">
        <f t="shared" si="7"/>
        <v>91.42</v>
      </c>
      <c r="J51" s="90">
        <f t="shared" si="7"/>
        <v>99.5</v>
      </c>
      <c r="K51" s="347">
        <f>H51+J51</f>
        <v>122.47</v>
      </c>
    </row>
    <row r="52" spans="1:16" ht="19.5" customHeight="1" x14ac:dyDescent="0.25">
      <c r="A52" s="47"/>
      <c r="B52" s="23" t="s">
        <v>8</v>
      </c>
      <c r="C52" s="90">
        <f>C36+C51</f>
        <v>42860.84</v>
      </c>
      <c r="D52" s="90">
        <f>D36+D51</f>
        <v>4480.0200000000004</v>
      </c>
      <c r="E52" s="90">
        <f>E51</f>
        <v>680.39</v>
      </c>
      <c r="F52" s="90">
        <f t="shared" ref="F52:K52" si="8">F36+F51</f>
        <v>37700.43</v>
      </c>
      <c r="G52" s="90">
        <f t="shared" si="8"/>
        <v>2153.92</v>
      </c>
      <c r="H52" s="90">
        <f t="shared" si="8"/>
        <v>2320.62</v>
      </c>
      <c r="I52" s="90">
        <f t="shared" si="8"/>
        <v>35546.51</v>
      </c>
      <c r="J52" s="90">
        <f t="shared" si="8"/>
        <v>38752.550000000003</v>
      </c>
      <c r="K52" s="347">
        <f t="shared" si="8"/>
        <v>41073.17</v>
      </c>
      <c r="L52" s="16">
        <f>H52+J52</f>
        <v>41073.17</v>
      </c>
      <c r="M52" s="16">
        <f>C36+C51</f>
        <v>42860.84</v>
      </c>
    </row>
    <row r="53" spans="1:16" ht="24" customHeight="1" x14ac:dyDescent="0.25">
      <c r="A53" s="8"/>
      <c r="B53" s="8"/>
      <c r="C53" s="80"/>
      <c r="D53" s="88"/>
      <c r="E53" s="88"/>
      <c r="F53" s="88"/>
      <c r="G53" s="88"/>
      <c r="H53" s="88"/>
      <c r="I53" s="88"/>
      <c r="J53" s="88"/>
      <c r="K53" s="88"/>
      <c r="L53" s="16"/>
    </row>
    <row r="54" spans="1:16" x14ac:dyDescent="0.25">
      <c r="A54" s="497" t="s">
        <v>247</v>
      </c>
      <c r="B54" s="498"/>
      <c r="C54" s="498"/>
      <c r="D54" s="498"/>
      <c r="E54" s="498"/>
      <c r="F54" s="498"/>
      <c r="G54" s="498"/>
      <c r="H54" s="498"/>
      <c r="I54" s="498"/>
      <c r="J54" s="498"/>
      <c r="K54" s="498"/>
      <c r="L54" s="16"/>
      <c r="M54" s="16"/>
    </row>
    <row r="55" spans="1:16" x14ac:dyDescent="0.25">
      <c r="A55" s="223"/>
      <c r="B55" s="221"/>
      <c r="C55" s="221"/>
      <c r="D55" s="221"/>
      <c r="E55" s="221"/>
      <c r="F55" s="221"/>
      <c r="G55" s="221"/>
      <c r="H55" s="221"/>
      <c r="I55" s="221"/>
      <c r="J55" s="221"/>
      <c r="K55" s="221"/>
      <c r="L55" s="16"/>
      <c r="M55" s="16">
        <f>C49+C34</f>
        <v>3111.85</v>
      </c>
    </row>
    <row r="56" spans="1:16" ht="15.75" customHeight="1" x14ac:dyDescent="0.25">
      <c r="A56" s="225"/>
      <c r="B56" s="233"/>
      <c r="C56" s="234"/>
      <c r="D56" s="235"/>
      <c r="E56" s="235"/>
      <c r="F56" s="235"/>
      <c r="G56" s="235"/>
      <c r="H56" s="235"/>
      <c r="I56" s="235"/>
      <c r="J56" s="235"/>
      <c r="K56" s="234"/>
      <c r="L56" s="234" t="e">
        <f>#REF!-#REF!</f>
        <v>#REF!</v>
      </c>
      <c r="O56" s="16"/>
    </row>
    <row r="57" spans="1:16" ht="27.75" customHeight="1" x14ac:dyDescent="0.25">
      <c r="A57" s="499" t="s">
        <v>384</v>
      </c>
      <c r="B57" s="499"/>
      <c r="C57" s="499"/>
      <c r="D57" s="499"/>
      <c r="E57" s="499"/>
      <c r="F57" s="499"/>
      <c r="G57" s="499"/>
      <c r="H57" s="499"/>
      <c r="I57" s="350"/>
      <c r="J57" s="350"/>
      <c r="K57" s="237"/>
    </row>
    <row r="58" spans="1:16" ht="17.25" customHeight="1" x14ac:dyDescent="0.25">
      <c r="A58" s="512" t="s">
        <v>143</v>
      </c>
      <c r="B58" s="512"/>
      <c r="C58" s="512"/>
      <c r="D58" s="512"/>
      <c r="E58" s="512"/>
      <c r="F58" s="512"/>
      <c r="G58" s="512"/>
      <c r="H58" s="512"/>
      <c r="I58" s="350"/>
      <c r="J58" s="350"/>
      <c r="K58" s="350"/>
      <c r="L58" s="6">
        <f>J48*0.2</f>
        <v>16.495999999999999</v>
      </c>
      <c r="M58" s="335"/>
      <c r="O58" s="16"/>
      <c r="P58" s="16"/>
    </row>
    <row r="59" spans="1:16" x14ac:dyDescent="0.25">
      <c r="A59" s="350"/>
      <c r="B59" s="350"/>
      <c r="C59" s="350"/>
      <c r="D59" s="350"/>
      <c r="E59" s="350"/>
      <c r="F59" s="350"/>
      <c r="G59" s="350"/>
      <c r="H59" s="350"/>
      <c r="I59" s="350"/>
      <c r="J59" s="350"/>
      <c r="K59" s="350"/>
      <c r="M59" s="335"/>
      <c r="O59" s="16"/>
      <c r="P59" s="16"/>
    </row>
    <row r="60" spans="1:16" x14ac:dyDescent="0.25">
      <c r="A60" s="226" t="s">
        <v>15</v>
      </c>
      <c r="B60" s="227">
        <f>D52</f>
        <v>4480.0200000000004</v>
      </c>
      <c r="C60" s="228" t="s">
        <v>16</v>
      </c>
      <c r="D60" s="229">
        <f>E52</f>
        <v>680.39</v>
      </c>
      <c r="E60" s="230"/>
      <c r="F60" s="230"/>
      <c r="G60" s="224">
        <f>D60*J9</f>
        <v>716.45</v>
      </c>
      <c r="H60" s="224"/>
      <c r="I60" s="224"/>
      <c r="J60" s="227">
        <f>B60</f>
        <v>4480.0200000000004</v>
      </c>
      <c r="K60" s="376"/>
      <c r="M60" s="335"/>
      <c r="O60" s="16"/>
      <c r="P60" s="16"/>
    </row>
    <row r="61" spans="1:16" x14ac:dyDescent="0.25">
      <c r="A61" s="226" t="s">
        <v>17</v>
      </c>
      <c r="B61" s="227">
        <f>C36+F49+F50+F45+F46+F38</f>
        <v>37700.43</v>
      </c>
      <c r="C61" s="230"/>
      <c r="D61" s="224"/>
      <c r="E61" s="377">
        <f>D60*D62</f>
        <v>38.44</v>
      </c>
      <c r="F61" s="230"/>
      <c r="G61" s="230"/>
      <c r="H61" s="377">
        <f>D60*G62</f>
        <v>641.95000000000005</v>
      </c>
      <c r="I61" s="230"/>
      <c r="J61" s="227">
        <f>H52+J52</f>
        <v>41073.17</v>
      </c>
      <c r="K61" s="376"/>
      <c r="M61" s="335"/>
      <c r="O61" s="16"/>
      <c r="P61" s="16"/>
    </row>
    <row r="62" spans="1:16" ht="28.5" x14ac:dyDescent="0.25">
      <c r="A62" s="226" t="s">
        <v>36</v>
      </c>
      <c r="B62" s="224">
        <f>B61+D60</f>
        <v>38380.82</v>
      </c>
      <c r="C62" s="230"/>
      <c r="D62" s="230">
        <f>H52/K52</f>
        <v>5.6499656588473703E-2</v>
      </c>
      <c r="E62" s="377">
        <f>D60*D62*H9</f>
        <v>41.44</v>
      </c>
      <c r="F62" s="230"/>
      <c r="G62" s="230">
        <f>J52/K52</f>
        <v>0.943500343411526</v>
      </c>
      <c r="H62" s="377">
        <f>D60*G62*J9*H9</f>
        <v>728.7</v>
      </c>
      <c r="I62" s="230"/>
      <c r="J62" s="227">
        <f>J61+E62+H62</f>
        <v>41843.31</v>
      </c>
      <c r="K62" s="376"/>
      <c r="M62" s="335"/>
      <c r="O62" s="16"/>
      <c r="P62" s="16"/>
    </row>
    <row r="63" spans="1:16" x14ac:dyDescent="0.25">
      <c r="A63" s="226" t="s">
        <v>18</v>
      </c>
      <c r="B63" s="231">
        <f>B60+B62</f>
        <v>42860.84</v>
      </c>
      <c r="C63" s="230"/>
      <c r="D63" s="230"/>
      <c r="E63" s="230"/>
      <c r="F63" s="230"/>
      <c r="G63" s="230"/>
      <c r="H63" s="230"/>
      <c r="I63" s="230"/>
      <c r="J63" s="232">
        <f>J60+J62</f>
        <v>46323.33</v>
      </c>
      <c r="K63" s="376"/>
      <c r="M63" s="335"/>
      <c r="O63" s="16"/>
      <c r="P63" s="16"/>
    </row>
    <row r="64" spans="1:16" ht="24" customHeight="1" x14ac:dyDescent="0.25">
      <c r="K64" s="354"/>
      <c r="M64" s="16"/>
      <c r="O64" s="16"/>
      <c r="P64" s="16"/>
    </row>
    <row r="65" spans="1:16" ht="17.25" customHeight="1" x14ac:dyDescent="0.25">
      <c r="A65" s="513"/>
      <c r="B65" s="514"/>
      <c r="C65" s="514"/>
      <c r="D65" s="239"/>
      <c r="E65" s="239"/>
      <c r="F65" s="239"/>
      <c r="G65" s="239"/>
      <c r="H65" s="240"/>
      <c r="I65" s="240"/>
      <c r="J65" s="240"/>
      <c r="K65" s="240"/>
    </row>
    <row r="66" spans="1:16" ht="15" customHeight="1" x14ac:dyDescent="0.25">
      <c r="A66" s="351"/>
      <c r="B66" s="352"/>
      <c r="C66" s="352"/>
      <c r="D66" s="239"/>
      <c r="E66" s="239"/>
      <c r="F66" s="239"/>
      <c r="G66" s="239"/>
      <c r="H66" s="240"/>
      <c r="I66" s="240"/>
      <c r="J66" s="240"/>
      <c r="K66" s="6"/>
      <c r="L66" s="16"/>
      <c r="M66" s="16"/>
    </row>
    <row r="67" spans="1:16" ht="15" customHeight="1" x14ac:dyDescent="0.25">
      <c r="A67" s="509" t="s">
        <v>28</v>
      </c>
      <c r="B67" s="509"/>
      <c r="C67" s="352"/>
      <c r="D67" s="239"/>
      <c r="E67" s="239"/>
      <c r="F67" s="239"/>
      <c r="G67" s="239"/>
      <c r="H67" s="240"/>
      <c r="I67" s="240"/>
      <c r="J67" s="240"/>
      <c r="K67" s="240" t="s">
        <v>153</v>
      </c>
      <c r="L67" s="16"/>
      <c r="M67" s="16"/>
    </row>
    <row r="68" spans="1:16" ht="17.25" customHeight="1" x14ac:dyDescent="0.25">
      <c r="A68" s="509"/>
      <c r="B68" s="509"/>
      <c r="C68" s="509"/>
      <c r="D68" s="239"/>
      <c r="E68" s="239"/>
      <c r="F68" s="239"/>
      <c r="G68" s="239"/>
      <c r="H68" s="240"/>
      <c r="I68" s="240"/>
      <c r="J68" s="240"/>
      <c r="K68" s="240"/>
      <c r="L68" s="16"/>
    </row>
    <row r="69" spans="1:16" ht="18.75" customHeight="1" x14ac:dyDescent="0.25">
      <c r="A69" s="509" t="s">
        <v>151</v>
      </c>
      <c r="B69" s="509"/>
      <c r="C69" s="348"/>
      <c r="D69" s="239"/>
      <c r="E69" s="239"/>
      <c r="F69" s="239"/>
      <c r="G69" s="239"/>
      <c r="H69" s="240"/>
      <c r="I69" s="240"/>
      <c r="J69" s="240"/>
      <c r="K69" s="240" t="s">
        <v>152</v>
      </c>
      <c r="P69" s="16"/>
    </row>
    <row r="70" spans="1:16" ht="18.75" customHeight="1" x14ac:dyDescent="0.25">
      <c r="A70" s="348"/>
      <c r="B70" s="348"/>
      <c r="C70" s="348"/>
      <c r="D70" s="239"/>
      <c r="E70" s="239"/>
      <c r="F70" s="239"/>
      <c r="G70" s="239"/>
      <c r="H70" s="240"/>
      <c r="I70" s="240"/>
      <c r="J70" s="240"/>
      <c r="K70" s="240"/>
      <c r="P70" s="16"/>
    </row>
    <row r="71" spans="1:16" x14ac:dyDescent="0.25">
      <c r="A71" s="510"/>
      <c r="B71" s="510"/>
      <c r="C71" s="336"/>
      <c r="D71" s="336"/>
      <c r="E71" s="336"/>
      <c r="F71" s="336"/>
      <c r="G71" s="336"/>
      <c r="H71" s="336"/>
      <c r="I71" s="336"/>
      <c r="J71" s="336"/>
    </row>
    <row r="72" spans="1:16" x14ac:dyDescent="0.25">
      <c r="A72" s="490" t="s">
        <v>248</v>
      </c>
      <c r="B72" s="491"/>
      <c r="C72" s="9"/>
      <c r="D72" s="9"/>
      <c r="E72" s="9"/>
      <c r="F72" s="9"/>
      <c r="G72" s="9"/>
      <c r="H72" s="9"/>
      <c r="I72" s="9"/>
      <c r="J72" s="9"/>
    </row>
    <row r="73" spans="1:16" ht="12" customHeight="1" x14ac:dyDescent="0.25">
      <c r="B73" s="19"/>
      <c r="C73" s="9"/>
      <c r="D73" s="9"/>
      <c r="E73" s="9"/>
      <c r="F73" s="9"/>
      <c r="G73" s="9"/>
      <c r="H73" s="9"/>
      <c r="I73" s="9"/>
      <c r="J73" s="9"/>
      <c r="K73" s="63"/>
    </row>
    <row r="74" spans="1:16" ht="30" customHeight="1" x14ac:dyDescent="0.25">
      <c r="C74" s="9"/>
      <c r="D74" s="9"/>
      <c r="E74" s="9"/>
      <c r="F74" s="9"/>
      <c r="G74" s="9"/>
      <c r="H74" s="9"/>
      <c r="I74" s="9"/>
      <c r="J74" s="9"/>
    </row>
    <row r="75" spans="1:16" s="337" customFormat="1" ht="18.75" customHeight="1" x14ac:dyDescent="0.25">
      <c r="A75" s="511" t="s">
        <v>149</v>
      </c>
      <c r="B75" s="511"/>
      <c r="C75" s="220">
        <v>270</v>
      </c>
      <c r="D75" s="7"/>
      <c r="E75" s="7"/>
      <c r="F75" s="7"/>
      <c r="G75" s="7"/>
      <c r="H75" s="7"/>
      <c r="I75" s="7"/>
      <c r="J75" s="7"/>
      <c r="K75" s="9"/>
    </row>
    <row r="76" spans="1:16" s="337" customFormat="1" ht="18.75" customHeight="1" x14ac:dyDescent="0.25">
      <c r="A76" s="355"/>
      <c r="B76" s="355" t="s">
        <v>148</v>
      </c>
      <c r="C76" s="220">
        <f>598300/1000</f>
        <v>598.29999999999995</v>
      </c>
      <c r="D76" s="7"/>
      <c r="E76" s="7"/>
      <c r="F76" s="7"/>
      <c r="G76" s="7"/>
      <c r="H76" s="7"/>
      <c r="I76" s="7"/>
      <c r="J76" s="7"/>
      <c r="K76" s="9"/>
    </row>
    <row r="77" spans="1:16" s="337" customFormat="1" ht="18.75" customHeight="1" x14ac:dyDescent="0.25">
      <c r="A77" s="114"/>
      <c r="B77" s="114"/>
      <c r="C77" s="115"/>
      <c r="D77" s="7"/>
      <c r="E77" s="7"/>
      <c r="F77" s="7"/>
      <c r="G77" s="7"/>
      <c r="H77" s="7"/>
      <c r="I77" s="7"/>
      <c r="J77" s="7"/>
      <c r="K77" s="9"/>
    </row>
    <row r="78" spans="1:16" s="337" customFormat="1" ht="18.75" customHeight="1" x14ac:dyDescent="0.25">
      <c r="A78" s="114" t="s">
        <v>383</v>
      </c>
      <c r="B78" s="114" t="s">
        <v>145</v>
      </c>
      <c r="C78" s="115">
        <f>599000/1000</f>
        <v>599</v>
      </c>
      <c r="D78" s="7"/>
      <c r="E78" s="7"/>
      <c r="F78" s="7"/>
      <c r="G78" s="7"/>
      <c r="H78" s="7"/>
      <c r="I78" s="7"/>
      <c r="J78" s="7"/>
      <c r="K78" s="9"/>
    </row>
    <row r="79" spans="1:16" ht="30" customHeight="1" x14ac:dyDescent="0.25">
      <c r="A79" s="499" t="s">
        <v>176</v>
      </c>
      <c r="B79" s="499"/>
      <c r="C79" s="499"/>
      <c r="D79" s="499"/>
      <c r="E79" s="499"/>
      <c r="F79" s="499"/>
      <c r="G79" s="499"/>
    </row>
    <row r="80" spans="1:16" ht="38.25" customHeight="1" x14ac:dyDescent="0.25">
      <c r="A80" s="221"/>
      <c r="B80" s="224" t="s">
        <v>35</v>
      </c>
      <c r="C80" s="221"/>
      <c r="D80" s="72"/>
      <c r="E80" s="221"/>
      <c r="F80" s="221"/>
      <c r="G80" s="221"/>
      <c r="H80" s="221"/>
      <c r="I80" s="221"/>
      <c r="J80" s="224" t="s">
        <v>56</v>
      </c>
      <c r="O80" s="16"/>
    </row>
    <row r="81" spans="3:18" ht="36" customHeight="1" x14ac:dyDescent="0.25">
      <c r="C81" s="6"/>
      <c r="D81" s="6"/>
      <c r="E81" s="6"/>
      <c r="F81" s="6"/>
      <c r="G81" s="6"/>
      <c r="H81" s="6"/>
      <c r="I81" s="6"/>
      <c r="J81" s="6"/>
    </row>
    <row r="82" spans="3:18" s="9" customFormat="1" ht="36" customHeight="1" x14ac:dyDescent="0.25">
      <c r="L82" s="6"/>
      <c r="M82" s="6"/>
      <c r="N82" s="6"/>
      <c r="O82" s="6"/>
      <c r="P82" s="6"/>
      <c r="Q82" s="6"/>
      <c r="R82" s="6"/>
    </row>
    <row r="83" spans="3:18" x14ac:dyDescent="0.25">
      <c r="C83" s="6"/>
      <c r="D83" s="6"/>
      <c r="E83" s="6"/>
      <c r="F83" s="6"/>
      <c r="G83" s="6"/>
      <c r="H83" s="6"/>
      <c r="I83" s="6"/>
      <c r="J83" s="6"/>
    </row>
    <row r="84" spans="3:18" x14ac:dyDescent="0.25">
      <c r="C84" s="6"/>
      <c r="D84" s="6"/>
      <c r="E84" s="6"/>
      <c r="F84" s="6"/>
      <c r="G84" s="6"/>
      <c r="H84" s="6"/>
      <c r="I84" s="6"/>
      <c r="J84" s="6"/>
    </row>
  </sheetData>
  <mergeCells count="16">
    <mergeCell ref="O9:O10"/>
    <mergeCell ref="A54:K54"/>
    <mergeCell ref="A69:B69"/>
    <mergeCell ref="A71:B71"/>
    <mergeCell ref="A72:B72"/>
    <mergeCell ref="A57:H57"/>
    <mergeCell ref="A58:H58"/>
    <mergeCell ref="A65:C65"/>
    <mergeCell ref="A67:B67"/>
    <mergeCell ref="A68:C68"/>
    <mergeCell ref="A75:B75"/>
    <mergeCell ref="A79:G79"/>
    <mergeCell ref="A1:C5"/>
    <mergeCell ref="F1:K5"/>
    <mergeCell ref="A7:K7"/>
    <mergeCell ref="B8:K8"/>
  </mergeCells>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I44"/>
  <sheetViews>
    <sheetView view="pageBreakPreview" zoomScaleNormal="100" zoomScaleSheetLayoutView="100" workbookViewId="0">
      <selection activeCell="D10" sqref="D10:E10"/>
    </sheetView>
  </sheetViews>
  <sheetFormatPr defaultRowHeight="12.75" x14ac:dyDescent="0.2"/>
  <cols>
    <col min="1" max="1" width="4.5703125" customWidth="1"/>
    <col min="2" max="2" width="15.5703125" customWidth="1"/>
    <col min="3" max="3" width="28.5703125" customWidth="1"/>
    <col min="4" max="8" width="11.85546875" customWidth="1"/>
  </cols>
  <sheetData>
    <row r="2" spans="1:8" ht="33" customHeight="1" x14ac:dyDescent="0.2">
      <c r="A2" s="553" t="s">
        <v>398</v>
      </c>
      <c r="B2" s="553"/>
      <c r="C2" s="553"/>
      <c r="D2" s="553"/>
      <c r="E2" s="553"/>
      <c r="F2" s="553"/>
      <c r="G2" s="553"/>
      <c r="H2" s="553"/>
    </row>
    <row r="4" spans="1:8" x14ac:dyDescent="0.2">
      <c r="A4" s="515" t="s">
        <v>0</v>
      </c>
      <c r="B4" s="515" t="s">
        <v>20</v>
      </c>
      <c r="C4" s="515" t="s">
        <v>249</v>
      </c>
      <c r="D4" s="515" t="s">
        <v>37</v>
      </c>
      <c r="E4" s="515"/>
      <c r="F4" s="515"/>
      <c r="G4" s="515"/>
      <c r="H4" s="515"/>
    </row>
    <row r="5" spans="1:8" ht="89.25" x14ac:dyDescent="0.2">
      <c r="A5" s="515"/>
      <c r="B5" s="515"/>
      <c r="C5" s="515"/>
      <c r="D5" s="247" t="s">
        <v>250</v>
      </c>
      <c r="E5" s="247" t="s">
        <v>22</v>
      </c>
      <c r="F5" s="247" t="s">
        <v>23</v>
      </c>
      <c r="G5" s="247" t="s">
        <v>24</v>
      </c>
      <c r="H5" s="247" t="s">
        <v>38</v>
      </c>
    </row>
    <row r="6" spans="1:8" x14ac:dyDescent="0.2">
      <c r="A6" s="248" t="s">
        <v>251</v>
      </c>
      <c r="B6" s="248" t="s">
        <v>252</v>
      </c>
      <c r="C6" s="248" t="s">
        <v>253</v>
      </c>
      <c r="D6" s="248" t="s">
        <v>254</v>
      </c>
      <c r="E6" s="248" t="s">
        <v>255</v>
      </c>
      <c r="F6" s="248" t="s">
        <v>256</v>
      </c>
      <c r="G6" s="248" t="s">
        <v>257</v>
      </c>
      <c r="H6" s="248" t="s">
        <v>258</v>
      </c>
    </row>
    <row r="7" spans="1:8" x14ac:dyDescent="0.2">
      <c r="A7" s="516" t="s">
        <v>259</v>
      </c>
      <c r="B7" s="516"/>
      <c r="C7" s="516"/>
      <c r="D7" s="516"/>
      <c r="E7" s="516"/>
      <c r="F7" s="516"/>
      <c r="G7" s="516"/>
      <c r="H7" s="516"/>
    </row>
    <row r="8" spans="1:8" ht="63.75" x14ac:dyDescent="0.2">
      <c r="A8" s="250" t="s">
        <v>251</v>
      </c>
      <c r="B8" s="251" t="s">
        <v>160</v>
      </c>
      <c r="C8" s="251" t="s">
        <v>161</v>
      </c>
      <c r="D8" s="252">
        <v>145.97</v>
      </c>
      <c r="E8" s="252">
        <v>2.25</v>
      </c>
      <c r="F8" s="253"/>
      <c r="G8" s="253"/>
      <c r="H8" s="252">
        <v>148.22</v>
      </c>
    </row>
    <row r="9" spans="1:8" ht="38.25" x14ac:dyDescent="0.2">
      <c r="A9" s="250" t="s">
        <v>252</v>
      </c>
      <c r="B9" s="251" t="s">
        <v>162</v>
      </c>
      <c r="C9" s="251" t="s">
        <v>231</v>
      </c>
      <c r="D9" s="253"/>
      <c r="E9" s="253"/>
      <c r="F9" s="253"/>
      <c r="G9" s="252">
        <v>108.42</v>
      </c>
      <c r="H9" s="252">
        <v>108.42</v>
      </c>
    </row>
    <row r="10" spans="1:8" x14ac:dyDescent="0.2">
      <c r="A10" s="254"/>
      <c r="B10" s="249"/>
      <c r="C10" s="249" t="s">
        <v>163</v>
      </c>
      <c r="D10" s="255">
        <v>145.97</v>
      </c>
      <c r="E10" s="255">
        <v>2.25</v>
      </c>
      <c r="F10" s="256"/>
      <c r="G10" s="255">
        <v>108.42</v>
      </c>
      <c r="H10" s="255">
        <v>256.64</v>
      </c>
    </row>
    <row r="11" spans="1:8" ht="12.75" customHeight="1" x14ac:dyDescent="0.2">
      <c r="A11" s="518" t="s">
        <v>260</v>
      </c>
      <c r="B11" s="519"/>
      <c r="C11" s="519"/>
      <c r="D11" s="519"/>
      <c r="E11" s="519"/>
      <c r="F11" s="519"/>
      <c r="G11" s="519"/>
      <c r="H11" s="520"/>
    </row>
    <row r="12" spans="1:8" ht="25.5" x14ac:dyDescent="0.2">
      <c r="A12" s="250" t="s">
        <v>253</v>
      </c>
      <c r="B12" s="251" t="s">
        <v>164</v>
      </c>
      <c r="C12" s="251" t="s">
        <v>78</v>
      </c>
      <c r="D12" s="252">
        <v>7003.7</v>
      </c>
      <c r="E12" s="252">
        <v>2735.28</v>
      </c>
      <c r="F12" s="253"/>
      <c r="G12" s="253"/>
      <c r="H12" s="252">
        <v>9738.98</v>
      </c>
    </row>
    <row r="13" spans="1:8" ht="25.5" x14ac:dyDescent="0.2">
      <c r="A13" s="250" t="s">
        <v>254</v>
      </c>
      <c r="B13" s="251" t="s">
        <v>261</v>
      </c>
      <c r="C13" s="251" t="s">
        <v>262</v>
      </c>
      <c r="D13" s="252">
        <v>15619.09</v>
      </c>
      <c r="E13" s="252">
        <v>41.02</v>
      </c>
      <c r="F13" s="253"/>
      <c r="G13" s="253"/>
      <c r="H13" s="252">
        <f>D13+E13</f>
        <v>15660.11</v>
      </c>
    </row>
    <row r="14" spans="1:8" ht="25.5" x14ac:dyDescent="0.2">
      <c r="A14" s="250" t="s">
        <v>255</v>
      </c>
      <c r="B14" s="251" t="s">
        <v>263</v>
      </c>
      <c r="C14" s="251" t="s">
        <v>264</v>
      </c>
      <c r="D14" s="252">
        <v>-705.59</v>
      </c>
      <c r="E14" s="252">
        <v>-543.04999999999995</v>
      </c>
      <c r="F14" s="253"/>
      <c r="G14" s="253"/>
      <c r="H14" s="252">
        <f>D14+E14</f>
        <v>-1248.6400000000001</v>
      </c>
    </row>
    <row r="15" spans="1:8" x14ac:dyDescent="0.2">
      <c r="A15" s="254"/>
      <c r="B15" s="249"/>
      <c r="C15" s="249" t="s">
        <v>39</v>
      </c>
      <c r="D15" s="255">
        <f>SUM(D12:D14)</f>
        <v>21917.200000000001</v>
      </c>
      <c r="E15" s="255">
        <f>SUM(E12:E14)</f>
        <v>2233.25</v>
      </c>
      <c r="F15" s="256"/>
      <c r="G15" s="256"/>
      <c r="H15" s="255">
        <f>SUM(H12:H14)</f>
        <v>24150.45</v>
      </c>
    </row>
    <row r="16" spans="1:8" x14ac:dyDescent="0.2">
      <c r="A16" s="516" t="s">
        <v>265</v>
      </c>
      <c r="B16" s="516"/>
      <c r="C16" s="516"/>
      <c r="D16" s="516"/>
      <c r="E16" s="516"/>
      <c r="F16" s="516"/>
      <c r="G16" s="516"/>
      <c r="H16" s="516"/>
    </row>
    <row r="17" spans="1:8" ht="25.5" x14ac:dyDescent="0.2">
      <c r="A17" s="250" t="s">
        <v>256</v>
      </c>
      <c r="B17" s="251" t="s">
        <v>165</v>
      </c>
      <c r="C17" s="251" t="s">
        <v>155</v>
      </c>
      <c r="D17" s="253"/>
      <c r="E17" s="252">
        <v>115.87</v>
      </c>
      <c r="F17" s="252">
        <v>226.09</v>
      </c>
      <c r="G17" s="253"/>
      <c r="H17" s="252">
        <v>341.96</v>
      </c>
    </row>
    <row r="18" spans="1:8" x14ac:dyDescent="0.2">
      <c r="A18" s="254"/>
      <c r="B18" s="249"/>
      <c r="C18" s="249" t="s">
        <v>166</v>
      </c>
      <c r="D18" s="256"/>
      <c r="E18" s="255">
        <v>115.87</v>
      </c>
      <c r="F18" s="255">
        <v>226.09</v>
      </c>
      <c r="G18" s="256"/>
      <c r="H18" s="255">
        <v>341.96</v>
      </c>
    </row>
    <row r="19" spans="1:8" x14ac:dyDescent="0.2">
      <c r="A19" s="516" t="s">
        <v>266</v>
      </c>
      <c r="B19" s="516"/>
      <c r="C19" s="516"/>
      <c r="D19" s="516"/>
      <c r="E19" s="516"/>
      <c r="F19" s="516"/>
      <c r="G19" s="516"/>
      <c r="H19" s="516"/>
    </row>
    <row r="20" spans="1:8" x14ac:dyDescent="0.2">
      <c r="A20" s="250" t="s">
        <v>257</v>
      </c>
      <c r="B20" s="251" t="s">
        <v>167</v>
      </c>
      <c r="C20" s="251" t="s">
        <v>156</v>
      </c>
      <c r="D20" s="252">
        <v>800.27</v>
      </c>
      <c r="E20" s="253"/>
      <c r="F20" s="253"/>
      <c r="G20" s="253"/>
      <c r="H20" s="252">
        <v>800.27</v>
      </c>
    </row>
    <row r="21" spans="1:8" x14ac:dyDescent="0.2">
      <c r="A21" s="254"/>
      <c r="B21" s="249"/>
      <c r="C21" s="249" t="s">
        <v>168</v>
      </c>
      <c r="D21" s="255">
        <v>800.27</v>
      </c>
      <c r="E21" s="256"/>
      <c r="F21" s="256"/>
      <c r="G21" s="256"/>
      <c r="H21" s="255">
        <v>800.27</v>
      </c>
    </row>
    <row r="22" spans="1:8" x14ac:dyDescent="0.2">
      <c r="A22" s="516" t="s">
        <v>267</v>
      </c>
      <c r="B22" s="516"/>
      <c r="C22" s="516"/>
      <c r="D22" s="516"/>
      <c r="E22" s="516"/>
      <c r="F22" s="516"/>
      <c r="G22" s="516"/>
      <c r="H22" s="516"/>
    </row>
    <row r="23" spans="1:8" ht="25.5" x14ac:dyDescent="0.2">
      <c r="A23" s="250" t="s">
        <v>258</v>
      </c>
      <c r="B23" s="251" t="s">
        <v>169</v>
      </c>
      <c r="C23" s="251" t="s">
        <v>88</v>
      </c>
      <c r="D23" s="252">
        <v>1477.68</v>
      </c>
      <c r="E23" s="253"/>
      <c r="F23" s="253"/>
      <c r="G23" s="253"/>
      <c r="H23" s="252">
        <v>1477.68</v>
      </c>
    </row>
    <row r="24" spans="1:8" x14ac:dyDescent="0.2">
      <c r="A24" s="250" t="s">
        <v>268</v>
      </c>
      <c r="B24" s="251" t="s">
        <v>170</v>
      </c>
      <c r="C24" s="251" t="s">
        <v>157</v>
      </c>
      <c r="D24" s="252">
        <v>34.479999999999997</v>
      </c>
      <c r="E24" s="252">
        <v>1789.8</v>
      </c>
      <c r="F24" s="252">
        <v>32.17</v>
      </c>
      <c r="G24" s="253"/>
      <c r="H24" s="252">
        <v>1856.45</v>
      </c>
    </row>
    <row r="25" spans="1:8" x14ac:dyDescent="0.2">
      <c r="A25" s="254"/>
      <c r="B25" s="249"/>
      <c r="C25" s="249" t="s">
        <v>89</v>
      </c>
      <c r="D25" s="255">
        <f>SUM(D23+D24)</f>
        <v>1512.16</v>
      </c>
      <c r="E25" s="255">
        <f>SUM(E23+E24)</f>
        <v>1789.8</v>
      </c>
      <c r="F25" s="255">
        <f>SUM(F23+F24)</f>
        <v>32.17</v>
      </c>
      <c r="G25" s="256"/>
      <c r="H25" s="255">
        <f>SUM(H23:H24)</f>
        <v>3334.13</v>
      </c>
    </row>
    <row r="26" spans="1:8" x14ac:dyDescent="0.2">
      <c r="A26" s="250"/>
      <c r="B26" s="251"/>
      <c r="C26" s="251" t="s">
        <v>41</v>
      </c>
      <c r="D26" s="252">
        <f>D15+D21+D25+D10</f>
        <v>24375.599999999999</v>
      </c>
      <c r="E26" s="252">
        <f>E15+E21+E25+E10+E18</f>
        <v>4141.17</v>
      </c>
      <c r="F26" s="252">
        <f>F15+F21+F25+F10+F18</f>
        <v>258.26</v>
      </c>
      <c r="G26" s="252">
        <f>G15+G21+G25+G10</f>
        <v>108.42</v>
      </c>
      <c r="H26" s="252">
        <f>H25+H21+H15+H10+H18</f>
        <v>28883.45</v>
      </c>
    </row>
    <row r="27" spans="1:8" x14ac:dyDescent="0.2">
      <c r="A27" s="516" t="s">
        <v>269</v>
      </c>
      <c r="B27" s="516"/>
      <c r="C27" s="516"/>
      <c r="D27" s="516"/>
      <c r="E27" s="516"/>
      <c r="F27" s="516"/>
      <c r="G27" s="516"/>
      <c r="H27" s="516"/>
    </row>
    <row r="28" spans="1:8" ht="39" customHeight="1" x14ac:dyDescent="0.2">
      <c r="A28" s="250" t="s">
        <v>270</v>
      </c>
      <c r="B28" s="251" t="s">
        <v>271</v>
      </c>
      <c r="C28" s="251" t="s">
        <v>272</v>
      </c>
      <c r="D28" s="252">
        <v>113.53</v>
      </c>
      <c r="E28" s="252">
        <v>55.72</v>
      </c>
      <c r="F28" s="253"/>
      <c r="G28" s="253"/>
      <c r="H28" s="252">
        <f>SUM(D28:G28)</f>
        <v>169.25</v>
      </c>
    </row>
    <row r="29" spans="1:8" ht="39" customHeight="1" x14ac:dyDescent="0.2">
      <c r="A29" s="250"/>
      <c r="B29" s="251" t="s">
        <v>271</v>
      </c>
      <c r="C29" s="251" t="s">
        <v>272</v>
      </c>
      <c r="D29" s="252">
        <v>187.43</v>
      </c>
      <c r="E29" s="252">
        <v>0.49</v>
      </c>
      <c r="F29" s="253"/>
      <c r="G29" s="253"/>
      <c r="H29" s="252">
        <f>SUM(D29:G29)</f>
        <v>187.92</v>
      </c>
    </row>
    <row r="30" spans="1:8" ht="39" customHeight="1" x14ac:dyDescent="0.2">
      <c r="A30" s="250"/>
      <c r="B30" s="251" t="s">
        <v>271</v>
      </c>
      <c r="C30" s="251" t="s">
        <v>272</v>
      </c>
      <c r="D30" s="252">
        <v>-8.4700000000000006</v>
      </c>
      <c r="E30" s="252">
        <v>-6.52</v>
      </c>
      <c r="F30" s="253"/>
      <c r="G30" s="253"/>
      <c r="H30" s="252">
        <f>SUM(D30:G30)</f>
        <v>-14.99</v>
      </c>
    </row>
    <row r="31" spans="1:8" x14ac:dyDescent="0.2">
      <c r="A31" s="254"/>
      <c r="B31" s="249"/>
      <c r="C31" s="249" t="s">
        <v>42</v>
      </c>
      <c r="D31" s="255">
        <f>SUM(D28:D30)</f>
        <v>292.49</v>
      </c>
      <c r="E31" s="255">
        <f>SUM(E28:E30)</f>
        <v>49.69</v>
      </c>
      <c r="F31" s="255">
        <f>SUM(F28:F30)</f>
        <v>0</v>
      </c>
      <c r="G31" s="255">
        <f>SUM(G28:G30)</f>
        <v>0</v>
      </c>
      <c r="H31" s="255">
        <f>SUM(H28:H30)</f>
        <v>342.18</v>
      </c>
    </row>
    <row r="32" spans="1:8" x14ac:dyDescent="0.2">
      <c r="A32" s="250"/>
      <c r="B32" s="251"/>
      <c r="C32" s="251" t="s">
        <v>43</v>
      </c>
      <c r="D32" s="252">
        <f>D26+D31</f>
        <v>24668.09</v>
      </c>
      <c r="E32" s="252">
        <f>E26+E31</f>
        <v>4190.8599999999997</v>
      </c>
      <c r="F32" s="252">
        <f>F26+F31</f>
        <v>258.26</v>
      </c>
      <c r="G32" s="252">
        <f>G26+G31</f>
        <v>108.42</v>
      </c>
      <c r="H32" s="252">
        <f>SUM(D32:G32)</f>
        <v>29225.63</v>
      </c>
    </row>
    <row r="33" spans="1:9" x14ac:dyDescent="0.2">
      <c r="A33" s="516" t="s">
        <v>273</v>
      </c>
      <c r="B33" s="516"/>
      <c r="C33" s="516"/>
      <c r="D33" s="516"/>
      <c r="E33" s="516"/>
      <c r="F33" s="516"/>
      <c r="G33" s="516"/>
      <c r="H33" s="516"/>
    </row>
    <row r="34" spans="1:9" ht="51" x14ac:dyDescent="0.2">
      <c r="A34" s="250" t="s">
        <v>274</v>
      </c>
      <c r="B34" s="251" t="s">
        <v>101</v>
      </c>
      <c r="C34" s="251" t="s">
        <v>171</v>
      </c>
      <c r="D34" s="253"/>
      <c r="E34" s="253"/>
      <c r="F34" s="253"/>
      <c r="G34" s="252">
        <v>0.59</v>
      </c>
      <c r="H34" s="252">
        <v>0.59</v>
      </c>
    </row>
    <row r="35" spans="1:9" ht="38.25" x14ac:dyDescent="0.2">
      <c r="A35" s="250" t="s">
        <v>275</v>
      </c>
      <c r="B35" s="251" t="s">
        <v>276</v>
      </c>
      <c r="C35" s="251" t="s">
        <v>158</v>
      </c>
      <c r="D35" s="253"/>
      <c r="E35" s="253"/>
      <c r="F35" s="253"/>
      <c r="G35" s="252">
        <v>7.0000000000000007E-2</v>
      </c>
      <c r="H35" s="252">
        <v>7.0000000000000007E-2</v>
      </c>
    </row>
    <row r="36" spans="1:9" x14ac:dyDescent="0.2">
      <c r="A36" s="254"/>
      <c r="B36" s="249"/>
      <c r="C36" s="249" t="s">
        <v>44</v>
      </c>
      <c r="D36" s="256"/>
      <c r="E36" s="256"/>
      <c r="F36" s="256"/>
      <c r="G36" s="255">
        <v>0.66</v>
      </c>
      <c r="H36" s="255">
        <v>0.66</v>
      </c>
    </row>
    <row r="37" spans="1:9" s="257" customFormat="1" x14ac:dyDescent="0.2">
      <c r="A37" s="338"/>
      <c r="B37" s="339"/>
      <c r="C37" s="339" t="s">
        <v>45</v>
      </c>
      <c r="D37" s="260">
        <f>SUM(D32)</f>
        <v>24668.09</v>
      </c>
      <c r="E37" s="260">
        <f>SUM(E32)</f>
        <v>4190.8599999999997</v>
      </c>
      <c r="F37" s="260">
        <f>SUM(F32)</f>
        <v>258.26</v>
      </c>
      <c r="G37" s="260">
        <f>SUM(G32+G36)</f>
        <v>109.08</v>
      </c>
      <c r="H37" s="260">
        <f>SUM(D37:G37)</f>
        <v>29226.29</v>
      </c>
    </row>
    <row r="38" spans="1:9" ht="38.25" x14ac:dyDescent="0.2">
      <c r="A38" s="250">
        <v>13</v>
      </c>
      <c r="B38" s="251" t="s">
        <v>173</v>
      </c>
      <c r="C38" s="251" t="s">
        <v>277</v>
      </c>
      <c r="D38" s="340"/>
      <c r="E38" s="340"/>
      <c r="F38" s="340"/>
      <c r="G38" s="260">
        <v>1813.5</v>
      </c>
      <c r="H38" s="260">
        <v>1813.5</v>
      </c>
    </row>
    <row r="39" spans="1:9" x14ac:dyDescent="0.2">
      <c r="A39" s="250"/>
      <c r="B39" s="251"/>
      <c r="C39" s="251" t="s">
        <v>50</v>
      </c>
      <c r="D39" s="260">
        <f>D37+D38</f>
        <v>24668.09</v>
      </c>
      <c r="E39" s="260">
        <f>E37+E38</f>
        <v>4190.8599999999997</v>
      </c>
      <c r="F39" s="260">
        <f>F37+F38</f>
        <v>258.26</v>
      </c>
      <c r="G39" s="260">
        <f>G37+G38</f>
        <v>1922.58</v>
      </c>
      <c r="H39" s="260">
        <f>H37+H38</f>
        <v>31039.79</v>
      </c>
    </row>
    <row r="40" spans="1:9" ht="38.25" x14ac:dyDescent="0.2">
      <c r="A40" s="250">
        <v>14</v>
      </c>
      <c r="B40" s="251" t="s">
        <v>51</v>
      </c>
      <c r="C40" s="251" t="s">
        <v>278</v>
      </c>
      <c r="D40" s="260">
        <f>D37*0.02</f>
        <v>493.36</v>
      </c>
      <c r="E40" s="260">
        <f>E37*0.02</f>
        <v>83.82</v>
      </c>
      <c r="F40" s="260">
        <f>F37*0.02</f>
        <v>5.17</v>
      </c>
      <c r="G40" s="260">
        <f>G37*0.02</f>
        <v>2.1800000000000002</v>
      </c>
      <c r="H40" s="260">
        <f>H37*0.02</f>
        <v>584.53</v>
      </c>
    </row>
    <row r="41" spans="1:9" ht="25.5" x14ac:dyDescent="0.2">
      <c r="A41" s="250"/>
      <c r="B41" s="251"/>
      <c r="C41" s="251" t="s">
        <v>52</v>
      </c>
      <c r="D41" s="260">
        <f>D40+D39</f>
        <v>25161.45</v>
      </c>
      <c r="E41" s="260">
        <f>E40+E39</f>
        <v>4274.68</v>
      </c>
      <c r="F41" s="260">
        <f>F40+F39</f>
        <v>263.43</v>
      </c>
      <c r="G41" s="260">
        <f>G40+G39</f>
        <v>1924.76</v>
      </c>
      <c r="H41" s="260">
        <f>H40+H39</f>
        <v>31624.32</v>
      </c>
      <c r="I41" s="361">
        <f>(H41-H38)*0.2</f>
        <v>5962.16</v>
      </c>
    </row>
    <row r="42" spans="1:9" ht="38.25" x14ac:dyDescent="0.2">
      <c r="A42" s="250">
        <v>15</v>
      </c>
      <c r="B42" s="251" t="s">
        <v>53</v>
      </c>
      <c r="C42" s="251" t="s">
        <v>279</v>
      </c>
      <c r="D42" s="260">
        <f>D41*0.2</f>
        <v>5032.29</v>
      </c>
      <c r="E42" s="260">
        <f>E41*0.2-0.01</f>
        <v>854.93</v>
      </c>
      <c r="F42" s="260">
        <f>F41*0.2</f>
        <v>52.69</v>
      </c>
      <c r="G42" s="260">
        <f>(G41-G38)*0.2</f>
        <v>22.25</v>
      </c>
      <c r="H42" s="362">
        <f>D42+E42+F42+G42</f>
        <v>5962.16</v>
      </c>
    </row>
    <row r="43" spans="1:9" ht="24" x14ac:dyDescent="0.2">
      <c r="A43" s="341"/>
      <c r="B43" s="342"/>
      <c r="C43" s="342" t="s">
        <v>54</v>
      </c>
      <c r="D43" s="343">
        <f>D42+D41</f>
        <v>30193.74</v>
      </c>
      <c r="E43" s="343">
        <f>E42+E41</f>
        <v>5129.6099999999997</v>
      </c>
      <c r="F43" s="343">
        <f>F42+F41</f>
        <v>316.12</v>
      </c>
      <c r="G43" s="343">
        <f>G42+G41</f>
        <v>1947.01</v>
      </c>
      <c r="H43" s="343">
        <f>H42+H41</f>
        <v>37586.480000000003</v>
      </c>
    </row>
    <row r="44" spans="1:9" x14ac:dyDescent="0.2">
      <c r="A44" s="517"/>
      <c r="B44" s="517"/>
      <c r="C44" s="517"/>
      <c r="D44" s="517"/>
      <c r="E44" s="517"/>
      <c r="F44" s="517"/>
      <c r="G44" s="517"/>
      <c r="H44" s="517"/>
    </row>
  </sheetData>
  <mergeCells count="13">
    <mergeCell ref="A33:H33"/>
    <mergeCell ref="A44:H44"/>
    <mergeCell ref="A4:A5"/>
    <mergeCell ref="B4:B5"/>
    <mergeCell ref="C4:C5"/>
    <mergeCell ref="D4:H4"/>
    <mergeCell ref="A7:H7"/>
    <mergeCell ref="A11:H11"/>
    <mergeCell ref="A2:H2"/>
    <mergeCell ref="A16:H16"/>
    <mergeCell ref="A19:H19"/>
    <mergeCell ref="A22:H22"/>
    <mergeCell ref="A27:H27"/>
  </mergeCell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134"/>
  <sheetViews>
    <sheetView view="pageBreakPreview" topLeftCell="A35" zoomScaleNormal="100" zoomScaleSheetLayoutView="100" workbookViewId="0">
      <selection activeCell="D72" sqref="D72"/>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36" t="s">
        <v>228</v>
      </c>
      <c r="B10" s="537"/>
      <c r="C10" s="537"/>
      <c r="D10" s="537"/>
      <c r="E10" s="537"/>
      <c r="F10" s="537"/>
    </row>
    <row r="11" spans="1:256" ht="15.75" x14ac:dyDescent="0.25">
      <c r="A11" s="538" t="s">
        <v>222</v>
      </c>
      <c r="B11" s="538"/>
      <c r="C11" s="538"/>
      <c r="D11" s="538"/>
      <c r="E11" s="538"/>
      <c r="F11" s="538"/>
    </row>
    <row r="12" spans="1:256" ht="15.75" x14ac:dyDescent="0.25">
      <c r="A12" s="539" t="s">
        <v>221</v>
      </c>
      <c r="B12" s="539"/>
      <c r="C12" s="539"/>
      <c r="D12" s="539"/>
      <c r="E12" s="539"/>
      <c r="F12" s="53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57"/>
      <c r="J17" s="133">
        <v>7</v>
      </c>
      <c r="K17" s="133">
        <v>8</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2" t="s">
        <v>377</v>
      </c>
      <c r="B18" s="133"/>
      <c r="C18" s="133"/>
      <c r="D18" s="133"/>
      <c r="E18" s="133"/>
      <c r="F18" s="133"/>
      <c r="G18" s="133"/>
      <c r="H18" s="133"/>
      <c r="I18" s="359"/>
      <c r="J18" s="133"/>
      <c r="K18" s="133"/>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ht="15.75" x14ac:dyDescent="0.25">
      <c r="A19" s="308" t="s">
        <v>190</v>
      </c>
      <c r="B19" s="135">
        <f>28516.77-B29</f>
        <v>12856.66</v>
      </c>
      <c r="C19" s="134">
        <f>F75</f>
        <v>1.0575000000000001</v>
      </c>
      <c r="D19" s="135">
        <f>B19*C19</f>
        <v>13595.92</v>
      </c>
      <c r="E19" s="134">
        <f>D110</f>
        <v>1.0233000000000001</v>
      </c>
      <c r="F19" s="135">
        <f>D19*E19</f>
        <v>13912.7</v>
      </c>
      <c r="G19" s="136"/>
      <c r="H19" s="136"/>
      <c r="I19" s="283"/>
      <c r="J19" s="136"/>
      <c r="K19" s="136"/>
      <c r="L19" s="137"/>
      <c r="M19" s="137"/>
      <c r="N19" s="137"/>
      <c r="O19" s="137"/>
      <c r="P19" s="138"/>
    </row>
    <row r="20" spans="1:256" ht="15.75" x14ac:dyDescent="0.25">
      <c r="A20" s="308" t="s">
        <v>308</v>
      </c>
      <c r="B20" s="135">
        <v>258.26</v>
      </c>
      <c r="C20" s="134">
        <f>F75</f>
        <v>1.0575000000000001</v>
      </c>
      <c r="D20" s="135">
        <f t="shared" ref="D20:D25" si="0">B20*C20</f>
        <v>273.11</v>
      </c>
      <c r="E20" s="134">
        <f>D110</f>
        <v>1.0233000000000001</v>
      </c>
      <c r="F20" s="135">
        <f t="shared" ref="F20:F25" si="1">D20*E20</f>
        <v>279.47000000000003</v>
      </c>
      <c r="G20" s="136"/>
      <c r="H20" s="136"/>
      <c r="I20" s="283"/>
      <c r="J20" s="136"/>
      <c r="K20" s="136"/>
      <c r="L20" s="137">
        <f>(B19+B20+B29)*0.012</f>
        <v>345.30036000000001</v>
      </c>
      <c r="M20" s="137">
        <f>D24*E23</f>
        <v>14766.710184</v>
      </c>
      <c r="N20" s="137"/>
      <c r="O20" s="137"/>
      <c r="P20" s="138"/>
    </row>
    <row r="21" spans="1:256" ht="31.5" x14ac:dyDescent="0.25">
      <c r="A21" s="309" t="s">
        <v>312</v>
      </c>
      <c r="B21" s="135">
        <f>(B19)*0.012-0.01</f>
        <v>154.27000000000001</v>
      </c>
      <c r="C21" s="134">
        <f>F75</f>
        <v>1.0575000000000001</v>
      </c>
      <c r="D21" s="135">
        <f t="shared" si="0"/>
        <v>163.13999999999999</v>
      </c>
      <c r="E21" s="134">
        <f>D110</f>
        <v>1.0233000000000001</v>
      </c>
      <c r="F21" s="135">
        <f t="shared" si="1"/>
        <v>166.94</v>
      </c>
      <c r="G21" s="136"/>
      <c r="H21" s="136"/>
      <c r="I21" s="283"/>
      <c r="J21" s="136"/>
      <c r="K21" s="136"/>
      <c r="L21" s="140">
        <f>B21+B30</f>
        <v>342.19</v>
      </c>
      <c r="M21" s="137"/>
      <c r="N21" s="137"/>
      <c r="O21" s="137"/>
      <c r="P21" s="138"/>
    </row>
    <row r="22" spans="1:256" ht="15.75" x14ac:dyDescent="0.25">
      <c r="A22" s="308" t="s">
        <v>309</v>
      </c>
      <c r="B22" s="135">
        <v>109.08</v>
      </c>
      <c r="C22" s="134">
        <f>F75</f>
        <v>1.0575000000000001</v>
      </c>
      <c r="D22" s="135">
        <f t="shared" si="0"/>
        <v>115.35</v>
      </c>
      <c r="E22" s="134">
        <f>D110</f>
        <v>1.0233000000000001</v>
      </c>
      <c r="F22" s="135">
        <f t="shared" si="1"/>
        <v>118.04</v>
      </c>
      <c r="G22" s="136"/>
      <c r="H22" s="136"/>
      <c r="I22" s="283"/>
      <c r="J22" s="136"/>
      <c r="K22" s="136"/>
      <c r="L22" s="140">
        <f>B19+B20+B21+B22+B29+B30</f>
        <v>29226.3</v>
      </c>
      <c r="M22" s="140" t="e">
        <f>C19+#REF!+C20+C21+C22</f>
        <v>#REF!</v>
      </c>
      <c r="N22" s="140" t="e">
        <f>D19+#REF!+D20+D21+D22</f>
        <v>#REF!</v>
      </c>
      <c r="O22" s="140" t="e">
        <f>F19+#REF!+F20+F21+F22</f>
        <v>#REF!</v>
      </c>
      <c r="P22" s="138"/>
    </row>
    <row r="23" spans="1:256" ht="31.5" x14ac:dyDescent="0.25">
      <c r="A23" s="310" t="s">
        <v>191</v>
      </c>
      <c r="B23" s="135">
        <f>(B19+B20+B21+B22)*0.02</f>
        <v>267.57</v>
      </c>
      <c r="C23" s="134">
        <f>F75</f>
        <v>1.0575000000000001</v>
      </c>
      <c r="D23" s="135">
        <f t="shared" si="0"/>
        <v>282.95999999999998</v>
      </c>
      <c r="E23" s="134">
        <f>D110</f>
        <v>1.0233000000000001</v>
      </c>
      <c r="F23" s="135">
        <f t="shared" si="1"/>
        <v>289.55</v>
      </c>
      <c r="G23" s="136"/>
      <c r="H23" s="136"/>
      <c r="I23" s="283"/>
      <c r="J23" s="136"/>
      <c r="K23" s="136"/>
      <c r="L23" s="140">
        <f>L22*0.02</f>
        <v>584.53</v>
      </c>
      <c r="M23" s="140" t="e">
        <f>M22*0.02</f>
        <v>#REF!</v>
      </c>
      <c r="N23" s="140" t="e">
        <f>N22*0.02</f>
        <v>#REF!</v>
      </c>
      <c r="O23" s="137">
        <f>D23*E22</f>
        <v>289.55296800000002</v>
      </c>
      <c r="P23" s="138"/>
    </row>
    <row r="24" spans="1:256" ht="15.75" x14ac:dyDescent="0.25">
      <c r="A24" s="308" t="s">
        <v>192</v>
      </c>
      <c r="B24" s="135">
        <f>SUM(B19:B23)</f>
        <v>13645.84</v>
      </c>
      <c r="C24" s="134">
        <f>F75</f>
        <v>1.0575000000000001</v>
      </c>
      <c r="D24" s="135">
        <f t="shared" si="0"/>
        <v>14430.48</v>
      </c>
      <c r="E24" s="134">
        <f>D110</f>
        <v>1.0233000000000001</v>
      </c>
      <c r="F24" s="135">
        <f t="shared" si="1"/>
        <v>14766.71</v>
      </c>
      <c r="G24" s="136"/>
      <c r="H24" s="136"/>
      <c r="I24" s="283"/>
      <c r="J24" s="136"/>
      <c r="K24" s="136"/>
      <c r="L24" s="140">
        <f>D19+D20+D21+D22+D23</f>
        <v>14430.48</v>
      </c>
      <c r="M24" s="140">
        <f>E19+E20+E21+E22+E23</f>
        <v>5.12</v>
      </c>
      <c r="N24" s="140">
        <f>F19+F20+F21+F22+F23</f>
        <v>14766.7</v>
      </c>
      <c r="O24" s="137"/>
      <c r="P24" s="138"/>
    </row>
    <row r="25" spans="1:256" ht="15.75" x14ac:dyDescent="0.25">
      <c r="A25" s="308" t="s">
        <v>193</v>
      </c>
      <c r="B25" s="135">
        <f>B24*0.2</f>
        <v>2729.17</v>
      </c>
      <c r="C25" s="134">
        <f>F75</f>
        <v>1.0575000000000001</v>
      </c>
      <c r="D25" s="135">
        <f t="shared" si="0"/>
        <v>2886.1</v>
      </c>
      <c r="E25" s="134">
        <f>D110</f>
        <v>1.0233000000000001</v>
      </c>
      <c r="F25" s="135">
        <f t="shared" si="1"/>
        <v>2953.35</v>
      </c>
      <c r="G25" s="136"/>
      <c r="H25" s="136"/>
      <c r="I25" s="283"/>
      <c r="J25" s="136"/>
      <c r="K25" s="136"/>
      <c r="L25" s="137">
        <f>D24*0.2</f>
        <v>2886.096</v>
      </c>
      <c r="M25" s="137">
        <f>D24*0.2</f>
        <v>2886.096</v>
      </c>
      <c r="N25" s="137">
        <f>N24*0.2</f>
        <v>2953.34</v>
      </c>
      <c r="O25" s="137"/>
      <c r="P25" s="138"/>
    </row>
    <row r="26" spans="1:256" ht="15.75" x14ac:dyDescent="0.25">
      <c r="A26" s="271" t="s">
        <v>346</v>
      </c>
      <c r="B26" s="275">
        <f>B24+B25</f>
        <v>16375.01</v>
      </c>
      <c r="C26" s="360"/>
      <c r="D26" s="275">
        <f>D24+D25</f>
        <v>17316.580000000002</v>
      </c>
      <c r="E26" s="360"/>
      <c r="F26" s="275">
        <f>F24+F25</f>
        <v>17720.060000000001</v>
      </c>
      <c r="G26" s="136"/>
      <c r="H26" s="136"/>
      <c r="I26" s="283"/>
      <c r="J26" s="135"/>
      <c r="K26" s="135"/>
      <c r="L26" s="137">
        <f>J26+K26</f>
        <v>0</v>
      </c>
      <c r="M26" s="137"/>
      <c r="N26" s="137"/>
      <c r="O26" s="137"/>
      <c r="P26" s="138"/>
    </row>
    <row r="27" spans="1:256" ht="15.75" x14ac:dyDescent="0.25">
      <c r="A27" s="272"/>
      <c r="B27" s="135"/>
      <c r="C27" s="134"/>
      <c r="D27" s="135"/>
      <c r="E27" s="134"/>
      <c r="F27" s="135"/>
      <c r="G27" s="136"/>
      <c r="H27" s="136"/>
      <c r="I27" s="283"/>
      <c r="J27" s="135"/>
      <c r="K27" s="135"/>
      <c r="L27" s="137"/>
      <c r="M27" s="137"/>
      <c r="N27" s="137"/>
      <c r="O27" s="137"/>
      <c r="P27" s="138"/>
    </row>
    <row r="28" spans="1:256" ht="15.75" x14ac:dyDescent="0.25">
      <c r="A28" s="272" t="s">
        <v>378</v>
      </c>
      <c r="B28" s="135"/>
      <c r="C28" s="134"/>
      <c r="D28" s="135"/>
      <c r="E28" s="134"/>
      <c r="F28" s="135"/>
      <c r="G28" s="136"/>
      <c r="H28" s="136"/>
      <c r="I28" s="283"/>
      <c r="J28" s="136"/>
      <c r="K28" s="136"/>
      <c r="L28" s="137">
        <f>B26*C25</f>
        <v>17316.573075</v>
      </c>
      <c r="M28" s="137"/>
      <c r="N28" s="137"/>
      <c r="O28" s="137"/>
      <c r="P28" s="138"/>
    </row>
    <row r="29" spans="1:256" ht="47.25" x14ac:dyDescent="0.25">
      <c r="A29" s="311" t="s">
        <v>339</v>
      </c>
      <c r="B29" s="135">
        <v>15660.11</v>
      </c>
      <c r="C29" s="134">
        <f>F78</f>
        <v>1.0172000000000001</v>
      </c>
      <c r="D29" s="135">
        <f>B29*C29</f>
        <v>15929.46</v>
      </c>
      <c r="E29" s="134">
        <f>D110</f>
        <v>1.0233000000000001</v>
      </c>
      <c r="F29" s="135">
        <f>D29*E29</f>
        <v>16300.62</v>
      </c>
      <c r="G29" s="136"/>
      <c r="H29" s="136"/>
      <c r="I29" s="283"/>
      <c r="J29" s="136"/>
      <c r="K29" s="136"/>
      <c r="L29" s="140">
        <f>B19+B29</f>
        <v>28516.77</v>
      </c>
      <c r="M29" s="137"/>
      <c r="N29" s="137"/>
      <c r="O29" s="137"/>
      <c r="P29" s="138"/>
    </row>
    <row r="30" spans="1:256" ht="31.5" x14ac:dyDescent="0.25">
      <c r="A30" s="311" t="s">
        <v>312</v>
      </c>
      <c r="B30" s="135">
        <f>B29*0.012</f>
        <v>187.92</v>
      </c>
      <c r="C30" s="134">
        <f>F78</f>
        <v>1.0172000000000001</v>
      </c>
      <c r="D30" s="135">
        <f>B30*C30</f>
        <v>191.15</v>
      </c>
      <c r="E30" s="134">
        <f>D110</f>
        <v>1.0233000000000001</v>
      </c>
      <c r="F30" s="135">
        <f>D30*E30</f>
        <v>195.6</v>
      </c>
      <c r="G30" s="136"/>
      <c r="H30" s="136"/>
      <c r="I30" s="283"/>
      <c r="J30" s="136"/>
      <c r="K30" s="136"/>
      <c r="L30" s="137"/>
      <c r="M30" s="137"/>
      <c r="N30" s="137"/>
      <c r="O30" s="137"/>
      <c r="P30" s="138"/>
    </row>
    <row r="31" spans="1:256" ht="31.5" x14ac:dyDescent="0.25">
      <c r="A31" s="312" t="s">
        <v>191</v>
      </c>
      <c r="B31" s="135">
        <f>(B29+B30)*0.02</f>
        <v>316.95999999999998</v>
      </c>
      <c r="C31" s="134">
        <f>F78</f>
        <v>1.0172000000000001</v>
      </c>
      <c r="D31" s="135">
        <f>B31*C31</f>
        <v>322.41000000000003</v>
      </c>
      <c r="E31" s="134">
        <f>D110</f>
        <v>1.0233000000000001</v>
      </c>
      <c r="F31" s="135">
        <f>D31*E31-0.01</f>
        <v>329.91</v>
      </c>
      <c r="G31" s="136"/>
      <c r="H31" s="136"/>
      <c r="I31" s="283"/>
      <c r="J31" s="136"/>
      <c r="K31" s="136"/>
      <c r="L31" s="137"/>
      <c r="M31" s="140">
        <f>B23+B31</f>
        <v>584.53</v>
      </c>
      <c r="N31" s="137"/>
      <c r="O31" s="137"/>
      <c r="P31" s="138"/>
    </row>
    <row r="32" spans="1:256" ht="15.75" x14ac:dyDescent="0.25">
      <c r="A32" s="313" t="s">
        <v>192</v>
      </c>
      <c r="B32" s="135">
        <f>B29+B30+B31</f>
        <v>16164.99</v>
      </c>
      <c r="C32" s="134">
        <f>F78</f>
        <v>1.0172000000000001</v>
      </c>
      <c r="D32" s="135">
        <f>B32*C32</f>
        <v>16443.03</v>
      </c>
      <c r="E32" s="134" t="s">
        <v>197</v>
      </c>
      <c r="F32" s="135" t="e">
        <f>D32*E32</f>
        <v>#VALUE!</v>
      </c>
      <c r="G32" s="136"/>
      <c r="H32" s="136"/>
      <c r="I32" s="283"/>
      <c r="J32" s="136"/>
      <c r="K32" s="136"/>
      <c r="L32" s="140">
        <f>D29+D30+D31</f>
        <v>16443.02</v>
      </c>
      <c r="M32" s="137"/>
      <c r="N32" s="137"/>
      <c r="O32" s="137"/>
      <c r="P32" s="138"/>
    </row>
    <row r="33" spans="1:256" ht="15.75" x14ac:dyDescent="0.25">
      <c r="A33" s="313" t="s">
        <v>193</v>
      </c>
      <c r="B33" s="135">
        <f>B32*0.2</f>
        <v>3233</v>
      </c>
      <c r="C33" s="134">
        <f>F78</f>
        <v>1.0172000000000001</v>
      </c>
      <c r="D33" s="135">
        <f>B33*C33</f>
        <v>3288.61</v>
      </c>
      <c r="E33" s="134">
        <f>D110</f>
        <v>1.0233000000000001</v>
      </c>
      <c r="F33" s="135">
        <f>D33*E33</f>
        <v>3365.23</v>
      </c>
      <c r="G33" s="136"/>
      <c r="H33" s="136"/>
      <c r="I33" s="283"/>
      <c r="J33" s="136"/>
      <c r="K33" s="136"/>
      <c r="L33" s="140">
        <f>L32*0.2</f>
        <v>3288.6</v>
      </c>
      <c r="M33" s="137" t="e">
        <f>F32*0.2</f>
        <v>#VALUE!</v>
      </c>
      <c r="N33" s="137"/>
      <c r="O33" s="137"/>
      <c r="P33" s="138"/>
    </row>
    <row r="34" spans="1:256" ht="15.75" x14ac:dyDescent="0.25">
      <c r="A34" s="271" t="s">
        <v>346</v>
      </c>
      <c r="B34" s="275">
        <f>B32+B33</f>
        <v>19397.990000000002</v>
      </c>
      <c r="C34" s="134"/>
      <c r="D34" s="275">
        <f>D32+D33</f>
        <v>19731.64</v>
      </c>
      <c r="E34" s="134"/>
      <c r="F34" s="135" t="e">
        <f>F32+F33</f>
        <v>#VALUE!</v>
      </c>
      <c r="G34" s="136"/>
      <c r="H34" s="136"/>
      <c r="I34" s="283"/>
      <c r="J34" s="136"/>
      <c r="K34" s="136"/>
      <c r="L34" s="137">
        <f>B34*C33</f>
        <v>19731.635428000001</v>
      </c>
      <c r="M34" s="137"/>
      <c r="N34" s="137">
        <f>D34*E33</f>
        <v>20191.387212000001</v>
      </c>
      <c r="O34" s="137"/>
      <c r="P34" s="138"/>
    </row>
    <row r="35" spans="1:256" ht="15.75" x14ac:dyDescent="0.25">
      <c r="A35" s="271" t="s">
        <v>310</v>
      </c>
      <c r="B35" s="275">
        <f>B26+B34</f>
        <v>35773</v>
      </c>
      <c r="C35" s="134"/>
      <c r="D35" s="275">
        <f>D26+D34</f>
        <v>37048.22</v>
      </c>
      <c r="E35" s="134"/>
      <c r="F35" s="275" t="e">
        <f>F26+F34</f>
        <v>#VALUE!</v>
      </c>
      <c r="G35" s="136"/>
      <c r="H35" s="136"/>
      <c r="I35" s="283"/>
      <c r="J35" s="275" t="e">
        <f>F35*E82</f>
        <v>#VALUE!</v>
      </c>
      <c r="K35" s="275" t="e">
        <f>F35*E83</f>
        <v>#VALUE!</v>
      </c>
      <c r="L35" s="140">
        <f>B35*C19</f>
        <v>37829.949999999997</v>
      </c>
      <c r="M35" s="140" t="e">
        <f>J35+K35</f>
        <v>#VALUE!</v>
      </c>
      <c r="N35" s="137"/>
      <c r="O35" s="137"/>
      <c r="P35" s="138"/>
    </row>
    <row r="36" spans="1:256" ht="15.75" x14ac:dyDescent="0.25">
      <c r="A36" s="271"/>
      <c r="B36" s="275"/>
      <c r="C36" s="282"/>
      <c r="D36" s="275"/>
      <c r="E36" s="282"/>
      <c r="F36" s="275"/>
      <c r="G36" s="136"/>
      <c r="H36" s="136"/>
      <c r="I36" s="283"/>
      <c r="J36" s="275"/>
      <c r="K36" s="275"/>
      <c r="L36" s="140"/>
      <c r="M36" s="140"/>
      <c r="N36" s="137"/>
      <c r="O36" s="137"/>
      <c r="P36" s="138"/>
    </row>
    <row r="37" spans="1:256" ht="15.75" x14ac:dyDescent="0.25">
      <c r="A37" s="272" t="s">
        <v>377</v>
      </c>
      <c r="B37" s="275"/>
      <c r="C37" s="282"/>
      <c r="D37" s="275"/>
      <c r="E37" s="282"/>
      <c r="F37" s="275"/>
      <c r="G37" s="136"/>
      <c r="H37" s="136"/>
      <c r="I37" s="283"/>
      <c r="J37" s="275"/>
      <c r="K37" s="275"/>
      <c r="L37" s="140"/>
      <c r="M37" s="140"/>
      <c r="N37" s="137"/>
      <c r="O37" s="137"/>
      <c r="P37" s="138"/>
    </row>
    <row r="38" spans="1:256" ht="15.75" x14ac:dyDescent="0.25">
      <c r="A38" s="314" t="s">
        <v>311</v>
      </c>
      <c r="B38" s="135">
        <v>1813.5</v>
      </c>
      <c r="C38" s="134">
        <f>F75</f>
        <v>1.0575000000000001</v>
      </c>
      <c r="D38" s="135">
        <f>B38*C38</f>
        <v>1917.78</v>
      </c>
      <c r="E38" s="134">
        <f>C121</f>
        <v>1.0158</v>
      </c>
      <c r="F38" s="135">
        <f>D38*E38</f>
        <v>1948.08</v>
      </c>
      <c r="G38" s="136"/>
      <c r="H38" s="136"/>
      <c r="I38" s="283"/>
      <c r="J38" s="136"/>
      <c r="K38" s="136"/>
      <c r="L38" s="137"/>
      <c r="M38" s="137"/>
      <c r="N38" s="137"/>
      <c r="O38" s="137"/>
      <c r="P38" s="138"/>
    </row>
    <row r="39" spans="1:256" ht="37.5" customHeight="1" x14ac:dyDescent="0.25">
      <c r="A39" s="271" t="s">
        <v>310</v>
      </c>
      <c r="B39" s="276">
        <f>B38</f>
        <v>1813.5</v>
      </c>
      <c r="C39" s="261"/>
      <c r="D39" s="275">
        <f>D38</f>
        <v>1917.78</v>
      </c>
      <c r="E39" s="134"/>
      <c r="F39" s="275">
        <f>F38</f>
        <v>1948.08</v>
      </c>
      <c r="G39" s="136"/>
      <c r="H39" s="136"/>
      <c r="I39" s="283"/>
      <c r="J39" s="275">
        <f>F39</f>
        <v>1948.08</v>
      </c>
      <c r="K39" s="275"/>
      <c r="L39" s="140">
        <f>B39*C38</f>
        <v>1917.78</v>
      </c>
      <c r="M39" s="137" t="e">
        <f>#REF!*#REF!</f>
        <v>#REF!</v>
      </c>
      <c r="N39" s="140"/>
      <c r="O39" s="137"/>
      <c r="S39" s="138"/>
      <c r="T39" s="138"/>
    </row>
    <row r="40" spans="1:256" s="280" customFormat="1" ht="15.75" x14ac:dyDescent="0.25">
      <c r="A40" s="198" t="s">
        <v>313</v>
      </c>
      <c r="B40" s="199">
        <f>B35+B39</f>
        <v>37586.5</v>
      </c>
      <c r="C40" s="281"/>
      <c r="D40" s="199">
        <f>D35+D39</f>
        <v>38966</v>
      </c>
      <c r="E40" s="199"/>
      <c r="F40" s="199" t="e">
        <f t="shared" ref="F40:K40" si="2">F35+F39</f>
        <v>#VALUE!</v>
      </c>
      <c r="G40" s="199">
        <f t="shared" si="2"/>
        <v>0</v>
      </c>
      <c r="H40" s="199">
        <f t="shared" si="2"/>
        <v>0</v>
      </c>
      <c r="I40" s="199">
        <f t="shared" si="2"/>
        <v>0</v>
      </c>
      <c r="J40" s="199" t="e">
        <f t="shared" si="2"/>
        <v>#VALUE!</v>
      </c>
      <c r="K40" s="199" t="e">
        <f t="shared" si="2"/>
        <v>#VALUE!</v>
      </c>
      <c r="L40" s="278"/>
      <c r="M40" s="279" t="e">
        <f>B19+B40+#REF!</f>
        <v>#REF!</v>
      </c>
      <c r="N40" s="278"/>
      <c r="O40" s="278"/>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row>
    <row r="41" spans="1:256" ht="12" customHeight="1" x14ac:dyDescent="0.25">
      <c r="A41" s="535"/>
      <c r="B41" s="535"/>
      <c r="C41" s="535"/>
      <c r="D41" s="535"/>
      <c r="E41" s="535"/>
      <c r="F41" s="535"/>
      <c r="G41" s="143"/>
      <c r="H41" s="144"/>
      <c r="I41" s="144"/>
      <c r="J41" s="144"/>
      <c r="K41" s="144"/>
      <c r="L41" s="145"/>
      <c r="M41" s="146"/>
      <c r="N41" s="145"/>
      <c r="O41" s="137"/>
    </row>
    <row r="42" spans="1:256" hidden="1" x14ac:dyDescent="0.25">
      <c r="A42" s="535"/>
      <c r="B42" s="535"/>
      <c r="C42" s="535"/>
      <c r="D42" s="535"/>
      <c r="E42" s="535"/>
      <c r="F42" s="535"/>
      <c r="H42" s="144"/>
      <c r="I42" s="144"/>
      <c r="J42" s="144"/>
      <c r="K42" s="144"/>
      <c r="L42" s="145"/>
      <c r="M42" s="146"/>
      <c r="N42" s="145"/>
      <c r="O42" s="137"/>
    </row>
    <row r="43" spans="1:256" hidden="1" x14ac:dyDescent="0.25">
      <c r="A43" s="530"/>
      <c r="B43" s="530"/>
      <c r="C43" s="530"/>
      <c r="D43" s="148"/>
      <c r="E43" s="358"/>
      <c r="F43" s="358"/>
      <c r="H43" s="149"/>
      <c r="I43" s="144"/>
      <c r="J43" s="144"/>
      <c r="K43" s="144"/>
      <c r="L43" s="145"/>
      <c r="M43" s="146"/>
      <c r="N43" s="145"/>
      <c r="O43" s="137"/>
    </row>
    <row r="44" spans="1:256" ht="12" customHeight="1" x14ac:dyDescent="0.25">
      <c r="A44" s="358"/>
      <c r="G44" s="150"/>
      <c r="H44" s="150"/>
      <c r="I44" s="150"/>
      <c r="J44" s="150"/>
      <c r="K44" s="150"/>
      <c r="L44" s="151"/>
      <c r="M44" s="151"/>
      <c r="N44" s="145"/>
      <c r="O44" s="137"/>
    </row>
    <row r="45" spans="1:256" x14ac:dyDescent="0.25">
      <c r="A45" s="152" t="s">
        <v>194</v>
      </c>
      <c r="B45" s="153" t="s">
        <v>285</v>
      </c>
      <c r="C45" s="154"/>
      <c r="D45" s="197"/>
      <c r="F45" s="131"/>
      <c r="G45" s="125"/>
      <c r="H45" s="125"/>
      <c r="I45" s="144"/>
      <c r="J45" s="144"/>
      <c r="K45" s="144"/>
      <c r="L45" s="155"/>
      <c r="M45" s="145"/>
      <c r="N45" s="145"/>
      <c r="O45" s="15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x14ac:dyDescent="0.25">
      <c r="A46" s="152" t="s">
        <v>195</v>
      </c>
      <c r="B46" s="263" t="s">
        <v>283</v>
      </c>
      <c r="C46" s="129"/>
      <c r="D46" s="156"/>
      <c r="E46" s="156"/>
      <c r="F46" s="142"/>
      <c r="G46" s="157"/>
      <c r="H46" s="125"/>
      <c r="I46" s="144"/>
      <c r="J46" s="144"/>
      <c r="K46" s="144"/>
      <c r="L46" s="125"/>
      <c r="M46" s="307" t="e">
        <f>J40+K40</f>
        <v>#VALUE!</v>
      </c>
      <c r="N46" s="157"/>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ht="15.75" x14ac:dyDescent="0.25">
      <c r="A47" s="152" t="s">
        <v>196</v>
      </c>
      <c r="B47" s="263" t="s">
        <v>284</v>
      </c>
      <c r="C47" s="129" t="s">
        <v>197</v>
      </c>
      <c r="D47" s="129"/>
      <c r="E47" s="156"/>
      <c r="F47" s="158"/>
      <c r="G47" s="155"/>
      <c r="H47" s="159"/>
      <c r="I47" s="144"/>
      <c r="J47" s="144"/>
      <c r="K47" s="144"/>
      <c r="L47" s="144"/>
      <c r="M47" s="144"/>
      <c r="N47" s="144"/>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29"/>
      <c r="B48" s="129"/>
      <c r="C48" s="129"/>
      <c r="D48" s="129"/>
      <c r="E48" s="129"/>
      <c r="F48" s="160"/>
      <c r="G48" s="125"/>
      <c r="H48" s="125"/>
      <c r="I48" s="161"/>
      <c r="J48" s="161"/>
      <c r="K48" s="161"/>
      <c r="L48" s="162"/>
      <c r="M48" s="125"/>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ht="25.5" customHeight="1" x14ac:dyDescent="0.25">
      <c r="A49" s="152" t="s">
        <v>198</v>
      </c>
      <c r="B49" s="527" t="s">
        <v>281</v>
      </c>
      <c r="C49" s="527"/>
      <c r="D49" s="129"/>
      <c r="E49" s="129"/>
      <c r="F49" s="129"/>
      <c r="G49" s="125"/>
      <c r="H49" s="125"/>
      <c r="I49" s="125"/>
      <c r="J49" s="125"/>
      <c r="K49" s="125"/>
      <c r="L49" s="163"/>
      <c r="M49" s="144"/>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t="s">
        <v>199</v>
      </c>
      <c r="B50" s="356" t="s">
        <v>282</v>
      </c>
      <c r="C50" s="129"/>
      <c r="D50" s="129"/>
      <c r="E50" s="129"/>
      <c r="F50" s="129"/>
      <c r="G50" s="125"/>
      <c r="H50" s="125"/>
      <c r="I50" s="125"/>
      <c r="J50" s="125"/>
      <c r="K50" s="125"/>
      <c r="L50" s="125"/>
      <c r="M50" s="144"/>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x14ac:dyDescent="0.25">
      <c r="A51" s="152"/>
      <c r="B51" s="356"/>
      <c r="C51" s="129"/>
      <c r="D51" s="129"/>
      <c r="E51" s="129"/>
      <c r="F51" s="129"/>
      <c r="G51" s="125"/>
      <c r="H51" s="157"/>
      <c r="I51" s="125"/>
      <c r="J51" s="125"/>
      <c r="K51" s="125"/>
      <c r="L51" s="125"/>
      <c r="M51" s="144"/>
      <c r="N51" s="144"/>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ht="8.25" customHeight="1" x14ac:dyDescent="0.25">
      <c r="A52" s="129"/>
      <c r="B52" s="165"/>
      <c r="C52" s="129"/>
      <c r="D52" s="129"/>
      <c r="E52" s="129"/>
      <c r="F52" s="129"/>
      <c r="H52" s="125"/>
      <c r="I52" s="125"/>
      <c r="J52" s="125"/>
      <c r="K52" s="125"/>
      <c r="L52" s="125"/>
      <c r="M52" s="161"/>
      <c r="N52" s="144"/>
    </row>
    <row r="53" spans="1:256" ht="33" customHeight="1" x14ac:dyDescent="0.25">
      <c r="A53" s="528" t="s">
        <v>200</v>
      </c>
      <c r="B53" s="528"/>
      <c r="C53" s="528"/>
      <c r="D53" s="528"/>
      <c r="E53" s="528"/>
      <c r="F53" s="528"/>
      <c r="G53" s="125"/>
      <c r="H53" s="125"/>
      <c r="I53" s="125"/>
      <c r="J53" s="125"/>
      <c r="K53" s="125"/>
      <c r="L53" s="125"/>
      <c r="M53" s="144"/>
      <c r="N53" s="144"/>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6.75" customHeight="1" x14ac:dyDescent="0.25">
      <c r="A54" s="166"/>
      <c r="B54" s="166"/>
      <c r="C54" s="166"/>
      <c r="D54" s="166"/>
      <c r="E54" s="166"/>
      <c r="F54" s="166"/>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ht="29.25" x14ac:dyDescent="0.25">
      <c r="A55" s="167" t="s">
        <v>201</v>
      </c>
      <c r="B55" s="167" t="s">
        <v>202</v>
      </c>
      <c r="C55" s="167" t="s">
        <v>203</v>
      </c>
      <c r="D55" s="168"/>
      <c r="E55" s="166"/>
      <c r="F55" s="166"/>
      <c r="G55" s="125"/>
      <c r="H55" s="125"/>
      <c r="I55" s="125" t="e">
        <f>#REF!-#REF!</f>
        <v>#REF!</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204</v>
      </c>
      <c r="B56" s="267">
        <v>100.45</v>
      </c>
      <c r="C56" s="266">
        <v>1.0044999999999999</v>
      </c>
      <c r="D56" s="170"/>
      <c r="E56" s="170"/>
      <c r="F56" s="147"/>
      <c r="G56" s="171"/>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205</v>
      </c>
      <c r="B57" s="268">
        <v>100.32</v>
      </c>
      <c r="C57" s="266">
        <v>1.0032000000000001</v>
      </c>
      <c r="D57" s="170"/>
      <c r="E57" s="170"/>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206</v>
      </c>
      <c r="B58" s="268">
        <v>100.49</v>
      </c>
      <c r="C58" s="266">
        <v>1.0048999999999999</v>
      </c>
      <c r="D58" s="173"/>
      <c r="E58" s="173"/>
      <c r="F58" s="153"/>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207</v>
      </c>
      <c r="B59" s="268">
        <v>100.64</v>
      </c>
      <c r="C59" s="266">
        <v>1.0064</v>
      </c>
      <c r="D59" s="174"/>
      <c r="E59" s="147"/>
      <c r="F59" s="175"/>
      <c r="G59" s="172"/>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69" t="s">
        <v>208</v>
      </c>
      <c r="B60" s="268" t="s">
        <v>293</v>
      </c>
      <c r="C60" s="266">
        <v>1.0062</v>
      </c>
      <c r="D60" s="529"/>
      <c r="E60" s="530"/>
      <c r="F60" s="176"/>
      <c r="G60" s="172"/>
      <c r="H60" s="128"/>
      <c r="I60" s="128"/>
      <c r="J60" s="128"/>
      <c r="K60" s="128"/>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7" t="s">
        <v>209</v>
      </c>
      <c r="B61" s="268" t="s">
        <v>294</v>
      </c>
      <c r="C61" s="266">
        <v>1.0047999999999999</v>
      </c>
      <c r="D61" s="125"/>
      <c r="E61" s="125"/>
      <c r="F61" s="178"/>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79" t="s">
        <v>210</v>
      </c>
      <c r="B62" s="268" t="s">
        <v>295</v>
      </c>
      <c r="C62" s="266" t="s">
        <v>303</v>
      </c>
      <c r="D62" s="529"/>
      <c r="E62" s="530"/>
      <c r="F62" s="530"/>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212</v>
      </c>
      <c r="B63" s="268" t="s">
        <v>296</v>
      </c>
      <c r="C63" s="266">
        <v>0.99080000000000001</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286</v>
      </c>
      <c r="B64" s="268" t="s">
        <v>297</v>
      </c>
      <c r="C64" s="266">
        <v>0.99870000000000003</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287</v>
      </c>
      <c r="B65" s="268" t="s">
        <v>298</v>
      </c>
      <c r="C65" s="266">
        <v>0.98370000000000002</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288</v>
      </c>
      <c r="B66" s="268" t="s">
        <v>299</v>
      </c>
      <c r="C66" s="266" t="s">
        <v>301</v>
      </c>
      <c r="D66" s="174"/>
      <c r="E66" s="147"/>
      <c r="F66" s="147"/>
      <c r="G66" s="172"/>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289</v>
      </c>
      <c r="B67" s="268" t="s">
        <v>300</v>
      </c>
      <c r="C67" s="266" t="s">
        <v>302</v>
      </c>
      <c r="D67" s="174"/>
      <c r="E67" s="147"/>
      <c r="F67" s="147"/>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290</v>
      </c>
      <c r="B68" s="268">
        <v>100.57</v>
      </c>
      <c r="C68" s="266">
        <v>1.0057</v>
      </c>
      <c r="D68" s="529"/>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264" t="s">
        <v>291</v>
      </c>
      <c r="B69" s="268">
        <v>100.57</v>
      </c>
      <c r="C69" s="266">
        <v>1.0057</v>
      </c>
      <c r="D69" s="529" t="s">
        <v>211</v>
      </c>
      <c r="E69" s="530"/>
      <c r="F69" s="530"/>
      <c r="G69" s="172"/>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79" t="s">
        <v>292</v>
      </c>
      <c r="B70" s="268">
        <v>100.57</v>
      </c>
      <c r="C70" s="266">
        <v>1.0057</v>
      </c>
      <c r="D70" s="529" t="s">
        <v>211</v>
      </c>
      <c r="E70" s="530"/>
      <c r="F70" s="530"/>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80"/>
      <c r="B71" s="173"/>
      <c r="C71" s="181"/>
      <c r="D71" s="147"/>
      <c r="E71" s="147"/>
      <c r="F71" s="178"/>
      <c r="G71" s="172"/>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176" t="s">
        <v>213</v>
      </c>
      <c r="B72" s="182"/>
      <c r="C72" s="153"/>
      <c r="D72" s="153"/>
      <c r="E72" s="153"/>
      <c r="F72" s="183"/>
      <c r="G72" s="172"/>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x14ac:dyDescent="0.25">
      <c r="A73" s="265" t="s">
        <v>304</v>
      </c>
      <c r="B73" s="182"/>
      <c r="C73" s="153"/>
      <c r="D73" s="153"/>
      <c r="E73" s="153"/>
      <c r="F73" s="183"/>
      <c r="G73" s="172"/>
      <c r="H73" s="125"/>
      <c r="I73" s="125"/>
      <c r="J73" s="125"/>
      <c r="K73" s="125"/>
      <c r="L73" s="125"/>
      <c r="M73" s="125">
        <f>PRODUCT(C56:C70)</f>
        <v>1.0201967785683801</v>
      </c>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ht="9.75" customHeight="1" x14ac:dyDescent="0.25">
      <c r="A74" s="184"/>
      <c r="B74" s="185"/>
      <c r="C74" s="129"/>
      <c r="D74" s="156"/>
      <c r="E74" s="129"/>
      <c r="F74" s="186"/>
      <c r="G74" s="172"/>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36" customHeight="1" x14ac:dyDescent="0.25">
      <c r="A75" s="531" t="s">
        <v>370</v>
      </c>
      <c r="B75" s="531"/>
      <c r="C75" s="531"/>
      <c r="D75" s="531"/>
      <c r="E75" s="531"/>
      <c r="F75" s="175">
        <f>C56*C57*C58*C59*C60*C61*C62*C63*C64*C65*C66*C67*C68*C69*C70</f>
        <v>1.0575000000000001</v>
      </c>
      <c r="H75" s="125"/>
      <c r="I75" s="125"/>
      <c r="J75" s="125"/>
      <c r="K75" s="125"/>
      <c r="L75" s="125"/>
      <c r="M75" s="269">
        <f>C56*C57*C58*C59*C60*C61*C62*C63*C64*C65*C66*C67*C68*C69*C70</f>
        <v>1.0575000000000001</v>
      </c>
      <c r="N75" s="125"/>
      <c r="O75" s="125">
        <f>PRODUCT(C56:C70)</f>
        <v>1.0201967785683801</v>
      </c>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8.25" customHeight="1" x14ac:dyDescent="0.25">
      <c r="A76" s="244"/>
      <c r="B76" s="244"/>
      <c r="C76" s="244"/>
      <c r="D76" s="244"/>
      <c r="E76" s="244"/>
      <c r="F76" s="17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18" customHeight="1" x14ac:dyDescent="0.25">
      <c r="A77" s="265" t="s">
        <v>305</v>
      </c>
      <c r="B77" s="244"/>
      <c r="C77" s="244"/>
      <c r="D77" s="244"/>
      <c r="E77" s="244"/>
      <c r="F77" s="17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ht="23.25" customHeight="1" x14ac:dyDescent="0.25">
      <c r="A78" s="531" t="s">
        <v>371</v>
      </c>
      <c r="B78" s="531"/>
      <c r="C78" s="531"/>
      <c r="D78" s="531"/>
      <c r="E78" s="531"/>
      <c r="F78" s="175">
        <f>C68*C69*C70</f>
        <v>1.0172000000000001</v>
      </c>
      <c r="H78" s="125"/>
      <c r="I78" s="125"/>
      <c r="J78" s="125"/>
      <c r="K78" s="125"/>
      <c r="L78" s="125"/>
      <c r="M78" s="125">
        <f>C68*C69*C70</f>
        <v>1.017197655193</v>
      </c>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76" t="s">
        <v>197</v>
      </c>
      <c r="B79" s="176"/>
      <c r="C79" s="176"/>
      <c r="D79" s="125"/>
      <c r="E79" s="176"/>
      <c r="F79" s="187"/>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78" t="s">
        <v>214</v>
      </c>
      <c r="B80" s="178"/>
      <c r="C80" s="178"/>
      <c r="D80" s="178"/>
      <c r="E80" s="178"/>
      <c r="F80" s="187"/>
      <c r="G80" s="188"/>
      <c r="H80" s="189"/>
      <c r="I80" s="188"/>
      <c r="J80" s="188"/>
      <c r="K80" s="188"/>
      <c r="L80" s="188"/>
      <c r="M80" s="188"/>
    </row>
    <row r="81" spans="1:256" x14ac:dyDescent="0.25">
      <c r="A81" s="191"/>
      <c r="B81" s="191"/>
      <c r="C81" s="191"/>
      <c r="D81" s="191"/>
      <c r="E81" s="191"/>
      <c r="F81" s="192"/>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pans="1:256" ht="38.25" customHeight="1" x14ac:dyDescent="0.25">
      <c r="A82" s="153" t="s">
        <v>315</v>
      </c>
      <c r="B82" s="153"/>
      <c r="C82" s="153"/>
      <c r="D82" s="125"/>
      <c r="E82" s="305">
        <v>6.0000000000000001E-3</v>
      </c>
      <c r="F82" s="190"/>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pans="1:256" x14ac:dyDescent="0.25">
      <c r="A83" s="153" t="s">
        <v>316</v>
      </c>
      <c r="B83" s="153"/>
      <c r="C83" s="153"/>
      <c r="D83" s="125"/>
      <c r="E83" s="305">
        <v>0.99399999999999999</v>
      </c>
      <c r="F83" s="190"/>
      <c r="G83" s="125"/>
      <c r="H83" s="125"/>
      <c r="I83" s="125"/>
      <c r="J83" s="125"/>
      <c r="K83" s="125"/>
      <c r="L83" s="125"/>
      <c r="M83" s="125"/>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row>
    <row r="84" spans="1:256" ht="18.75" customHeight="1" x14ac:dyDescent="0.25">
      <c r="A84" s="153"/>
      <c r="B84" s="178"/>
      <c r="C84" s="178"/>
      <c r="D84" s="178"/>
      <c r="E84" s="183"/>
      <c r="F84" s="190"/>
      <c r="G84" s="125"/>
      <c r="H84" s="125"/>
      <c r="I84" s="125"/>
      <c r="J84" s="125"/>
      <c r="K84" s="125"/>
      <c r="L84" s="125"/>
      <c r="M84" s="125"/>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c r="CH84" s="188"/>
      <c r="CI84" s="188"/>
      <c r="CJ84" s="188"/>
      <c r="CK84" s="188"/>
      <c r="CL84" s="188"/>
      <c r="CM84" s="188"/>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188"/>
      <c r="DM84" s="188"/>
      <c r="DN84" s="188"/>
      <c r="DO84" s="188"/>
      <c r="DP84" s="188"/>
      <c r="DQ84" s="188"/>
      <c r="DR84" s="188"/>
      <c r="DS84" s="188"/>
      <c r="DT84" s="188"/>
      <c r="DU84" s="188"/>
      <c r="DV84" s="188"/>
      <c r="DW84" s="188"/>
      <c r="DX84" s="188"/>
      <c r="DY84" s="188"/>
      <c r="DZ84" s="188"/>
      <c r="EA84" s="188"/>
      <c r="EB84" s="188"/>
      <c r="EC84" s="188"/>
      <c r="ED84" s="188"/>
      <c r="EE84" s="188"/>
      <c r="EF84" s="188"/>
      <c r="EG84" s="188"/>
      <c r="EH84" s="188"/>
      <c r="EI84" s="188"/>
      <c r="EJ84" s="188"/>
      <c r="EK84" s="188"/>
      <c r="EL84" s="188"/>
      <c r="EM84" s="188"/>
      <c r="EN84" s="188"/>
      <c r="EO84" s="188"/>
      <c r="EP84" s="188"/>
      <c r="EQ84" s="188"/>
      <c r="ER84" s="188"/>
      <c r="ES84" s="188"/>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188"/>
      <c r="FS84" s="188"/>
      <c r="FT84" s="188"/>
      <c r="FU84" s="188"/>
      <c r="FV84" s="188"/>
      <c r="FW84" s="188"/>
      <c r="FX84" s="188"/>
      <c r="FY84" s="188"/>
      <c r="FZ84" s="188"/>
      <c r="GA84" s="188"/>
      <c r="GB84" s="188"/>
      <c r="GC84" s="188"/>
      <c r="GD84" s="188"/>
      <c r="GE84" s="188"/>
      <c r="GF84" s="188"/>
      <c r="GG84" s="188"/>
      <c r="GH84" s="188"/>
      <c r="GI84" s="188"/>
      <c r="GJ84" s="188"/>
      <c r="GK84" s="188"/>
      <c r="GL84" s="188"/>
      <c r="GM84" s="188"/>
      <c r="GN84" s="188"/>
      <c r="GO84" s="188"/>
      <c r="GP84" s="188"/>
      <c r="GQ84" s="188"/>
      <c r="GR84" s="188"/>
      <c r="GS84" s="188"/>
      <c r="GT84" s="188"/>
      <c r="GU84" s="188"/>
      <c r="GV84" s="188"/>
      <c r="GW84" s="188"/>
      <c r="GX84" s="188"/>
      <c r="GY84" s="188"/>
      <c r="GZ84" s="188"/>
      <c r="HA84" s="188"/>
      <c r="HB84" s="188"/>
      <c r="HC84" s="188"/>
      <c r="HD84" s="188"/>
      <c r="HE84" s="188"/>
      <c r="HF84" s="188"/>
      <c r="HG84" s="188"/>
      <c r="HH84" s="188"/>
      <c r="HI84" s="188"/>
      <c r="HJ84" s="188"/>
      <c r="HK84" s="188"/>
      <c r="HL84" s="188"/>
      <c r="HM84" s="188"/>
      <c r="HN84" s="188"/>
      <c r="HO84" s="188"/>
      <c r="HP84" s="188"/>
      <c r="HQ84" s="188"/>
      <c r="HR84" s="188"/>
      <c r="HS84" s="188"/>
      <c r="HT84" s="188"/>
      <c r="HU84" s="188"/>
      <c r="HV84" s="188"/>
      <c r="HW84" s="188"/>
      <c r="HX84" s="188"/>
      <c r="HY84" s="188"/>
      <c r="HZ84" s="188"/>
      <c r="IA84" s="188"/>
      <c r="IB84" s="188"/>
      <c r="IC84" s="188"/>
      <c r="ID84" s="188"/>
      <c r="IE84" s="188"/>
      <c r="IF84" s="188"/>
      <c r="IG84" s="188"/>
      <c r="IH84" s="188"/>
      <c r="II84" s="188"/>
      <c r="IJ84" s="188"/>
      <c r="IK84" s="188"/>
      <c r="IL84" s="188"/>
      <c r="IM84" s="188"/>
      <c r="IN84" s="188"/>
      <c r="IO84" s="188"/>
      <c r="IP84" s="188"/>
      <c r="IQ84" s="188"/>
      <c r="IR84" s="188"/>
      <c r="IS84" s="188"/>
      <c r="IT84" s="188"/>
      <c r="IU84" s="188"/>
      <c r="IV84" s="188"/>
    </row>
    <row r="85" spans="1:256" ht="42" customHeight="1" x14ac:dyDescent="0.25">
      <c r="A85" s="522" t="s">
        <v>215</v>
      </c>
      <c r="B85" s="522"/>
      <c r="C85" s="522"/>
      <c r="D85" s="522"/>
      <c r="E85" s="522"/>
      <c r="F85" s="153"/>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7"/>
      <c r="B86" s="187" t="s">
        <v>202</v>
      </c>
      <c r="C86" s="284" t="s">
        <v>216</v>
      </c>
      <c r="D86" s="187"/>
      <c r="E86" s="187"/>
      <c r="F86" s="190"/>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217</v>
      </c>
      <c r="B87" s="183">
        <v>107.8</v>
      </c>
      <c r="C87" s="190">
        <f>B87/100</f>
        <v>1.0780000000000001</v>
      </c>
      <c r="D87" s="190"/>
      <c r="E87" s="190"/>
      <c r="F87" s="19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t="s">
        <v>317</v>
      </c>
      <c r="B88" s="183">
        <v>105.3</v>
      </c>
      <c r="C88" s="190">
        <f>B88/100</f>
        <v>1.0529999999999999</v>
      </c>
      <c r="D88" s="190"/>
      <c r="E88" s="190"/>
      <c r="F88" s="183"/>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x14ac:dyDescent="0.25">
      <c r="A89" s="183"/>
      <c r="B89" s="183"/>
      <c r="C89" s="190"/>
      <c r="D89" s="190"/>
      <c r="E89" s="190"/>
      <c r="F89" s="183"/>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ht="30.75" customHeight="1" x14ac:dyDescent="0.25">
      <c r="A90" s="153" t="s">
        <v>318</v>
      </c>
      <c r="B90" s="153"/>
      <c r="C90" s="153"/>
      <c r="D90" s="190"/>
      <c r="E90" s="190"/>
      <c r="F90" s="183"/>
      <c r="G90" s="522"/>
      <c r="H90" s="522"/>
      <c r="I90" s="522"/>
      <c r="J90" s="522"/>
      <c r="K90" s="522"/>
      <c r="L90" s="522"/>
      <c r="M90" s="125"/>
    </row>
    <row r="91" spans="1:256" x14ac:dyDescent="0.25">
      <c r="A91" s="180"/>
      <c r="B91" s="180"/>
      <c r="C91" s="193"/>
      <c r="D91" s="180"/>
      <c r="E91" s="190"/>
      <c r="F91" s="285"/>
      <c r="G91" s="522"/>
      <c r="H91" s="522"/>
      <c r="I91" s="522"/>
      <c r="J91" s="522"/>
      <c r="K91" s="522"/>
      <c r="L91" s="522"/>
      <c r="M91" s="125"/>
    </row>
    <row r="92" spans="1:256" ht="15" customHeight="1" x14ac:dyDescent="0.25">
      <c r="A92" s="180" t="s">
        <v>319</v>
      </c>
      <c r="B92" s="286" t="s">
        <v>320</v>
      </c>
      <c r="C92" s="193" t="s">
        <v>218</v>
      </c>
      <c r="D92" s="180">
        <f>ROUND(POWER(C87,1/12),4)</f>
        <v>1.0063</v>
      </c>
      <c r="E92" s="153"/>
      <c r="F92" s="285"/>
      <c r="G92" s="522"/>
      <c r="H92" s="522"/>
      <c r="I92" s="522"/>
      <c r="J92" s="522"/>
      <c r="K92" s="522"/>
      <c r="L92" s="522"/>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8" x14ac:dyDescent="0.25">
      <c r="A93" s="180" t="s">
        <v>321</v>
      </c>
      <c r="B93" s="286" t="s">
        <v>322</v>
      </c>
      <c r="C93" s="193" t="s">
        <v>218</v>
      </c>
      <c r="D93" s="180">
        <f>ROUND(POWER(C88,1/12),4)</f>
        <v>1.0043</v>
      </c>
      <c r="E93" s="153"/>
      <c r="F93" s="64"/>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18.75" customHeight="1" x14ac:dyDescent="0.25">
      <c r="A94" s="180"/>
      <c r="B94" s="286"/>
      <c r="C94" s="193"/>
      <c r="D94" s="180"/>
      <c r="E94" s="190"/>
      <c r="F94" s="183"/>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183" t="s">
        <v>323</v>
      </c>
      <c r="B95" s="183"/>
      <c r="C95" s="183"/>
      <c r="D95" s="183"/>
      <c r="E95" s="183"/>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x14ac:dyDescent="0.25">
      <c r="A96" s="183" t="s">
        <v>324</v>
      </c>
      <c r="B96" s="183"/>
      <c r="C96" s="183"/>
      <c r="D96" s="183"/>
      <c r="E96" s="183"/>
      <c r="F96" s="183"/>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ht="20.25" customHeight="1" x14ac:dyDescent="0.25">
      <c r="A97" s="194" t="s">
        <v>325</v>
      </c>
      <c r="B97" s="195"/>
      <c r="C97" s="195"/>
      <c r="D97" s="195"/>
      <c r="E97" s="183"/>
      <c r="F97" s="6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49.5" customHeight="1" x14ac:dyDescent="0.25">
      <c r="A98" s="524" t="s">
        <v>335</v>
      </c>
      <c r="B98" s="524"/>
      <c r="C98" s="524"/>
      <c r="D98" s="524"/>
      <c r="E98" s="304">
        <f>ROUND(POWER(D92,3),4)</f>
        <v>1.0189999999999999</v>
      </c>
      <c r="F98" s="6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40.5" customHeight="1" x14ac:dyDescent="0.25">
      <c r="A99" s="524" t="s">
        <v>326</v>
      </c>
      <c r="B99" s="524"/>
      <c r="C99" s="524"/>
      <c r="D99" s="524"/>
      <c r="E99" s="288"/>
      <c r="F99" s="64"/>
      <c r="H99" s="196"/>
      <c r="I99" s="196"/>
      <c r="J99" s="196"/>
      <c r="K99" s="196"/>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ht="15" customHeight="1" x14ac:dyDescent="0.25">
      <c r="A100" s="525" t="s">
        <v>336</v>
      </c>
      <c r="B100" s="525"/>
      <c r="C100" s="525"/>
      <c r="D100" s="525"/>
      <c r="E100" s="289">
        <f>(E98-1)/2+1</f>
        <v>1.0095000000000001</v>
      </c>
      <c r="F100" s="290"/>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x14ac:dyDescent="0.25">
      <c r="A101" s="287"/>
      <c r="B101" s="287"/>
      <c r="C101" s="287"/>
      <c r="D101" s="287"/>
      <c r="E101" s="291"/>
      <c r="F101" s="290"/>
      <c r="G101" s="20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ht="15.75" customHeight="1" x14ac:dyDescent="0.25">
      <c r="A102" s="178" t="s">
        <v>327</v>
      </c>
      <c r="B102" s="183"/>
      <c r="C102" s="292"/>
      <c r="D102" s="293"/>
      <c r="E102" s="183"/>
      <c r="F102" s="153"/>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ht="55.5" customHeight="1" x14ac:dyDescent="0.25">
      <c r="A103" s="526" t="s">
        <v>337</v>
      </c>
      <c r="B103" s="526"/>
      <c r="C103" s="526"/>
      <c r="D103" s="526"/>
      <c r="E103" s="526"/>
      <c r="F103" s="526"/>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x14ac:dyDescent="0.25">
      <c r="A104" s="64"/>
      <c r="B104" s="125"/>
      <c r="C104" s="64"/>
      <c r="D104" s="64"/>
      <c r="E104" s="64"/>
      <c r="F104" s="125"/>
      <c r="G104" s="200"/>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ht="15.75" customHeight="1" x14ac:dyDescent="0.25">
      <c r="A105" s="178" t="s">
        <v>328</v>
      </c>
      <c r="B105" s="294" t="s">
        <v>338</v>
      </c>
      <c r="C105" s="125"/>
      <c r="D105" s="292" t="s">
        <v>218</v>
      </c>
      <c r="E105" s="295">
        <f>ROUND(E98*(POWER(D93,1)+POWER(D93,1))/2,4)</f>
        <v>1.0234000000000001</v>
      </c>
      <c r="F105" s="296"/>
      <c r="G105" s="200"/>
      <c r="L105" s="131"/>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x14ac:dyDescent="0.25">
      <c r="A106" s="178"/>
      <c r="B106" s="294"/>
      <c r="C106" s="125"/>
      <c r="D106" s="292"/>
      <c r="E106" s="295"/>
      <c r="F106" s="296"/>
      <c r="G106" s="200"/>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x14ac:dyDescent="0.25">
      <c r="A107" s="178"/>
      <c r="B107" s="183"/>
      <c r="C107" s="292"/>
      <c r="D107" s="183"/>
      <c r="E107" s="183"/>
      <c r="F107" s="297"/>
    </row>
    <row r="108" spans="1:256" ht="36" customHeight="1" x14ac:dyDescent="0.25">
      <c r="A108" s="524" t="s">
        <v>329</v>
      </c>
      <c r="B108" s="524"/>
      <c r="C108" s="524"/>
      <c r="D108" s="524"/>
      <c r="E108" s="524"/>
      <c r="F108" s="524"/>
    </row>
    <row r="109" spans="1:256" x14ac:dyDescent="0.25">
      <c r="A109" s="183"/>
      <c r="B109" s="125"/>
      <c r="C109" s="125"/>
      <c r="D109" s="125"/>
      <c r="E109" s="125"/>
      <c r="F109" s="297"/>
      <c r="G109" s="125"/>
      <c r="H109" s="125"/>
      <c r="I109" s="125"/>
      <c r="J109" s="125"/>
      <c r="K109" s="125"/>
      <c r="L109" s="125"/>
      <c r="M109" s="125"/>
    </row>
    <row r="110" spans="1:256" x14ac:dyDescent="0.25">
      <c r="A110" s="521" t="s">
        <v>355</v>
      </c>
      <c r="B110" s="521"/>
      <c r="C110" s="521"/>
      <c r="D110" s="295">
        <f>ROUND((E82*E100+E83*E105),4)</f>
        <v>1.0233000000000001</v>
      </c>
      <c r="E110" s="183"/>
      <c r="F110" s="297"/>
    </row>
    <row r="111" spans="1:256" x14ac:dyDescent="0.25">
      <c r="A111" s="298"/>
      <c r="B111" s="299"/>
      <c r="C111" s="299"/>
      <c r="D111" s="295"/>
      <c r="E111" s="183"/>
      <c r="F111" s="297"/>
    </row>
    <row r="112" spans="1:256" x14ac:dyDescent="0.25">
      <c r="A112" s="298" t="s">
        <v>311</v>
      </c>
      <c r="B112" s="299"/>
      <c r="C112" s="299"/>
      <c r="D112" s="295"/>
      <c r="E112" s="183"/>
      <c r="F112" s="297"/>
    </row>
    <row r="113" spans="1:256" x14ac:dyDescent="0.25">
      <c r="A113" s="183" t="s">
        <v>330</v>
      </c>
      <c r="B113" s="306" t="s">
        <v>283</v>
      </c>
      <c r="C113" s="299"/>
      <c r="D113" s="295"/>
      <c r="E113" s="183"/>
      <c r="F113" s="297"/>
    </row>
    <row r="114" spans="1:256" x14ac:dyDescent="0.25">
      <c r="A114" s="183" t="s">
        <v>331</v>
      </c>
      <c r="B114" s="306" t="s">
        <v>341</v>
      </c>
      <c r="C114" s="299"/>
      <c r="D114" s="295"/>
      <c r="E114" s="183"/>
      <c r="F114" s="297"/>
    </row>
    <row r="115" spans="1:256" x14ac:dyDescent="0.25">
      <c r="A115" s="183" t="s">
        <v>198</v>
      </c>
      <c r="B115" s="300" t="s">
        <v>340</v>
      </c>
      <c r="C115" s="299"/>
      <c r="D115" s="295"/>
      <c r="E115" s="183"/>
      <c r="F115" s="297"/>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25"/>
      <c r="FL115" s="125"/>
      <c r="FM115" s="125"/>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25"/>
      <c r="GQ115" s="125"/>
      <c r="GR115" s="125"/>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25"/>
      <c r="HW115" s="125"/>
      <c r="HX115" s="125"/>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row>
    <row r="116" spans="1:256" x14ac:dyDescent="0.25">
      <c r="A116" s="183" t="s">
        <v>199</v>
      </c>
      <c r="B116" s="181" t="s">
        <v>282</v>
      </c>
      <c r="C116" s="299"/>
      <c r="D116" s="295"/>
      <c r="E116" s="183"/>
      <c r="F116" s="297"/>
    </row>
    <row r="117" spans="1:256" x14ac:dyDescent="0.25">
      <c r="A117" s="183"/>
      <c r="B117" s="181"/>
      <c r="C117" s="299"/>
      <c r="D117" s="295"/>
      <c r="E117" s="183"/>
      <c r="F117" s="297"/>
    </row>
    <row r="118" spans="1:256" x14ac:dyDescent="0.25">
      <c r="A118" s="178" t="s">
        <v>332</v>
      </c>
      <c r="B118" s="181"/>
      <c r="C118" s="299"/>
      <c r="D118" s="295"/>
      <c r="E118" s="183"/>
      <c r="F118" s="297"/>
    </row>
    <row r="119" spans="1:256" x14ac:dyDescent="0.25">
      <c r="A119" s="178"/>
      <c r="B119" s="181"/>
      <c r="C119" s="299"/>
      <c r="D119" s="295"/>
      <c r="E119" s="183"/>
      <c r="F119" s="297"/>
    </row>
    <row r="120" spans="1:256" ht="53.25" customHeight="1" x14ac:dyDescent="0.25">
      <c r="A120" s="522" t="s">
        <v>343</v>
      </c>
      <c r="B120" s="522"/>
      <c r="C120" s="522"/>
      <c r="D120" s="522"/>
      <c r="E120" s="522"/>
      <c r="F120" s="522"/>
    </row>
    <row r="121" spans="1:256" x14ac:dyDescent="0.25">
      <c r="A121" s="301" t="s">
        <v>333</v>
      </c>
      <c r="B121" s="301" t="s">
        <v>342</v>
      </c>
      <c r="C121" s="302">
        <f>ROUND((D92*D92+POWER(D92,3))/2,4)</f>
        <v>1.0158</v>
      </c>
      <c r="D121" s="287"/>
      <c r="E121" s="287"/>
      <c r="F121" s="287"/>
    </row>
    <row r="122" spans="1:256" x14ac:dyDescent="0.25">
      <c r="A122" s="178"/>
      <c r="B122" s="293"/>
      <c r="C122" s="293"/>
      <c r="D122" s="295"/>
      <c r="E122" s="183"/>
      <c r="F122" s="297"/>
    </row>
    <row r="123" spans="1:256" ht="72" customHeight="1" x14ac:dyDescent="0.25">
      <c r="A123" s="522" t="s">
        <v>348</v>
      </c>
      <c r="B123" s="522"/>
      <c r="C123" s="522"/>
      <c r="D123" s="522"/>
      <c r="E123" s="522"/>
      <c r="F123" s="522"/>
    </row>
    <row r="124" spans="1:256" x14ac:dyDescent="0.25">
      <c r="A124" s="153" t="s">
        <v>197</v>
      </c>
      <c r="B124" s="153"/>
      <c r="C124" s="153"/>
      <c r="D124" s="153"/>
      <c r="E124" s="153"/>
      <c r="F124" s="297"/>
    </row>
    <row r="125" spans="1:256" x14ac:dyDescent="0.25">
      <c r="A125" s="296" t="s">
        <v>334</v>
      </c>
      <c r="B125" s="153"/>
      <c r="C125" s="153"/>
      <c r="D125" s="303"/>
      <c r="E125" s="153"/>
      <c r="F125" s="297"/>
    </row>
    <row r="126" spans="1:256" ht="21" customHeight="1" x14ac:dyDescent="0.25">
      <c r="A126" s="317">
        <v>45904</v>
      </c>
      <c r="B126" s="296"/>
      <c r="C126" s="296"/>
      <c r="D126" s="296"/>
      <c r="E126" s="296"/>
      <c r="F126" s="180"/>
    </row>
    <row r="129" spans="1:4" x14ac:dyDescent="0.25">
      <c r="A129" s="183" t="s">
        <v>227</v>
      </c>
      <c r="B129" s="296"/>
      <c r="C129" s="296"/>
      <c r="D129" s="296"/>
    </row>
    <row r="130" spans="1:4" x14ac:dyDescent="0.25">
      <c r="A130" s="296" t="s">
        <v>349</v>
      </c>
      <c r="B130" s="296" t="s">
        <v>350</v>
      </c>
      <c r="C130" s="296"/>
      <c r="D130" s="296" t="s">
        <v>351</v>
      </c>
    </row>
    <row r="131" spans="1:4" x14ac:dyDescent="0.25">
      <c r="A131" s="125"/>
      <c r="B131" s="296"/>
      <c r="C131" s="296"/>
      <c r="D131" s="296"/>
    </row>
    <row r="132" spans="1:4" x14ac:dyDescent="0.25">
      <c r="A132" s="296" t="s">
        <v>352</v>
      </c>
      <c r="B132" s="296"/>
      <c r="C132" s="296"/>
      <c r="D132" s="296"/>
    </row>
    <row r="133" spans="1:4" x14ac:dyDescent="0.25">
      <c r="A133" s="296" t="s">
        <v>353</v>
      </c>
      <c r="B133" s="296" t="s">
        <v>350</v>
      </c>
      <c r="C133" s="296"/>
      <c r="D133" s="296" t="s">
        <v>354</v>
      </c>
    </row>
    <row r="134" spans="1:4" ht="15.75" x14ac:dyDescent="0.25">
      <c r="A134" s="523"/>
      <c r="B134" s="523"/>
      <c r="C134" s="315"/>
      <c r="D134" s="316"/>
    </row>
  </sheetData>
  <mergeCells count="44">
    <mergeCell ref="A9:F9"/>
    <mergeCell ref="D1:F1"/>
    <mergeCell ref="A3:F3"/>
    <mergeCell ref="A4:F4"/>
    <mergeCell ref="A6:F6"/>
    <mergeCell ref="A7:F7"/>
    <mergeCell ref="A43:C43"/>
    <mergeCell ref="A10:F10"/>
    <mergeCell ref="A11:F11"/>
    <mergeCell ref="A12:F12"/>
    <mergeCell ref="A13:F13"/>
    <mergeCell ref="A15:A16"/>
    <mergeCell ref="B15:B16"/>
    <mergeCell ref="C15:C16"/>
    <mergeCell ref="D15:D16"/>
    <mergeCell ref="E15:E16"/>
    <mergeCell ref="F15:F16"/>
    <mergeCell ref="G15:H15"/>
    <mergeCell ref="I15:I16"/>
    <mergeCell ref="J15:K15"/>
    <mergeCell ref="A41:F41"/>
    <mergeCell ref="A42:F42"/>
    <mergeCell ref="G91:L91"/>
    <mergeCell ref="B49:C49"/>
    <mergeCell ref="A53:F53"/>
    <mergeCell ref="D60:E60"/>
    <mergeCell ref="D62:F62"/>
    <mergeCell ref="D68:F68"/>
    <mergeCell ref="D69:F69"/>
    <mergeCell ref="D70:F70"/>
    <mergeCell ref="A75:E75"/>
    <mergeCell ref="A78:E78"/>
    <mergeCell ref="A85:E85"/>
    <mergeCell ref="G90:L90"/>
    <mergeCell ref="A110:C110"/>
    <mergeCell ref="A120:F120"/>
    <mergeCell ref="A123:F123"/>
    <mergeCell ref="A134:B134"/>
    <mergeCell ref="G92:L92"/>
    <mergeCell ref="A98:D98"/>
    <mergeCell ref="A99:D99"/>
    <mergeCell ref="A100:D100"/>
    <mergeCell ref="A103:F103"/>
    <mergeCell ref="A108:F108"/>
  </mergeCells>
  <pageMargins left="0.7" right="0.7" top="0.75" bottom="0.75" header="0.3" footer="0.3"/>
  <pageSetup paperSize="9" scale="47" orientation="portrait" r:id="rId1"/>
  <rowBreaks count="1" manualBreakCount="1">
    <brk id="78" max="10" man="1"/>
  </rowBreaks>
  <colBreaks count="1" manualBreakCount="1">
    <brk id="11" max="8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130"/>
  <sheetViews>
    <sheetView view="pageBreakPreview" topLeftCell="A32" zoomScaleNormal="100" zoomScaleSheetLayoutView="100" workbookViewId="0">
      <selection activeCell="L44" sqref="L44"/>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55" t="s">
        <v>228</v>
      </c>
      <c r="B10" s="556"/>
      <c r="C10" s="556"/>
      <c r="D10" s="556"/>
      <c r="E10" s="556"/>
      <c r="F10" s="556"/>
    </row>
    <row r="11" spans="1:256" ht="15.75" x14ac:dyDescent="0.25">
      <c r="A11" s="557" t="s">
        <v>400</v>
      </c>
      <c r="B11" s="557"/>
      <c r="C11" s="557"/>
      <c r="D11" s="557"/>
      <c r="E11" s="557"/>
      <c r="F11" s="557"/>
    </row>
    <row r="12" spans="1:256" ht="29.25" customHeight="1" x14ac:dyDescent="0.25">
      <c r="A12" s="539" t="s">
        <v>399</v>
      </c>
      <c r="B12" s="539"/>
      <c r="C12" s="539"/>
      <c r="D12" s="539"/>
      <c r="E12" s="539"/>
      <c r="F12" s="53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57"/>
      <c r="J17" s="133">
        <v>7</v>
      </c>
      <c r="K17" s="133">
        <v>8</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2" t="s">
        <v>377</v>
      </c>
      <c r="B18" s="133"/>
      <c r="C18" s="133"/>
      <c r="D18" s="133"/>
      <c r="E18" s="133"/>
      <c r="F18" s="133"/>
      <c r="G18" s="133"/>
      <c r="H18" s="133"/>
      <c r="I18" s="359"/>
      <c r="J18" s="133"/>
      <c r="K18" s="133"/>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ht="15.75" x14ac:dyDescent="0.25">
      <c r="A19" s="308" t="s">
        <v>190</v>
      </c>
      <c r="B19" s="135">
        <f>(28516.77*1000-B29)</f>
        <v>12856660</v>
      </c>
      <c r="C19" s="134">
        <f>F75</f>
        <v>1.0575000000000001</v>
      </c>
      <c r="D19" s="135">
        <f>B19*C19</f>
        <v>13595917.949999999</v>
      </c>
      <c r="E19" s="134">
        <f>D110</f>
        <v>1.0233000000000001</v>
      </c>
      <c r="F19" s="135">
        <f>D19*E19</f>
        <v>13912702.84</v>
      </c>
      <c r="G19" s="136"/>
      <c r="H19" s="136"/>
      <c r="I19" s="283"/>
      <c r="J19" s="136"/>
      <c r="K19" s="136"/>
      <c r="L19" s="137"/>
      <c r="M19" s="137"/>
      <c r="N19" s="137"/>
      <c r="O19" s="137"/>
      <c r="P19" s="138"/>
    </row>
    <row r="20" spans="1:256" ht="15.75" x14ac:dyDescent="0.25">
      <c r="A20" s="308" t="s">
        <v>308</v>
      </c>
      <c r="B20" s="135">
        <f>258.26*1000</f>
        <v>258260</v>
      </c>
      <c r="C20" s="134">
        <f>F75</f>
        <v>1.0575000000000001</v>
      </c>
      <c r="D20" s="135">
        <f>B20*C20</f>
        <v>273109.95</v>
      </c>
      <c r="E20" s="134">
        <f>D110</f>
        <v>1.0233000000000001</v>
      </c>
      <c r="F20" s="135">
        <f>D20*E20</f>
        <v>279473.40999999997</v>
      </c>
      <c r="G20" s="136"/>
      <c r="H20" s="136"/>
      <c r="I20" s="283"/>
      <c r="J20" s="136"/>
      <c r="K20" s="136"/>
      <c r="L20" s="137">
        <f>(B19+B20+B29)*0.012</f>
        <v>345300.36</v>
      </c>
      <c r="M20" s="137">
        <f>D24*E23</f>
        <v>14766689.871494999</v>
      </c>
      <c r="N20" s="137"/>
      <c r="O20" s="137"/>
      <c r="P20" s="138"/>
    </row>
    <row r="21" spans="1:256" ht="31.5" x14ac:dyDescent="0.25">
      <c r="A21" s="309" t="s">
        <v>312</v>
      </c>
      <c r="B21" s="135">
        <v>154260</v>
      </c>
      <c r="C21" s="134">
        <f>F75</f>
        <v>1.0575000000000001</v>
      </c>
      <c r="D21" s="135">
        <f>B21*C21</f>
        <v>163129.95000000001</v>
      </c>
      <c r="E21" s="134">
        <f>D110</f>
        <v>1.0233000000000001</v>
      </c>
      <c r="F21" s="135">
        <f>D21*E21</f>
        <v>166930.88</v>
      </c>
      <c r="G21" s="136"/>
      <c r="H21" s="136"/>
      <c r="I21" s="283"/>
      <c r="J21" s="136"/>
      <c r="K21" s="136"/>
      <c r="L21" s="140">
        <f>B21+B30</f>
        <v>342180</v>
      </c>
      <c r="M21" s="137"/>
      <c r="N21" s="137"/>
      <c r="O21" s="137"/>
      <c r="P21" s="138"/>
    </row>
    <row r="22" spans="1:256" ht="15.75" x14ac:dyDescent="0.25">
      <c r="A22" s="308" t="s">
        <v>309</v>
      </c>
      <c r="B22" s="135">
        <f>109.08*1000</f>
        <v>109080</v>
      </c>
      <c r="C22" s="134">
        <f>F75</f>
        <v>1.0575000000000001</v>
      </c>
      <c r="D22" s="135">
        <f>B22*C22</f>
        <v>115352.1</v>
      </c>
      <c r="E22" s="134">
        <f>D110</f>
        <v>1.0233000000000001</v>
      </c>
      <c r="F22" s="135">
        <f>D22*E22</f>
        <v>118039.8</v>
      </c>
      <c r="G22" s="136"/>
      <c r="H22" s="136"/>
      <c r="I22" s="283"/>
      <c r="J22" s="136"/>
      <c r="K22" s="136"/>
      <c r="L22" s="140">
        <f>B19+B20+B21+B22+B29+B30</f>
        <v>29226290</v>
      </c>
      <c r="M22" s="140" t="e">
        <f>C19+#REF!+C20+C21+C22</f>
        <v>#REF!</v>
      </c>
      <c r="N22" s="140" t="e">
        <f>D19+#REF!+D20+D21+D22</f>
        <v>#REF!</v>
      </c>
      <c r="O22" s="140" t="e">
        <f>F19+#REF!+F20+F21+F22</f>
        <v>#REF!</v>
      </c>
      <c r="P22" s="138"/>
    </row>
    <row r="23" spans="1:256" ht="31.5" x14ac:dyDescent="0.25">
      <c r="A23" s="310" t="s">
        <v>191</v>
      </c>
      <c r="B23" s="135">
        <f>ROUND((B19+B20+B21+B22)*0.02,2)</f>
        <v>267565.2</v>
      </c>
      <c r="C23" s="134">
        <f>F75</f>
        <v>1.0575000000000001</v>
      </c>
      <c r="D23" s="135">
        <f>B23*C23</f>
        <v>282950.2</v>
      </c>
      <c r="E23" s="134">
        <f>D110</f>
        <v>1.0233000000000001</v>
      </c>
      <c r="F23" s="135">
        <f>D23*E23</f>
        <v>289542.94</v>
      </c>
      <c r="G23" s="136"/>
      <c r="H23" s="136"/>
      <c r="I23" s="283"/>
      <c r="J23" s="136"/>
      <c r="K23" s="136"/>
      <c r="L23" s="140">
        <f>L22*0.02</f>
        <v>584525.80000000005</v>
      </c>
      <c r="M23" s="140" t="e">
        <f>M22*0.02</f>
        <v>#REF!</v>
      </c>
      <c r="N23" s="140" t="e">
        <f>N22*0.02</f>
        <v>#REF!</v>
      </c>
      <c r="O23" s="137">
        <f>D23*E22</f>
        <v>289542.93965999997</v>
      </c>
      <c r="P23" s="138"/>
    </row>
    <row r="24" spans="1:256" ht="15.75" x14ac:dyDescent="0.25">
      <c r="A24" s="308" t="s">
        <v>192</v>
      </c>
      <c r="B24" s="135">
        <f>SUM(B19:B23)</f>
        <v>13645825.199999999</v>
      </c>
      <c r="C24" s="134"/>
      <c r="D24" s="135">
        <f>SUM(D19:D23)</f>
        <v>14430460.15</v>
      </c>
      <c r="E24" s="134"/>
      <c r="F24" s="135">
        <f>SUM(F19:F23)</f>
        <v>14766689.869999999</v>
      </c>
      <c r="G24" s="136"/>
      <c r="H24" s="136"/>
      <c r="I24" s="283"/>
      <c r="J24" s="136"/>
      <c r="K24" s="136"/>
      <c r="L24" s="140">
        <f>D19+D20+D21+D22+D23</f>
        <v>14430460.15</v>
      </c>
      <c r="M24" s="140">
        <f>E19+E20+E21+E22+E23</f>
        <v>5.12</v>
      </c>
      <c r="N24" s="140">
        <f>F19+F20+F21+F22+F23</f>
        <v>14766689.869999999</v>
      </c>
      <c r="O24" s="137"/>
      <c r="P24" s="138"/>
    </row>
    <row r="25" spans="1:256" ht="15.75" x14ac:dyDescent="0.25">
      <c r="A25" s="308" t="s">
        <v>193</v>
      </c>
      <c r="B25" s="135">
        <f>ROUND(B24*0.2,2)</f>
        <v>2729165.04</v>
      </c>
      <c r="C25" s="134"/>
      <c r="D25" s="135">
        <f>ROUND(D24*0.2,2)</f>
        <v>2886092.03</v>
      </c>
      <c r="E25" s="134"/>
      <c r="F25" s="135">
        <f>ROUND(F24*0.2,2)</f>
        <v>2953337.97</v>
      </c>
      <c r="G25" s="136"/>
      <c r="H25" s="136"/>
      <c r="I25" s="283"/>
      <c r="J25" s="136"/>
      <c r="K25" s="136"/>
      <c r="L25" s="137">
        <f>D24*0.2</f>
        <v>2886092.03</v>
      </c>
      <c r="M25" s="137">
        <f>D24*0.2</f>
        <v>2886092.03</v>
      </c>
      <c r="N25" s="137">
        <f>N24*0.2</f>
        <v>2953337.9739999999</v>
      </c>
      <c r="O25" s="137"/>
      <c r="P25" s="138"/>
    </row>
    <row r="26" spans="1:256" ht="15.75" x14ac:dyDescent="0.25">
      <c r="A26" s="271" t="s">
        <v>346</v>
      </c>
      <c r="B26" s="275">
        <f>B24+B25</f>
        <v>16374990.24</v>
      </c>
      <c r="C26" s="360"/>
      <c r="D26" s="275">
        <f>D24+D25</f>
        <v>17316552.18</v>
      </c>
      <c r="E26" s="360"/>
      <c r="F26" s="275">
        <f>F24+F25</f>
        <v>17720027.84</v>
      </c>
      <c r="G26" s="136"/>
      <c r="H26" s="136"/>
      <c r="I26" s="283"/>
      <c r="J26" s="135"/>
      <c r="K26" s="135"/>
      <c r="L26" s="137">
        <f>J26+K26</f>
        <v>0</v>
      </c>
      <c r="M26" s="137"/>
      <c r="N26" s="137"/>
      <c r="O26" s="137"/>
      <c r="P26" s="138"/>
    </row>
    <row r="27" spans="1:256" ht="15.75" x14ac:dyDescent="0.25">
      <c r="A27" s="272"/>
      <c r="B27" s="135"/>
      <c r="C27" s="134"/>
      <c r="D27" s="135"/>
      <c r="E27" s="134"/>
      <c r="F27" s="135"/>
      <c r="G27" s="136"/>
      <c r="H27" s="136"/>
      <c r="I27" s="283"/>
      <c r="J27" s="135"/>
      <c r="K27" s="135"/>
      <c r="L27" s="137"/>
      <c r="M27" s="137"/>
      <c r="N27" s="137"/>
      <c r="O27" s="137"/>
      <c r="P27" s="138"/>
    </row>
    <row r="28" spans="1:256" ht="15.75" x14ac:dyDescent="0.25">
      <c r="A28" s="272" t="s">
        <v>378</v>
      </c>
      <c r="B28" s="135"/>
      <c r="C28" s="134"/>
      <c r="D28" s="135"/>
      <c r="E28" s="134"/>
      <c r="F28" s="135"/>
      <c r="G28" s="136"/>
      <c r="H28" s="136"/>
      <c r="I28" s="283"/>
      <c r="J28" s="136"/>
      <c r="K28" s="136"/>
      <c r="L28" s="137">
        <f>B26*C25</f>
        <v>0</v>
      </c>
      <c r="M28" s="137"/>
      <c r="N28" s="137"/>
      <c r="O28" s="137"/>
      <c r="P28" s="138"/>
    </row>
    <row r="29" spans="1:256" ht="47.25" x14ac:dyDescent="0.25">
      <c r="A29" s="311" t="s">
        <v>339</v>
      </c>
      <c r="B29" s="135">
        <f>15660.11*1000</f>
        <v>15660110</v>
      </c>
      <c r="C29" s="134">
        <f>F78</f>
        <v>1.0172000000000001</v>
      </c>
      <c r="D29" s="135">
        <f>B29*C29</f>
        <v>15929463.890000001</v>
      </c>
      <c r="E29" s="134">
        <f>D110</f>
        <v>1.0233000000000001</v>
      </c>
      <c r="F29" s="135">
        <f>D29*E29</f>
        <v>16300620.4</v>
      </c>
      <c r="G29" s="136"/>
      <c r="H29" s="136"/>
      <c r="I29" s="283"/>
      <c r="J29" s="136"/>
      <c r="K29" s="136"/>
      <c r="L29" s="140">
        <f>B19+B29</f>
        <v>28516770</v>
      </c>
      <c r="M29" s="137"/>
      <c r="N29" s="137"/>
      <c r="O29" s="137"/>
      <c r="P29" s="138"/>
    </row>
    <row r="30" spans="1:256" ht="31.5" x14ac:dyDescent="0.25">
      <c r="A30" s="311" t="s">
        <v>312</v>
      </c>
      <c r="B30" s="135">
        <v>187920</v>
      </c>
      <c r="C30" s="134">
        <f>F78</f>
        <v>1.0172000000000001</v>
      </c>
      <c r="D30" s="135">
        <f>B30*C30</f>
        <v>191152.22</v>
      </c>
      <c r="E30" s="134">
        <f>D110</f>
        <v>1.0233000000000001</v>
      </c>
      <c r="F30" s="135">
        <f>D30*E30</f>
        <v>195606.07</v>
      </c>
      <c r="G30" s="136"/>
      <c r="H30" s="136"/>
      <c r="I30" s="283"/>
      <c r="J30" s="136"/>
      <c r="K30" s="136"/>
      <c r="L30" s="137"/>
      <c r="M30" s="137"/>
      <c r="N30" s="137"/>
      <c r="O30" s="137"/>
      <c r="P30" s="138"/>
    </row>
    <row r="31" spans="1:256" ht="31.5" x14ac:dyDescent="0.25">
      <c r="A31" s="312" t="s">
        <v>191</v>
      </c>
      <c r="B31" s="135">
        <f>ROUND((B29+B30)*0.02,2)</f>
        <v>316960.59999999998</v>
      </c>
      <c r="C31" s="134">
        <f>F78</f>
        <v>1.0172000000000001</v>
      </c>
      <c r="D31" s="135">
        <f>B31*C31</f>
        <v>322412.32</v>
      </c>
      <c r="E31" s="134">
        <f>D110</f>
        <v>1.0233000000000001</v>
      </c>
      <c r="F31" s="135">
        <f>D31*E31-0.01</f>
        <v>329924.52</v>
      </c>
      <c r="G31" s="136"/>
      <c r="H31" s="136"/>
      <c r="I31" s="283"/>
      <c r="J31" s="136"/>
      <c r="K31" s="136"/>
      <c r="L31" s="137"/>
      <c r="M31" s="140">
        <f>B23+B31</f>
        <v>584525.80000000005</v>
      </c>
      <c r="N31" s="137"/>
      <c r="O31" s="137"/>
      <c r="P31" s="138"/>
    </row>
    <row r="32" spans="1:256" ht="15.75" x14ac:dyDescent="0.25">
      <c r="A32" s="313" t="s">
        <v>192</v>
      </c>
      <c r="B32" s="135">
        <f>ROUND(B29+B30+B31,2)</f>
        <v>16164990.6</v>
      </c>
      <c r="C32" s="134"/>
      <c r="D32" s="135">
        <f>ROUND(D29+D30+D31,2)</f>
        <v>16443028.43</v>
      </c>
      <c r="E32" s="134"/>
      <c r="F32" s="135">
        <f>ROUND(F29+F30+F31,2)</f>
        <v>16826150.989999998</v>
      </c>
      <c r="G32" s="136"/>
      <c r="H32" s="136"/>
      <c r="I32" s="283"/>
      <c r="J32" s="136"/>
      <c r="K32" s="136"/>
      <c r="L32" s="140">
        <f>D29+D30+D31</f>
        <v>16443028.43</v>
      </c>
      <c r="M32" s="137"/>
      <c r="N32" s="137"/>
      <c r="O32" s="137"/>
      <c r="P32" s="138"/>
    </row>
    <row r="33" spans="1:256" ht="15.75" x14ac:dyDescent="0.25">
      <c r="A33" s="313" t="s">
        <v>193</v>
      </c>
      <c r="B33" s="135">
        <f>ROUND(B32*0.2,2)</f>
        <v>3232998.12</v>
      </c>
      <c r="C33" s="134"/>
      <c r="D33" s="135">
        <f>ROUND(D32*0.2,2)</f>
        <v>3288605.69</v>
      </c>
      <c r="E33" s="134"/>
      <c r="F33" s="135">
        <f>ROUND(F32*0.2,2)</f>
        <v>3365230.2</v>
      </c>
      <c r="G33" s="136"/>
      <c r="H33" s="136"/>
      <c r="I33" s="283"/>
      <c r="J33" s="136"/>
      <c r="K33" s="136"/>
      <c r="L33" s="140">
        <f>L32*0.2</f>
        <v>3288605.69</v>
      </c>
      <c r="M33" s="137">
        <f>F32*0.2</f>
        <v>3365230.1979999999</v>
      </c>
      <c r="N33" s="137"/>
      <c r="O33" s="137"/>
      <c r="P33" s="138"/>
    </row>
    <row r="34" spans="1:256" ht="15.75" x14ac:dyDescent="0.25">
      <c r="A34" s="271" t="s">
        <v>346</v>
      </c>
      <c r="B34" s="275">
        <f>B32+B33</f>
        <v>19397988.719999999</v>
      </c>
      <c r="C34" s="134"/>
      <c r="D34" s="275">
        <f>D32+D33</f>
        <v>19731634.120000001</v>
      </c>
      <c r="E34" s="134"/>
      <c r="F34" s="135">
        <f>F32+F33</f>
        <v>20191381.190000001</v>
      </c>
      <c r="G34" s="136"/>
      <c r="H34" s="136"/>
      <c r="I34" s="283"/>
      <c r="J34" s="136"/>
      <c r="K34" s="136"/>
      <c r="L34" s="137">
        <f>B34*C33</f>
        <v>0</v>
      </c>
      <c r="M34" s="137"/>
      <c r="N34" s="137">
        <f>D34*E33</f>
        <v>0</v>
      </c>
      <c r="O34" s="137"/>
      <c r="P34" s="138"/>
    </row>
    <row r="35" spans="1:256" ht="15.75" x14ac:dyDescent="0.25">
      <c r="A35" s="271" t="s">
        <v>310</v>
      </c>
      <c r="B35" s="275">
        <f>B26+B34</f>
        <v>35772978.960000001</v>
      </c>
      <c r="C35" s="134"/>
      <c r="D35" s="275">
        <f>D26+D34</f>
        <v>37048186.299999997</v>
      </c>
      <c r="E35" s="134"/>
      <c r="F35" s="275">
        <f>F26+F34</f>
        <v>37911409.030000001</v>
      </c>
      <c r="G35" s="136"/>
      <c r="H35" s="136"/>
      <c r="I35" s="283"/>
      <c r="J35" s="275">
        <f>F35*E82</f>
        <v>227468.45</v>
      </c>
      <c r="K35" s="275">
        <f>F35*E83</f>
        <v>37683940.579999998</v>
      </c>
      <c r="L35" s="140">
        <f>B35*C19</f>
        <v>37829925.25</v>
      </c>
      <c r="M35" s="140">
        <f>J35+K35</f>
        <v>37911409.030000001</v>
      </c>
      <c r="N35" s="137"/>
      <c r="O35" s="137"/>
      <c r="P35" s="138"/>
    </row>
    <row r="36" spans="1:256" ht="15.75" x14ac:dyDescent="0.25">
      <c r="A36" s="271"/>
      <c r="B36" s="275"/>
      <c r="C36" s="282"/>
      <c r="D36" s="275"/>
      <c r="E36" s="282"/>
      <c r="F36" s="275"/>
      <c r="G36" s="136"/>
      <c r="H36" s="136"/>
      <c r="I36" s="283"/>
      <c r="J36" s="275"/>
      <c r="K36" s="275"/>
      <c r="L36" s="140"/>
      <c r="M36" s="140"/>
      <c r="N36" s="137"/>
      <c r="O36" s="137"/>
      <c r="P36" s="138"/>
    </row>
    <row r="37" spans="1:256" ht="15.75" x14ac:dyDescent="0.25">
      <c r="A37" s="272" t="s">
        <v>377</v>
      </c>
      <c r="B37" s="275"/>
      <c r="C37" s="282"/>
      <c r="D37" s="275"/>
      <c r="E37" s="282"/>
      <c r="F37" s="275"/>
      <c r="G37" s="136"/>
      <c r="H37" s="136"/>
      <c r="I37" s="283"/>
      <c r="J37" s="275"/>
      <c r="K37" s="275"/>
      <c r="L37" s="140"/>
      <c r="M37" s="140"/>
      <c r="N37" s="137"/>
      <c r="O37" s="137"/>
      <c r="P37" s="138"/>
    </row>
    <row r="38" spans="1:256" ht="15.75" x14ac:dyDescent="0.25">
      <c r="A38" s="314" t="s">
        <v>311</v>
      </c>
      <c r="B38" s="135">
        <f>1813.5*1000</f>
        <v>1813500</v>
      </c>
      <c r="C38" s="134">
        <f>F75</f>
        <v>1.0575000000000001</v>
      </c>
      <c r="D38" s="135">
        <f>B38*C38</f>
        <v>1917776.25</v>
      </c>
      <c r="E38" s="134">
        <f>C121</f>
        <v>1.0158</v>
      </c>
      <c r="F38" s="135">
        <f>D38*E38</f>
        <v>1948077.11</v>
      </c>
      <c r="G38" s="136"/>
      <c r="H38" s="136"/>
      <c r="I38" s="283"/>
      <c r="J38" s="136"/>
      <c r="K38" s="136"/>
      <c r="L38" s="137"/>
      <c r="M38" s="137"/>
      <c r="N38" s="137"/>
      <c r="O38" s="137"/>
      <c r="P38" s="138"/>
    </row>
    <row r="39" spans="1:256" ht="15.75" x14ac:dyDescent="0.25">
      <c r="A39" s="271" t="s">
        <v>310</v>
      </c>
      <c r="B39" s="276">
        <f>B38</f>
        <v>1813500</v>
      </c>
      <c r="C39" s="261"/>
      <c r="D39" s="275">
        <f>D38</f>
        <v>1917776.25</v>
      </c>
      <c r="E39" s="134"/>
      <c r="F39" s="275">
        <f>F38</f>
        <v>1948077.11</v>
      </c>
      <c r="G39" s="136"/>
      <c r="H39" s="136"/>
      <c r="I39" s="283"/>
      <c r="J39" s="275">
        <f>F39</f>
        <v>1948077.11</v>
      </c>
      <c r="K39" s="275"/>
      <c r="L39" s="140">
        <f>B39*C38</f>
        <v>1917776.25</v>
      </c>
      <c r="M39" s="137" t="e">
        <f>#REF!*#REF!</f>
        <v>#REF!</v>
      </c>
      <c r="N39" s="140"/>
      <c r="O39" s="137"/>
      <c r="S39" s="138"/>
      <c r="T39" s="138"/>
    </row>
    <row r="40" spans="1:256" s="280" customFormat="1" ht="33.75" customHeight="1" x14ac:dyDescent="0.25">
      <c r="A40" s="198" t="s">
        <v>313</v>
      </c>
      <c r="B40" s="199">
        <f>B35+B39</f>
        <v>37586478.960000001</v>
      </c>
      <c r="C40" s="281"/>
      <c r="D40" s="199">
        <f>D35+D39</f>
        <v>38965962.549999997</v>
      </c>
      <c r="E40" s="199"/>
      <c r="F40" s="199">
        <f t="shared" ref="F40:K40" si="0">F35+F39</f>
        <v>39859486.140000001</v>
      </c>
      <c r="G40" s="199">
        <f t="shared" si="0"/>
        <v>0</v>
      </c>
      <c r="H40" s="199">
        <f t="shared" si="0"/>
        <v>0</v>
      </c>
      <c r="I40" s="199">
        <f t="shared" si="0"/>
        <v>0</v>
      </c>
      <c r="J40" s="199">
        <f t="shared" si="0"/>
        <v>2175545.56</v>
      </c>
      <c r="K40" s="199">
        <f t="shared" si="0"/>
        <v>37683940.579999998</v>
      </c>
      <c r="L40" s="278"/>
      <c r="M40" s="279" t="e">
        <f>B19+B40+#REF!</f>
        <v>#REF!</v>
      </c>
      <c r="N40" s="278"/>
      <c r="O40" s="278"/>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row>
    <row r="41" spans="1:256" ht="12" customHeight="1" x14ac:dyDescent="0.25">
      <c r="A41" s="535"/>
      <c r="B41" s="535"/>
      <c r="C41" s="535"/>
      <c r="D41" s="535"/>
      <c r="E41" s="535"/>
      <c r="F41" s="535"/>
      <c r="G41" s="143"/>
      <c r="H41" s="144"/>
      <c r="I41" s="144"/>
      <c r="J41" s="144"/>
      <c r="K41" s="144"/>
      <c r="L41" s="145"/>
      <c r="M41" s="146"/>
      <c r="N41" s="145"/>
      <c r="O41" s="137"/>
    </row>
    <row r="42" spans="1:256" hidden="1" x14ac:dyDescent="0.25">
      <c r="A42" s="535"/>
      <c r="B42" s="535"/>
      <c r="C42" s="535"/>
      <c r="D42" s="535"/>
      <c r="E42" s="535"/>
      <c r="F42" s="535"/>
      <c r="H42" s="144"/>
      <c r="I42" s="144"/>
      <c r="J42" s="144"/>
      <c r="K42" s="144"/>
      <c r="L42" s="145"/>
      <c r="M42" s="146"/>
      <c r="N42" s="145"/>
      <c r="O42" s="137"/>
    </row>
    <row r="43" spans="1:256" hidden="1" x14ac:dyDescent="0.25">
      <c r="A43" s="530"/>
      <c r="B43" s="530"/>
      <c r="C43" s="530"/>
      <c r="D43" s="148"/>
      <c r="E43" s="358"/>
      <c r="F43" s="358"/>
      <c r="H43" s="149"/>
      <c r="I43" s="144"/>
      <c r="J43" s="144"/>
      <c r="K43" s="144"/>
      <c r="L43" s="145"/>
      <c r="M43" s="146"/>
      <c r="N43" s="145"/>
      <c r="O43" s="137"/>
    </row>
    <row r="44" spans="1:256" ht="12" customHeight="1" x14ac:dyDescent="0.25">
      <c r="A44" s="358"/>
      <c r="G44" s="150"/>
      <c r="H44" s="150"/>
      <c r="I44" s="150"/>
      <c r="J44" s="150"/>
      <c r="K44" s="150"/>
      <c r="L44" s="151">
        <f>F40*0.006</f>
        <v>239156.92</v>
      </c>
      <c r="M44" s="151"/>
      <c r="N44" s="145"/>
      <c r="O44" s="137"/>
    </row>
    <row r="45" spans="1:256" x14ac:dyDescent="0.25">
      <c r="A45" s="152" t="s">
        <v>194</v>
      </c>
      <c r="B45" s="153" t="s">
        <v>285</v>
      </c>
      <c r="C45" s="154"/>
      <c r="D45" s="197"/>
      <c r="F45" s="131"/>
      <c r="G45" s="125"/>
      <c r="H45" s="125"/>
      <c r="I45" s="144"/>
      <c r="J45" s="144"/>
      <c r="K45" s="144"/>
      <c r="L45" s="155"/>
      <c r="M45" s="145"/>
      <c r="N45" s="145"/>
      <c r="O45" s="15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x14ac:dyDescent="0.25">
      <c r="A46" s="152" t="s">
        <v>195</v>
      </c>
      <c r="B46" s="263" t="s">
        <v>283</v>
      </c>
      <c r="C46" s="129"/>
      <c r="D46" s="156"/>
      <c r="E46" s="156"/>
      <c r="F46" s="142"/>
      <c r="G46" s="157"/>
      <c r="H46" s="125"/>
      <c r="I46" s="144"/>
      <c r="J46" s="144"/>
      <c r="K46" s="144"/>
      <c r="L46" s="125"/>
      <c r="M46" s="307">
        <f>J40+K40</f>
        <v>39859486.140000001</v>
      </c>
      <c r="N46" s="157"/>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ht="15.75" x14ac:dyDescent="0.25">
      <c r="A47" s="152" t="s">
        <v>196</v>
      </c>
      <c r="B47" s="263" t="s">
        <v>284</v>
      </c>
      <c r="C47" s="129" t="s">
        <v>197</v>
      </c>
      <c r="D47" s="129"/>
      <c r="E47" s="156"/>
      <c r="F47" s="158"/>
      <c r="G47" s="155"/>
      <c r="H47" s="159"/>
      <c r="I47" s="144"/>
      <c r="J47" s="144"/>
      <c r="K47" s="144"/>
      <c r="L47" s="144"/>
      <c r="M47" s="144"/>
      <c r="N47" s="144"/>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29"/>
      <c r="B48" s="129"/>
      <c r="C48" s="129"/>
      <c r="D48" s="129"/>
      <c r="E48" s="129"/>
      <c r="F48" s="160"/>
      <c r="G48" s="125"/>
      <c r="H48" s="125"/>
      <c r="I48" s="161"/>
      <c r="J48" s="161"/>
      <c r="K48" s="161"/>
      <c r="L48" s="162"/>
      <c r="M48" s="125"/>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ht="25.5" customHeight="1" x14ac:dyDescent="0.25">
      <c r="A49" s="152" t="s">
        <v>198</v>
      </c>
      <c r="B49" s="527" t="s">
        <v>281</v>
      </c>
      <c r="C49" s="527"/>
      <c r="D49" s="129"/>
      <c r="E49" s="129"/>
      <c r="F49" s="129"/>
      <c r="G49" s="125"/>
      <c r="H49" s="125"/>
      <c r="I49" s="125"/>
      <c r="J49" s="125"/>
      <c r="K49" s="125"/>
      <c r="L49" s="163"/>
      <c r="M49" s="144"/>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t="s">
        <v>199</v>
      </c>
      <c r="B50" s="356" t="s">
        <v>282</v>
      </c>
      <c r="C50" s="129"/>
      <c r="D50" s="129"/>
      <c r="E50" s="129"/>
      <c r="F50" s="129"/>
      <c r="G50" s="125"/>
      <c r="H50" s="125"/>
      <c r="I50" s="125"/>
      <c r="J50" s="125"/>
      <c r="K50" s="125"/>
      <c r="L50" s="125"/>
      <c r="M50" s="144"/>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14.25" customHeight="1" x14ac:dyDescent="0.25">
      <c r="A51" s="152"/>
      <c r="B51" s="356"/>
      <c r="C51" s="129"/>
      <c r="D51" s="129"/>
      <c r="E51" s="129"/>
      <c r="F51" s="129"/>
      <c r="G51" s="125"/>
      <c r="H51" s="157"/>
      <c r="I51" s="125"/>
      <c r="J51" s="125"/>
      <c r="K51" s="125"/>
      <c r="L51" s="125"/>
      <c r="M51" s="144"/>
      <c r="N51" s="144"/>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ht="8.25" hidden="1" customHeight="1" x14ac:dyDescent="0.25">
      <c r="A52" s="129"/>
      <c r="B52" s="165"/>
      <c r="C52" s="129"/>
      <c r="D52" s="129"/>
      <c r="E52" s="129"/>
      <c r="F52" s="129"/>
      <c r="H52" s="125"/>
      <c r="I52" s="125"/>
      <c r="J52" s="125"/>
      <c r="K52" s="125"/>
      <c r="L52" s="125"/>
      <c r="M52" s="161"/>
      <c r="N52" s="144"/>
    </row>
    <row r="53" spans="1:256" ht="33" customHeight="1" x14ac:dyDescent="0.25">
      <c r="A53" s="528" t="s">
        <v>200</v>
      </c>
      <c r="B53" s="528"/>
      <c r="C53" s="528"/>
      <c r="D53" s="528"/>
      <c r="E53" s="528"/>
      <c r="F53" s="528"/>
      <c r="G53" s="125"/>
      <c r="H53" s="125"/>
      <c r="I53" s="125"/>
      <c r="J53" s="125"/>
      <c r="K53" s="125"/>
      <c r="L53" s="125"/>
      <c r="M53" s="144"/>
      <c r="N53" s="144"/>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6.75" customHeight="1" x14ac:dyDescent="0.25">
      <c r="A54" s="166"/>
      <c r="B54" s="166"/>
      <c r="C54" s="166"/>
      <c r="D54" s="166"/>
      <c r="E54" s="166"/>
      <c r="F54" s="166"/>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ht="29.25" x14ac:dyDescent="0.25">
      <c r="A55" s="167" t="s">
        <v>201</v>
      </c>
      <c r="B55" s="167" t="s">
        <v>202</v>
      </c>
      <c r="C55" s="167" t="s">
        <v>203</v>
      </c>
      <c r="D55" s="168"/>
      <c r="E55" s="166"/>
      <c r="F55" s="166"/>
      <c r="G55" s="125"/>
      <c r="H55" s="125"/>
      <c r="I55" s="125" t="e">
        <f>#REF!-#REF!</f>
        <v>#REF!</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204</v>
      </c>
      <c r="B56" s="267">
        <v>100.45</v>
      </c>
      <c r="C56" s="266">
        <v>1.0044999999999999</v>
      </c>
      <c r="D56" s="170"/>
      <c r="E56" s="170"/>
      <c r="F56" s="147"/>
      <c r="G56" s="171"/>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205</v>
      </c>
      <c r="B57" s="268">
        <v>100.32</v>
      </c>
      <c r="C57" s="266">
        <v>1.0032000000000001</v>
      </c>
      <c r="D57" s="170"/>
      <c r="E57" s="170"/>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206</v>
      </c>
      <c r="B58" s="268">
        <v>100.49</v>
      </c>
      <c r="C58" s="266">
        <v>1.0048999999999999</v>
      </c>
      <c r="D58" s="173"/>
      <c r="E58" s="173"/>
      <c r="F58" s="153"/>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207</v>
      </c>
      <c r="B59" s="268">
        <v>100.64</v>
      </c>
      <c r="C59" s="266">
        <v>1.0064</v>
      </c>
      <c r="D59" s="174"/>
      <c r="E59" s="147"/>
      <c r="F59" s="175"/>
      <c r="G59" s="172"/>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69" t="s">
        <v>208</v>
      </c>
      <c r="B60" s="268" t="s">
        <v>293</v>
      </c>
      <c r="C60" s="266">
        <v>1.0062</v>
      </c>
      <c r="D60" s="529"/>
      <c r="E60" s="530"/>
      <c r="F60" s="176"/>
      <c r="G60" s="172"/>
      <c r="H60" s="128"/>
      <c r="I60" s="128"/>
      <c r="J60" s="128"/>
      <c r="K60" s="128"/>
      <c r="L60" s="125"/>
      <c r="M60" s="125">
        <f>F40*E82</f>
        <v>239156.91683999999</v>
      </c>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7" t="s">
        <v>209</v>
      </c>
      <c r="B61" s="268" t="s">
        <v>294</v>
      </c>
      <c r="C61" s="266">
        <v>1.0047999999999999</v>
      </c>
      <c r="D61" s="125"/>
      <c r="E61" s="125"/>
      <c r="F61" s="178"/>
      <c r="G61" s="172"/>
      <c r="M61" s="122">
        <f>J40/F40</f>
        <v>5.4580371466876103E-2</v>
      </c>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79" t="s">
        <v>210</v>
      </c>
      <c r="B62" s="268" t="s">
        <v>295</v>
      </c>
      <c r="C62" s="266" t="s">
        <v>303</v>
      </c>
      <c r="D62" s="529"/>
      <c r="E62" s="530"/>
      <c r="F62" s="530"/>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212</v>
      </c>
      <c r="B63" s="268" t="s">
        <v>296</v>
      </c>
      <c r="C63" s="266">
        <v>0.99080000000000001</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286</v>
      </c>
      <c r="B64" s="268" t="s">
        <v>297</v>
      </c>
      <c r="C64" s="266">
        <v>0.99870000000000003</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287</v>
      </c>
      <c r="B65" s="268" t="s">
        <v>298</v>
      </c>
      <c r="C65" s="266">
        <v>0.98370000000000002</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288</v>
      </c>
      <c r="B66" s="268" t="s">
        <v>299</v>
      </c>
      <c r="C66" s="266" t="s">
        <v>301</v>
      </c>
      <c r="D66" s="174"/>
      <c r="E66" s="147"/>
      <c r="F66" s="147"/>
      <c r="G66" s="172"/>
      <c r="L66" s="122">
        <f>PRODUCT(C56:C70)</f>
        <v>1.0201967785683801</v>
      </c>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289</v>
      </c>
      <c r="B67" s="268" t="s">
        <v>300</v>
      </c>
      <c r="C67" s="266" t="s">
        <v>302</v>
      </c>
      <c r="D67" s="174"/>
      <c r="E67" s="147"/>
      <c r="F67" s="147"/>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290</v>
      </c>
      <c r="B68" s="268">
        <v>100.57</v>
      </c>
      <c r="C68" s="266">
        <v>1.0057</v>
      </c>
      <c r="D68" s="529"/>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264" t="s">
        <v>291</v>
      </c>
      <c r="B69" s="268">
        <v>100.57</v>
      </c>
      <c r="C69" s="266">
        <v>1.0057</v>
      </c>
      <c r="D69" s="529" t="s">
        <v>211</v>
      </c>
      <c r="E69" s="530"/>
      <c r="F69" s="530"/>
      <c r="G69" s="172"/>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79" t="s">
        <v>292</v>
      </c>
      <c r="B70" s="268">
        <v>100.57</v>
      </c>
      <c r="C70" s="266">
        <v>1.0057</v>
      </c>
      <c r="D70" s="529" t="s">
        <v>211</v>
      </c>
      <c r="E70" s="530"/>
      <c r="F70" s="530"/>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80"/>
      <c r="B71" s="173"/>
      <c r="C71" s="181"/>
      <c r="D71" s="147"/>
      <c r="E71" s="147"/>
      <c r="F71" s="178"/>
      <c r="G71" s="172"/>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176" t="s">
        <v>213</v>
      </c>
      <c r="B72" s="182"/>
      <c r="C72" s="153"/>
      <c r="D72" s="153"/>
      <c r="E72" s="153"/>
      <c r="F72" s="183"/>
      <c r="G72" s="172"/>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x14ac:dyDescent="0.25">
      <c r="A73" s="265" t="s">
        <v>304</v>
      </c>
      <c r="B73" s="182"/>
      <c r="C73" s="153"/>
      <c r="D73" s="153"/>
      <c r="E73" s="153"/>
      <c r="F73" s="183"/>
      <c r="G73" s="172"/>
      <c r="H73" s="125"/>
      <c r="I73" s="125"/>
      <c r="J73" s="125"/>
      <c r="K73" s="125"/>
      <c r="L73" s="125"/>
      <c r="M73" s="125">
        <f>PRODUCT(C56:C70)</f>
        <v>1.0201967785683801</v>
      </c>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ht="9.75" customHeight="1" x14ac:dyDescent="0.25">
      <c r="A74" s="184"/>
      <c r="B74" s="185"/>
      <c r="C74" s="129"/>
      <c r="D74" s="156"/>
      <c r="E74" s="129"/>
      <c r="F74" s="186"/>
      <c r="G74" s="172"/>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36" customHeight="1" x14ac:dyDescent="0.25">
      <c r="A75" s="531" t="s">
        <v>370</v>
      </c>
      <c r="B75" s="531"/>
      <c r="C75" s="531"/>
      <c r="D75" s="531"/>
      <c r="E75" s="531"/>
      <c r="F75" s="175">
        <f>C56*C57*C58*C59*C60*C61*C62*C63*C64*C65*C66*C67*C68*C69*C70</f>
        <v>1.0575000000000001</v>
      </c>
      <c r="H75" s="125"/>
      <c r="I75" s="125"/>
      <c r="J75" s="363"/>
      <c r="K75" s="125"/>
      <c r="L75" s="125"/>
      <c r="M75" s="269">
        <f>C56*C57*C58*C59*C60*C61*C62*C63*C64*C65*C66*C67*C68*C69*C70</f>
        <v>1.0575000000000001</v>
      </c>
      <c r="N75" s="125"/>
      <c r="O75" s="125">
        <f>PRODUCT(C56:C70)</f>
        <v>1.0201967785683801</v>
      </c>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8.25" customHeight="1" x14ac:dyDescent="0.25">
      <c r="A76" s="244"/>
      <c r="B76" s="244"/>
      <c r="C76" s="244"/>
      <c r="D76" s="244"/>
      <c r="E76" s="244"/>
      <c r="F76" s="17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18" customHeight="1" x14ac:dyDescent="0.25">
      <c r="A77" s="265" t="s">
        <v>305</v>
      </c>
      <c r="B77" s="244"/>
      <c r="C77" s="244"/>
      <c r="D77" s="244"/>
      <c r="E77" s="244"/>
      <c r="F77" s="17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ht="23.25" customHeight="1" x14ac:dyDescent="0.25">
      <c r="A78" s="531" t="s">
        <v>371</v>
      </c>
      <c r="B78" s="531"/>
      <c r="C78" s="531"/>
      <c r="D78" s="531"/>
      <c r="E78" s="531"/>
      <c r="F78" s="175">
        <f>C68*C69*C70</f>
        <v>1.0172000000000001</v>
      </c>
      <c r="H78" s="125"/>
      <c r="I78" s="125"/>
      <c r="J78" s="125"/>
      <c r="K78" s="125"/>
      <c r="L78" s="125"/>
      <c r="M78" s="125">
        <f>C68*C69*C70</f>
        <v>1.017197655193</v>
      </c>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76" t="s">
        <v>197</v>
      </c>
      <c r="B79" s="176"/>
      <c r="C79" s="176"/>
      <c r="D79" s="125"/>
      <c r="E79" s="176"/>
      <c r="F79" s="187"/>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78" t="s">
        <v>214</v>
      </c>
      <c r="B80" s="178"/>
      <c r="C80" s="178"/>
      <c r="D80" s="178"/>
      <c r="E80" s="178"/>
      <c r="F80" s="187"/>
      <c r="G80" s="188"/>
      <c r="H80" s="189"/>
      <c r="I80" s="188"/>
      <c r="J80" s="188"/>
      <c r="K80" s="188"/>
      <c r="L80" s="188"/>
      <c r="M80" s="188"/>
    </row>
    <row r="81" spans="1:256" x14ac:dyDescent="0.25">
      <c r="A81" s="191"/>
      <c r="B81" s="191"/>
      <c r="C81" s="191"/>
      <c r="D81" s="191"/>
      <c r="E81" s="191"/>
      <c r="F81" s="192"/>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pans="1:256" x14ac:dyDescent="0.25">
      <c r="A82" s="153" t="s">
        <v>315</v>
      </c>
      <c r="B82" s="153"/>
      <c r="C82" s="153"/>
      <c r="D82" s="125"/>
      <c r="E82" s="366">
        <v>6.0000000000000001E-3</v>
      </c>
      <c r="F82" s="190"/>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pans="1:256" x14ac:dyDescent="0.25">
      <c r="A83" s="153" t="s">
        <v>316</v>
      </c>
      <c r="B83" s="153"/>
      <c r="C83" s="153"/>
      <c r="D83" s="125"/>
      <c r="E83" s="366">
        <v>0.99399999999999999</v>
      </c>
      <c r="F83" s="190"/>
      <c r="G83" s="125"/>
      <c r="H83" s="125"/>
      <c r="I83" s="125"/>
      <c r="J83" s="125"/>
      <c r="K83" s="125"/>
      <c r="L83" s="125"/>
      <c r="M83" s="125"/>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row>
    <row r="84" spans="1:256" ht="18.75" customHeight="1" x14ac:dyDescent="0.25">
      <c r="A84" s="153"/>
      <c r="B84" s="178"/>
      <c r="C84" s="178"/>
      <c r="D84" s="178"/>
      <c r="E84" s="366"/>
      <c r="F84" s="190"/>
      <c r="G84" s="125"/>
      <c r="H84" s="125"/>
      <c r="I84" s="125"/>
      <c r="J84" s="125"/>
      <c r="K84" s="125"/>
      <c r="L84" s="125"/>
      <c r="M84" s="125"/>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c r="CH84" s="188"/>
      <c r="CI84" s="188"/>
      <c r="CJ84" s="188"/>
      <c r="CK84" s="188"/>
      <c r="CL84" s="188"/>
      <c r="CM84" s="188"/>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188"/>
      <c r="DM84" s="188"/>
      <c r="DN84" s="188"/>
      <c r="DO84" s="188"/>
      <c r="DP84" s="188"/>
      <c r="DQ84" s="188"/>
      <c r="DR84" s="188"/>
      <c r="DS84" s="188"/>
      <c r="DT84" s="188"/>
      <c r="DU84" s="188"/>
      <c r="DV84" s="188"/>
      <c r="DW84" s="188"/>
      <c r="DX84" s="188"/>
      <c r="DY84" s="188"/>
      <c r="DZ84" s="188"/>
      <c r="EA84" s="188"/>
      <c r="EB84" s="188"/>
      <c r="EC84" s="188"/>
      <c r="ED84" s="188"/>
      <c r="EE84" s="188"/>
      <c r="EF84" s="188"/>
      <c r="EG84" s="188"/>
      <c r="EH84" s="188"/>
      <c r="EI84" s="188"/>
      <c r="EJ84" s="188"/>
      <c r="EK84" s="188"/>
      <c r="EL84" s="188"/>
      <c r="EM84" s="188"/>
      <c r="EN84" s="188"/>
      <c r="EO84" s="188"/>
      <c r="EP84" s="188"/>
      <c r="EQ84" s="188"/>
      <c r="ER84" s="188"/>
      <c r="ES84" s="188"/>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188"/>
      <c r="FS84" s="188"/>
      <c r="FT84" s="188"/>
      <c r="FU84" s="188"/>
      <c r="FV84" s="188"/>
      <c r="FW84" s="188"/>
      <c r="FX84" s="188"/>
      <c r="FY84" s="188"/>
      <c r="FZ84" s="188"/>
      <c r="GA84" s="188"/>
      <c r="GB84" s="188"/>
      <c r="GC84" s="188"/>
      <c r="GD84" s="188"/>
      <c r="GE84" s="188"/>
      <c r="GF84" s="188"/>
      <c r="GG84" s="188"/>
      <c r="GH84" s="188"/>
      <c r="GI84" s="188"/>
      <c r="GJ84" s="188"/>
      <c r="GK84" s="188"/>
      <c r="GL84" s="188"/>
      <c r="GM84" s="188"/>
      <c r="GN84" s="188"/>
      <c r="GO84" s="188"/>
      <c r="GP84" s="188"/>
      <c r="GQ84" s="188"/>
      <c r="GR84" s="188"/>
      <c r="GS84" s="188"/>
      <c r="GT84" s="188"/>
      <c r="GU84" s="188"/>
      <c r="GV84" s="188"/>
      <c r="GW84" s="188"/>
      <c r="GX84" s="188"/>
      <c r="GY84" s="188"/>
      <c r="GZ84" s="188"/>
      <c r="HA84" s="188"/>
      <c r="HB84" s="188"/>
      <c r="HC84" s="188"/>
      <c r="HD84" s="188"/>
      <c r="HE84" s="188"/>
      <c r="HF84" s="188"/>
      <c r="HG84" s="188"/>
      <c r="HH84" s="188"/>
      <c r="HI84" s="188"/>
      <c r="HJ84" s="188"/>
      <c r="HK84" s="188"/>
      <c r="HL84" s="188"/>
      <c r="HM84" s="188"/>
      <c r="HN84" s="188"/>
      <c r="HO84" s="188"/>
      <c r="HP84" s="188"/>
      <c r="HQ84" s="188"/>
      <c r="HR84" s="188"/>
      <c r="HS84" s="188"/>
      <c r="HT84" s="188"/>
      <c r="HU84" s="188"/>
      <c r="HV84" s="188"/>
      <c r="HW84" s="188"/>
      <c r="HX84" s="188"/>
      <c r="HY84" s="188"/>
      <c r="HZ84" s="188"/>
      <c r="IA84" s="188"/>
      <c r="IB84" s="188"/>
      <c r="IC84" s="188"/>
      <c r="ID84" s="188"/>
      <c r="IE84" s="188"/>
      <c r="IF84" s="188"/>
      <c r="IG84" s="188"/>
      <c r="IH84" s="188"/>
      <c r="II84" s="188"/>
      <c r="IJ84" s="188"/>
      <c r="IK84" s="188"/>
      <c r="IL84" s="188"/>
      <c r="IM84" s="188"/>
      <c r="IN84" s="188"/>
      <c r="IO84" s="188"/>
      <c r="IP84" s="188"/>
      <c r="IQ84" s="188"/>
      <c r="IR84" s="188"/>
      <c r="IS84" s="188"/>
      <c r="IT84" s="188"/>
      <c r="IU84" s="188"/>
      <c r="IV84" s="188"/>
    </row>
    <row r="85" spans="1:256" ht="42" customHeight="1" x14ac:dyDescent="0.25">
      <c r="A85" s="522" t="s">
        <v>215</v>
      </c>
      <c r="B85" s="522"/>
      <c r="C85" s="522"/>
      <c r="D85" s="522"/>
      <c r="E85" s="522"/>
      <c r="F85" s="153"/>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7"/>
      <c r="B86" s="187" t="s">
        <v>202</v>
      </c>
      <c r="C86" s="284" t="s">
        <v>216</v>
      </c>
      <c r="D86" s="187"/>
      <c r="E86" s="187"/>
      <c r="F86" s="190"/>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217</v>
      </c>
      <c r="B87" s="183">
        <v>107.8</v>
      </c>
      <c r="C87" s="190">
        <f>B87/100</f>
        <v>1.0780000000000001</v>
      </c>
      <c r="D87" s="190"/>
      <c r="E87" s="190"/>
      <c r="F87" s="19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t="s">
        <v>317</v>
      </c>
      <c r="B88" s="183">
        <v>105.3</v>
      </c>
      <c r="C88" s="190">
        <f>B88/100</f>
        <v>1.0529999999999999</v>
      </c>
      <c r="D88" s="190"/>
      <c r="E88" s="190"/>
      <c r="F88" s="183"/>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x14ac:dyDescent="0.25">
      <c r="A89" s="183"/>
      <c r="B89" s="183"/>
      <c r="C89" s="190"/>
      <c r="D89" s="190"/>
      <c r="E89" s="190"/>
      <c r="F89" s="183"/>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ht="30.75" customHeight="1" x14ac:dyDescent="0.25">
      <c r="A90" s="153" t="s">
        <v>318</v>
      </c>
      <c r="B90" s="153"/>
      <c r="C90" s="153"/>
      <c r="D90" s="190"/>
      <c r="E90" s="190"/>
      <c r="F90" s="183"/>
      <c r="G90" s="522"/>
      <c r="H90" s="522"/>
      <c r="I90" s="522"/>
      <c r="J90" s="522"/>
      <c r="K90" s="522"/>
      <c r="L90" s="522"/>
      <c r="M90" s="125"/>
    </row>
    <row r="91" spans="1:256" x14ac:dyDescent="0.25">
      <c r="A91" s="180"/>
      <c r="B91" s="180"/>
      <c r="C91" s="193"/>
      <c r="D91" s="180"/>
      <c r="E91" s="190"/>
      <c r="F91" s="285"/>
      <c r="G91" s="522"/>
      <c r="H91" s="522"/>
      <c r="I91" s="522"/>
      <c r="J91" s="522"/>
      <c r="K91" s="522"/>
      <c r="L91" s="522"/>
      <c r="M91" s="125"/>
    </row>
    <row r="92" spans="1:256" ht="15" customHeight="1" x14ac:dyDescent="0.25">
      <c r="A92" s="180" t="s">
        <v>319</v>
      </c>
      <c r="B92" s="286" t="s">
        <v>320</v>
      </c>
      <c r="C92" s="193" t="s">
        <v>218</v>
      </c>
      <c r="D92" s="180">
        <f>ROUND(POWER(C87,1/12),4)</f>
        <v>1.0063</v>
      </c>
      <c r="E92" s="153"/>
      <c r="F92" s="285"/>
      <c r="G92" s="522"/>
      <c r="H92" s="522"/>
      <c r="I92" s="522"/>
      <c r="J92" s="522"/>
      <c r="K92" s="522"/>
      <c r="L92" s="522"/>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8" x14ac:dyDescent="0.25">
      <c r="A93" s="180" t="s">
        <v>321</v>
      </c>
      <c r="B93" s="286" t="s">
        <v>322</v>
      </c>
      <c r="C93" s="193" t="s">
        <v>218</v>
      </c>
      <c r="D93" s="180">
        <f>ROUND(POWER(C88,1/12),4)</f>
        <v>1.0043</v>
      </c>
      <c r="E93" s="153"/>
      <c r="F93" s="64"/>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18.75" customHeight="1" x14ac:dyDescent="0.25">
      <c r="A94" s="180"/>
      <c r="B94" s="286"/>
      <c r="C94" s="193"/>
      <c r="D94" s="180"/>
      <c r="E94" s="190"/>
      <c r="F94" s="183"/>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183" t="s">
        <v>323</v>
      </c>
      <c r="B95" s="183"/>
      <c r="C95" s="183"/>
      <c r="D95" s="183"/>
      <c r="E95" s="183"/>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x14ac:dyDescent="0.25">
      <c r="A96" s="183" t="s">
        <v>324</v>
      </c>
      <c r="B96" s="183"/>
      <c r="C96" s="183"/>
      <c r="D96" s="183"/>
      <c r="E96" s="183"/>
      <c r="F96" s="183"/>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ht="20.25" customHeight="1" x14ac:dyDescent="0.25">
      <c r="A97" s="194" t="s">
        <v>325</v>
      </c>
      <c r="B97" s="195"/>
      <c r="C97" s="195"/>
      <c r="D97" s="195"/>
      <c r="E97" s="183"/>
      <c r="F97" s="6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31.5" customHeight="1" x14ac:dyDescent="0.25">
      <c r="A98" s="524" t="s">
        <v>335</v>
      </c>
      <c r="B98" s="524"/>
      <c r="C98" s="524"/>
      <c r="D98" s="524"/>
      <c r="E98" s="304">
        <f>ROUND(POWER(D92,3),4)</f>
        <v>1.0189999999999999</v>
      </c>
      <c r="F98" s="6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36" customHeight="1" x14ac:dyDescent="0.25">
      <c r="A99" s="524" t="s">
        <v>326</v>
      </c>
      <c r="B99" s="524"/>
      <c r="C99" s="524"/>
      <c r="D99" s="524"/>
      <c r="E99" s="288"/>
      <c r="F99" s="64"/>
      <c r="H99" s="196"/>
      <c r="I99" s="196"/>
      <c r="J99" s="196"/>
      <c r="K99" s="196"/>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ht="15" customHeight="1" x14ac:dyDescent="0.25">
      <c r="A100" s="525" t="s">
        <v>336</v>
      </c>
      <c r="B100" s="525"/>
      <c r="C100" s="525"/>
      <c r="D100" s="525"/>
      <c r="E100" s="289">
        <f>(E98-1)/2+1</f>
        <v>1.0095000000000001</v>
      </c>
      <c r="F100" s="290"/>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x14ac:dyDescent="0.25">
      <c r="A101" s="287"/>
      <c r="B101" s="287"/>
      <c r="C101" s="287"/>
      <c r="D101" s="287"/>
      <c r="E101" s="291"/>
      <c r="F101" s="290"/>
      <c r="G101" s="20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ht="15.75" customHeight="1" x14ac:dyDescent="0.25">
      <c r="A102" s="178" t="s">
        <v>327</v>
      </c>
      <c r="B102" s="183"/>
      <c r="C102" s="292"/>
      <c r="D102" s="293"/>
      <c r="E102" s="183"/>
      <c r="F102" s="153"/>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ht="55.5" customHeight="1" x14ac:dyDescent="0.25">
      <c r="A103" s="526" t="s">
        <v>337</v>
      </c>
      <c r="B103" s="526"/>
      <c r="C103" s="526"/>
      <c r="D103" s="526"/>
      <c r="E103" s="526"/>
      <c r="F103" s="526"/>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x14ac:dyDescent="0.25">
      <c r="A104" s="64"/>
      <c r="B104" s="125"/>
      <c r="C104" s="64"/>
      <c r="D104" s="64"/>
      <c r="E104" s="64"/>
      <c r="F104" s="125"/>
      <c r="G104" s="200"/>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ht="15.75" customHeight="1" x14ac:dyDescent="0.25">
      <c r="A105" s="178" t="s">
        <v>328</v>
      </c>
      <c r="B105" s="294" t="s">
        <v>338</v>
      </c>
      <c r="C105" s="125"/>
      <c r="D105" s="292" t="s">
        <v>218</v>
      </c>
      <c r="E105" s="295">
        <f>ROUND(E98*(POWER(D93,1)+POWER(D93,1))/2,4)</f>
        <v>1.0234000000000001</v>
      </c>
      <c r="F105" s="296"/>
      <c r="G105" s="200"/>
      <c r="L105" s="131"/>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x14ac:dyDescent="0.25">
      <c r="A106" s="178"/>
      <c r="B106" s="294"/>
      <c r="C106" s="125"/>
      <c r="D106" s="292"/>
      <c r="E106" s="295"/>
      <c r="F106" s="296"/>
      <c r="G106" s="200"/>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ht="9.75" customHeight="1" x14ac:dyDescent="0.25">
      <c r="A107" s="178"/>
      <c r="B107" s="183"/>
      <c r="C107" s="292"/>
      <c r="D107" s="183"/>
      <c r="E107" s="183"/>
      <c r="F107" s="297"/>
    </row>
    <row r="108" spans="1:256" ht="36" customHeight="1" x14ac:dyDescent="0.25">
      <c r="A108" s="524" t="s">
        <v>329</v>
      </c>
      <c r="B108" s="524"/>
      <c r="C108" s="524"/>
      <c r="D108" s="524"/>
      <c r="E108" s="524"/>
      <c r="F108" s="524"/>
    </row>
    <row r="109" spans="1:256" x14ac:dyDescent="0.25">
      <c r="A109" s="183"/>
      <c r="B109" s="125"/>
      <c r="C109" s="125"/>
      <c r="D109" s="125"/>
      <c r="E109" s="125"/>
      <c r="F109" s="297"/>
      <c r="G109" s="125"/>
      <c r="H109" s="125"/>
      <c r="I109" s="125"/>
      <c r="J109" s="125"/>
      <c r="K109" s="125"/>
      <c r="L109" s="125"/>
      <c r="M109" s="125"/>
    </row>
    <row r="110" spans="1:256" x14ac:dyDescent="0.25">
      <c r="A110" s="554" t="s">
        <v>355</v>
      </c>
      <c r="B110" s="554"/>
      <c r="C110" s="554"/>
      <c r="D110" s="295">
        <f>ROUND((E82*E100+E83*E105),4)</f>
        <v>1.0233000000000001</v>
      </c>
      <c r="E110" s="183"/>
      <c r="F110" s="297"/>
    </row>
    <row r="111" spans="1:256" x14ac:dyDescent="0.25">
      <c r="A111" s="364"/>
      <c r="B111" s="365"/>
      <c r="C111" s="365"/>
      <c r="D111" s="295"/>
      <c r="E111" s="183"/>
      <c r="F111" s="297"/>
    </row>
    <row r="112" spans="1:256" x14ac:dyDescent="0.25">
      <c r="A112" s="364" t="s">
        <v>311</v>
      </c>
      <c r="B112" s="365"/>
      <c r="C112" s="365"/>
      <c r="D112" s="295"/>
      <c r="E112" s="183"/>
      <c r="F112" s="297"/>
    </row>
    <row r="113" spans="1:256" x14ac:dyDescent="0.25">
      <c r="A113" s="366" t="s">
        <v>330</v>
      </c>
      <c r="B113" s="367" t="s">
        <v>283</v>
      </c>
      <c r="C113" s="365"/>
      <c r="D113" s="295"/>
      <c r="E113" s="183"/>
      <c r="F113" s="297"/>
    </row>
    <row r="114" spans="1:256" x14ac:dyDescent="0.25">
      <c r="A114" s="366" t="s">
        <v>331</v>
      </c>
      <c r="B114" s="367" t="s">
        <v>341</v>
      </c>
      <c r="C114" s="365"/>
      <c r="D114" s="295"/>
      <c r="E114" s="183"/>
      <c r="F114" s="297"/>
    </row>
    <row r="115" spans="1:256" x14ac:dyDescent="0.25">
      <c r="A115" s="366" t="s">
        <v>198</v>
      </c>
      <c r="B115" s="368" t="s">
        <v>379</v>
      </c>
      <c r="C115" s="365"/>
      <c r="D115" s="295"/>
      <c r="E115" s="183"/>
      <c r="F115" s="297"/>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25"/>
      <c r="FL115" s="125"/>
      <c r="FM115" s="125"/>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25"/>
      <c r="GQ115" s="125"/>
      <c r="GR115" s="125"/>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25"/>
      <c r="HW115" s="125"/>
      <c r="HX115" s="125"/>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row>
    <row r="116" spans="1:256" x14ac:dyDescent="0.25">
      <c r="A116" s="183" t="s">
        <v>199</v>
      </c>
      <c r="B116" s="181" t="s">
        <v>282</v>
      </c>
      <c r="C116" s="299"/>
      <c r="D116" s="295"/>
      <c r="E116" s="183"/>
      <c r="F116" s="297"/>
    </row>
    <row r="117" spans="1:256" x14ac:dyDescent="0.25">
      <c r="A117" s="183"/>
      <c r="B117" s="181"/>
      <c r="C117" s="299"/>
      <c r="D117" s="295"/>
      <c r="E117" s="183"/>
      <c r="F117" s="297"/>
    </row>
    <row r="118" spans="1:256" x14ac:dyDescent="0.25">
      <c r="A118" s="178" t="s">
        <v>332</v>
      </c>
      <c r="B118" s="181"/>
      <c r="C118" s="299"/>
      <c r="D118" s="295"/>
      <c r="E118" s="183"/>
      <c r="F118" s="297"/>
    </row>
    <row r="119" spans="1:256" x14ac:dyDescent="0.25">
      <c r="A119" s="178"/>
      <c r="B119" s="181"/>
      <c r="C119" s="299"/>
      <c r="D119" s="295"/>
      <c r="E119" s="183"/>
      <c r="F119" s="297"/>
    </row>
    <row r="120" spans="1:256" ht="53.25" customHeight="1" x14ac:dyDescent="0.25">
      <c r="A120" s="522" t="s">
        <v>343</v>
      </c>
      <c r="B120" s="522"/>
      <c r="C120" s="522"/>
      <c r="D120" s="522"/>
      <c r="E120" s="522"/>
      <c r="F120" s="522"/>
    </row>
    <row r="121" spans="1:256" x14ac:dyDescent="0.25">
      <c r="A121" s="301" t="s">
        <v>333</v>
      </c>
      <c r="B121" s="301" t="s">
        <v>342</v>
      </c>
      <c r="C121" s="302">
        <f>ROUND((D92*D92+POWER(D92,3))/2,4)</f>
        <v>1.0158</v>
      </c>
      <c r="D121" s="287"/>
      <c r="E121" s="287"/>
      <c r="F121" s="287"/>
    </row>
    <row r="122" spans="1:256" x14ac:dyDescent="0.25">
      <c r="A122" s="178"/>
      <c r="B122" s="293"/>
      <c r="C122" s="293"/>
      <c r="D122" s="295"/>
      <c r="E122" s="183"/>
      <c r="F122" s="297"/>
    </row>
    <row r="123" spans="1:256" ht="72" customHeight="1" x14ac:dyDescent="0.25">
      <c r="A123" s="522" t="s">
        <v>380</v>
      </c>
      <c r="B123" s="522"/>
      <c r="C123" s="522"/>
      <c r="D123" s="522"/>
      <c r="E123" s="522"/>
      <c r="F123" s="522"/>
    </row>
    <row r="125" spans="1:256" x14ac:dyDescent="0.25">
      <c r="A125" s="183" t="s">
        <v>227</v>
      </c>
      <c r="B125" s="296"/>
      <c r="C125" s="296"/>
      <c r="D125" s="296"/>
    </row>
    <row r="126" spans="1:256" x14ac:dyDescent="0.25">
      <c r="A126" s="296" t="s">
        <v>349</v>
      </c>
      <c r="B126" s="296" t="s">
        <v>350</v>
      </c>
      <c r="C126" s="296"/>
      <c r="D126" s="296" t="s">
        <v>397</v>
      </c>
    </row>
    <row r="127" spans="1:256" x14ac:dyDescent="0.25">
      <c r="A127" s="125"/>
      <c r="B127" s="296"/>
      <c r="C127" s="296"/>
      <c r="D127" s="296"/>
    </row>
    <row r="128" spans="1:256" x14ac:dyDescent="0.25">
      <c r="A128" s="296"/>
      <c r="B128" s="296"/>
      <c r="C128" s="296"/>
      <c r="D128" s="296"/>
    </row>
    <row r="129" spans="1:4" x14ac:dyDescent="0.25">
      <c r="A129" s="296"/>
      <c r="B129" s="296"/>
      <c r="C129" s="296"/>
      <c r="D129" s="296"/>
    </row>
    <row r="130" spans="1:4" ht="15.75" x14ac:dyDescent="0.25">
      <c r="A130" s="523"/>
      <c r="B130" s="523"/>
      <c r="C130" s="315"/>
      <c r="D130" s="316"/>
    </row>
  </sheetData>
  <mergeCells count="44">
    <mergeCell ref="A9:F9"/>
    <mergeCell ref="D1:F1"/>
    <mergeCell ref="A3:F3"/>
    <mergeCell ref="A4:F4"/>
    <mergeCell ref="A6:F6"/>
    <mergeCell ref="A7:F7"/>
    <mergeCell ref="A43:C43"/>
    <mergeCell ref="A10:F10"/>
    <mergeCell ref="A11:F11"/>
    <mergeCell ref="A12:F12"/>
    <mergeCell ref="A13:F13"/>
    <mergeCell ref="A15:A16"/>
    <mergeCell ref="B15:B16"/>
    <mergeCell ref="C15:C16"/>
    <mergeCell ref="D15:D16"/>
    <mergeCell ref="E15:E16"/>
    <mergeCell ref="F15:F16"/>
    <mergeCell ref="G15:H15"/>
    <mergeCell ref="I15:I16"/>
    <mergeCell ref="J15:K15"/>
    <mergeCell ref="A41:F41"/>
    <mergeCell ref="A42:F42"/>
    <mergeCell ref="G91:L91"/>
    <mergeCell ref="B49:C49"/>
    <mergeCell ref="A53:F53"/>
    <mergeCell ref="D60:E60"/>
    <mergeCell ref="D62:F62"/>
    <mergeCell ref="D68:F68"/>
    <mergeCell ref="D69:F69"/>
    <mergeCell ref="D70:F70"/>
    <mergeCell ref="A75:E75"/>
    <mergeCell ref="A78:E78"/>
    <mergeCell ref="A85:E85"/>
    <mergeCell ref="G90:L90"/>
    <mergeCell ref="A110:C110"/>
    <mergeCell ref="A120:F120"/>
    <mergeCell ref="A123:F123"/>
    <mergeCell ref="A130:B130"/>
    <mergeCell ref="G92:L92"/>
    <mergeCell ref="A98:D98"/>
    <mergeCell ref="A99:D99"/>
    <mergeCell ref="A100:D100"/>
    <mergeCell ref="A103:F103"/>
    <mergeCell ref="A108:F108"/>
  </mergeCells>
  <pageMargins left="0.7" right="0.7" top="0.75" bottom="0.75" header="0.3" footer="0.3"/>
  <pageSetup paperSize="9" scale="71" fitToHeight="0" orientation="landscape" r:id="rId1"/>
  <rowBreaks count="1" manualBreakCount="1">
    <brk id="63" max="10" man="1"/>
  </rowBreaks>
  <colBreaks count="1" manualBreakCount="1">
    <brk id="11" max="8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130"/>
  <sheetViews>
    <sheetView view="pageBreakPreview" topLeftCell="A22" zoomScaleNormal="100" zoomScaleSheetLayoutView="100" workbookViewId="0">
      <selection activeCell="J40" sqref="J40"/>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55" t="s">
        <v>228</v>
      </c>
      <c r="B10" s="556"/>
      <c r="C10" s="556"/>
      <c r="D10" s="556"/>
      <c r="E10" s="556"/>
      <c r="F10" s="556"/>
    </row>
    <row r="11" spans="1:256" ht="15.75" x14ac:dyDescent="0.25">
      <c r="A11" s="558" t="s">
        <v>400</v>
      </c>
      <c r="B11" s="558"/>
      <c r="C11" s="558"/>
      <c r="D11" s="558"/>
      <c r="E11" s="558"/>
      <c r="F11" s="558"/>
    </row>
    <row r="12" spans="1:256" ht="29.25" customHeight="1" x14ac:dyDescent="0.25">
      <c r="A12" s="559" t="s">
        <v>399</v>
      </c>
      <c r="B12" s="559"/>
      <c r="C12" s="559"/>
      <c r="D12" s="559"/>
      <c r="E12" s="559"/>
      <c r="F12" s="55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69"/>
      <c r="J17" s="133">
        <v>7</v>
      </c>
      <c r="K17" s="133">
        <v>8</v>
      </c>
      <c r="L17" s="125">
        <f>227468.45/1.012/1.2/1.02</f>
        <v>183636.597755044</v>
      </c>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2" t="s">
        <v>377</v>
      </c>
      <c r="B18" s="133"/>
      <c r="C18" s="133"/>
      <c r="D18" s="133"/>
      <c r="E18" s="133"/>
      <c r="F18" s="133"/>
      <c r="G18" s="133"/>
      <c r="H18" s="133"/>
      <c r="I18" s="359"/>
      <c r="J18" s="133"/>
      <c r="K18" s="133"/>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ht="15.75" x14ac:dyDescent="0.25">
      <c r="A19" s="308" t="s">
        <v>190</v>
      </c>
      <c r="B19" s="135">
        <f>(28516.77*1000-B29)</f>
        <v>12856660</v>
      </c>
      <c r="C19" s="134">
        <f>F75</f>
        <v>1.0575000000000001</v>
      </c>
      <c r="D19" s="135">
        <f>B19*C19</f>
        <v>13595917.949999999</v>
      </c>
      <c r="E19" s="134">
        <f>D110</f>
        <v>1.0233000000000001</v>
      </c>
      <c r="F19" s="135">
        <f>D19*E19</f>
        <v>13912702.84</v>
      </c>
      <c r="G19" s="136"/>
      <c r="H19" s="136"/>
      <c r="I19" s="283"/>
      <c r="J19" s="135">
        <v>183636.6</v>
      </c>
      <c r="K19" s="135">
        <f>F19-J19</f>
        <v>13729066.24</v>
      </c>
      <c r="L19" s="137"/>
      <c r="M19" s="137"/>
      <c r="N19" s="137"/>
      <c r="O19" s="137"/>
      <c r="P19" s="138"/>
    </row>
    <row r="20" spans="1:256" ht="15.75" x14ac:dyDescent="0.25">
      <c r="A20" s="308" t="s">
        <v>308</v>
      </c>
      <c r="B20" s="135">
        <f>258.26*1000</f>
        <v>258260</v>
      </c>
      <c r="C20" s="134">
        <f>F75</f>
        <v>1.0575000000000001</v>
      </c>
      <c r="D20" s="135">
        <f>B20*C20</f>
        <v>273109.95</v>
      </c>
      <c r="E20" s="134">
        <f>D110</f>
        <v>1.0233000000000001</v>
      </c>
      <c r="F20" s="135">
        <f>D20*E20</f>
        <v>279473.40999999997</v>
      </c>
      <c r="G20" s="136"/>
      <c r="H20" s="136"/>
      <c r="I20" s="283"/>
      <c r="J20" s="135">
        <v>0</v>
      </c>
      <c r="K20" s="135">
        <f>F20</f>
        <v>279473.40999999997</v>
      </c>
      <c r="L20" s="137">
        <f>(B19+B20+B29)*0.012</f>
        <v>345300.36</v>
      </c>
      <c r="M20" s="137">
        <f>D24*E23</f>
        <v>14766689.871494999</v>
      </c>
      <c r="N20" s="137"/>
      <c r="O20" s="137"/>
      <c r="P20" s="138"/>
    </row>
    <row r="21" spans="1:256" ht="31.5" x14ac:dyDescent="0.25">
      <c r="A21" s="309" t="s">
        <v>312</v>
      </c>
      <c r="B21" s="135">
        <v>154260</v>
      </c>
      <c r="C21" s="134">
        <f>F75</f>
        <v>1.0575000000000001</v>
      </c>
      <c r="D21" s="135">
        <f>B21*C21</f>
        <v>163129.95000000001</v>
      </c>
      <c r="E21" s="134">
        <f>D110</f>
        <v>1.0233000000000001</v>
      </c>
      <c r="F21" s="135">
        <f>D21*E21</f>
        <v>166930.88</v>
      </c>
      <c r="G21" s="136"/>
      <c r="H21" s="136"/>
      <c r="I21" s="283"/>
      <c r="J21" s="135">
        <f>J19*0.012</f>
        <v>2203.64</v>
      </c>
      <c r="K21" s="135">
        <f>F21-J21</f>
        <v>164727.24</v>
      </c>
      <c r="L21" s="140">
        <f>B21+B30</f>
        <v>342180</v>
      </c>
      <c r="M21" s="137"/>
      <c r="N21" s="137"/>
      <c r="O21" s="137"/>
      <c r="P21" s="138"/>
    </row>
    <row r="22" spans="1:256" ht="15.75" x14ac:dyDescent="0.25">
      <c r="A22" s="308" t="s">
        <v>309</v>
      </c>
      <c r="B22" s="135">
        <f>109.08*1000</f>
        <v>109080</v>
      </c>
      <c r="C22" s="134">
        <f>F75</f>
        <v>1.0575000000000001</v>
      </c>
      <c r="D22" s="135">
        <f>B22*C22</f>
        <v>115352.1</v>
      </c>
      <c r="E22" s="134">
        <f>D110</f>
        <v>1.0233000000000001</v>
      </c>
      <c r="F22" s="135">
        <f>D22*E22</f>
        <v>118039.8</v>
      </c>
      <c r="G22" s="136"/>
      <c r="H22" s="136"/>
      <c r="I22" s="283"/>
      <c r="J22" s="135">
        <v>0</v>
      </c>
      <c r="K22" s="135">
        <f>F22</f>
        <v>118039.8</v>
      </c>
      <c r="L22" s="140">
        <f>B19+B20+B21+B22+B29+B30</f>
        <v>29226290</v>
      </c>
      <c r="M22" s="140" t="e">
        <f>C19+#REF!+C20+C21+C22</f>
        <v>#REF!</v>
      </c>
      <c r="N22" s="140" t="e">
        <f>D19+#REF!+D20+D21+D22</f>
        <v>#REF!</v>
      </c>
      <c r="O22" s="140" t="e">
        <f>F19+#REF!+F20+F21+F22</f>
        <v>#REF!</v>
      </c>
      <c r="P22" s="138"/>
    </row>
    <row r="23" spans="1:256" ht="31.5" x14ac:dyDescent="0.25">
      <c r="A23" s="310" t="s">
        <v>191</v>
      </c>
      <c r="B23" s="135">
        <f>ROUND((B19+B20+B21+B22)*0.02,2)</f>
        <v>267565.2</v>
      </c>
      <c r="C23" s="134">
        <f>F75</f>
        <v>1.0575000000000001</v>
      </c>
      <c r="D23" s="135">
        <f>B23*C23</f>
        <v>282950.2</v>
      </c>
      <c r="E23" s="134">
        <f>D110</f>
        <v>1.0233000000000001</v>
      </c>
      <c r="F23" s="135">
        <f>D23*E23</f>
        <v>289542.94</v>
      </c>
      <c r="G23" s="136"/>
      <c r="H23" s="136"/>
      <c r="I23" s="283"/>
      <c r="J23" s="135">
        <f>(J19+J21)*0.02</f>
        <v>3716.8</v>
      </c>
      <c r="K23" s="135">
        <f>F23-J23</f>
        <v>285826.14</v>
      </c>
      <c r="L23" s="140">
        <f>L22*0.02</f>
        <v>584525.80000000005</v>
      </c>
      <c r="M23" s="140" t="e">
        <f>M22*0.02</f>
        <v>#REF!</v>
      </c>
      <c r="N23" s="140" t="e">
        <f>N22*0.02</f>
        <v>#REF!</v>
      </c>
      <c r="O23" s="137">
        <f>D23*E22</f>
        <v>289542.93965999997</v>
      </c>
      <c r="P23" s="138"/>
    </row>
    <row r="24" spans="1:256" ht="15.75" x14ac:dyDescent="0.25">
      <c r="A24" s="308" t="s">
        <v>192</v>
      </c>
      <c r="B24" s="135">
        <f>SUM(B19:B23)</f>
        <v>13645825.199999999</v>
      </c>
      <c r="C24" s="134"/>
      <c r="D24" s="135">
        <f>SUM(D19:D23)</f>
        <v>14430460.15</v>
      </c>
      <c r="E24" s="134"/>
      <c r="F24" s="135">
        <f>SUM(F19:F23)</f>
        <v>14766689.869999999</v>
      </c>
      <c r="G24" s="136"/>
      <c r="H24" s="136"/>
      <c r="I24" s="283"/>
      <c r="J24" s="135">
        <f>J19+J21+J23</f>
        <v>189557.04</v>
      </c>
      <c r="K24" s="135">
        <f>K19+K20+K21+K22+K23</f>
        <v>14577132.83</v>
      </c>
      <c r="L24" s="140">
        <f>D19+D20+D21+D22+D23</f>
        <v>14430460.15</v>
      </c>
      <c r="M24" s="140">
        <f>E19+E20+E21+E22+E23</f>
        <v>5.12</v>
      </c>
      <c r="N24" s="140">
        <f>F19+F20+F21+F22+F23</f>
        <v>14766689.869999999</v>
      </c>
      <c r="O24" s="137"/>
      <c r="P24" s="138"/>
    </row>
    <row r="25" spans="1:256" ht="15.75" x14ac:dyDescent="0.25">
      <c r="A25" s="308" t="s">
        <v>193</v>
      </c>
      <c r="B25" s="135">
        <f>ROUND(B24*0.2,2)</f>
        <v>2729165.04</v>
      </c>
      <c r="C25" s="134"/>
      <c r="D25" s="135">
        <f>ROUND(D24*0.2,2)</f>
        <v>2886092.03</v>
      </c>
      <c r="E25" s="134"/>
      <c r="F25" s="135">
        <f>ROUND(F24*0.2,2)</f>
        <v>2953337.97</v>
      </c>
      <c r="G25" s="136"/>
      <c r="H25" s="136"/>
      <c r="I25" s="283"/>
      <c r="J25" s="135">
        <f>(J19+J21+J23)*0.2</f>
        <v>37911.410000000003</v>
      </c>
      <c r="K25" s="135">
        <f>K24*0.2-0.01</f>
        <v>2915426.56</v>
      </c>
      <c r="L25" s="137">
        <f>D24*0.2</f>
        <v>2886092.03</v>
      </c>
      <c r="M25" s="137">
        <f>D24*0.2</f>
        <v>2886092.03</v>
      </c>
      <c r="N25" s="137">
        <f>N24*0.2</f>
        <v>2953337.9739999999</v>
      </c>
      <c r="O25" s="137"/>
      <c r="P25" s="138"/>
    </row>
    <row r="26" spans="1:256" ht="15.75" x14ac:dyDescent="0.25">
      <c r="A26" s="271" t="s">
        <v>346</v>
      </c>
      <c r="B26" s="275">
        <f>B24+B25</f>
        <v>16374990.24</v>
      </c>
      <c r="C26" s="360"/>
      <c r="D26" s="275">
        <f>D24+D25</f>
        <v>17316552.18</v>
      </c>
      <c r="E26" s="360"/>
      <c r="F26" s="275">
        <f>F24+F25</f>
        <v>17720027.84</v>
      </c>
      <c r="G26" s="136"/>
      <c r="H26" s="136"/>
      <c r="I26" s="283"/>
      <c r="J26" s="275">
        <f>J19+J21+J23+J25</f>
        <v>227468.45</v>
      </c>
      <c r="K26" s="275">
        <f>K24+K25</f>
        <v>17492559.390000001</v>
      </c>
      <c r="L26" s="137">
        <f>J26+K26</f>
        <v>17720027.84</v>
      </c>
      <c r="M26" s="137"/>
      <c r="N26" s="137"/>
      <c r="O26" s="137"/>
      <c r="P26" s="138"/>
    </row>
    <row r="27" spans="1:256" ht="15.75" x14ac:dyDescent="0.25">
      <c r="A27" s="272"/>
      <c r="B27" s="135"/>
      <c r="C27" s="134"/>
      <c r="D27" s="135"/>
      <c r="E27" s="134"/>
      <c r="F27" s="135"/>
      <c r="G27" s="136"/>
      <c r="H27" s="136"/>
      <c r="I27" s="283"/>
      <c r="J27" s="135"/>
      <c r="K27" s="135"/>
      <c r="L27" s="137"/>
      <c r="M27" s="137"/>
      <c r="N27" s="137"/>
      <c r="O27" s="137"/>
      <c r="P27" s="138"/>
    </row>
    <row r="28" spans="1:256" ht="15.75" x14ac:dyDescent="0.25">
      <c r="A28" s="272" t="s">
        <v>378</v>
      </c>
      <c r="B28" s="135"/>
      <c r="C28" s="134"/>
      <c r="D28" s="135"/>
      <c r="E28" s="134"/>
      <c r="F28" s="135"/>
      <c r="G28" s="136"/>
      <c r="H28" s="136"/>
      <c r="I28" s="283"/>
      <c r="J28" s="136"/>
      <c r="K28" s="136"/>
      <c r="L28" s="137">
        <f>B26*C25</f>
        <v>0</v>
      </c>
      <c r="M28" s="137"/>
      <c r="N28" s="137"/>
      <c r="O28" s="137"/>
      <c r="P28" s="138"/>
    </row>
    <row r="29" spans="1:256" ht="47.25" x14ac:dyDescent="0.25">
      <c r="A29" s="311" t="s">
        <v>339</v>
      </c>
      <c r="B29" s="135">
        <f>15660.11*1000</f>
        <v>15660110</v>
      </c>
      <c r="C29" s="134">
        <f>F78</f>
        <v>1.0172000000000001</v>
      </c>
      <c r="D29" s="135">
        <f>B29*C29</f>
        <v>15929463.890000001</v>
      </c>
      <c r="E29" s="134">
        <f>D110</f>
        <v>1.0233000000000001</v>
      </c>
      <c r="F29" s="135">
        <f>D29*E29</f>
        <v>16300620.4</v>
      </c>
      <c r="G29" s="136"/>
      <c r="H29" s="136"/>
      <c r="I29" s="283"/>
      <c r="J29" s="135">
        <v>0</v>
      </c>
      <c r="K29" s="135">
        <f t="shared" ref="K29:K34" si="0">F29</f>
        <v>16300620.4</v>
      </c>
      <c r="L29" s="140">
        <f>B19+B29</f>
        <v>28516770</v>
      </c>
      <c r="M29" s="137"/>
      <c r="N29" s="137"/>
      <c r="O29" s="137"/>
      <c r="P29" s="138"/>
    </row>
    <row r="30" spans="1:256" ht="31.5" x14ac:dyDescent="0.25">
      <c r="A30" s="311" t="s">
        <v>312</v>
      </c>
      <c r="B30" s="135">
        <v>187920</v>
      </c>
      <c r="C30" s="134">
        <f>F78</f>
        <v>1.0172000000000001</v>
      </c>
      <c r="D30" s="135">
        <f>B30*C30</f>
        <v>191152.22</v>
      </c>
      <c r="E30" s="134">
        <f>D110</f>
        <v>1.0233000000000001</v>
      </c>
      <c r="F30" s="135">
        <f>D30*E30</f>
        <v>195606.07</v>
      </c>
      <c r="G30" s="136"/>
      <c r="H30" s="136"/>
      <c r="I30" s="283"/>
      <c r="J30" s="135">
        <v>0</v>
      </c>
      <c r="K30" s="135">
        <f t="shared" si="0"/>
        <v>195606.07</v>
      </c>
      <c r="L30" s="137"/>
      <c r="M30" s="137"/>
      <c r="N30" s="137"/>
      <c r="O30" s="137"/>
      <c r="P30" s="138"/>
    </row>
    <row r="31" spans="1:256" ht="31.5" x14ac:dyDescent="0.25">
      <c r="A31" s="312" t="s">
        <v>191</v>
      </c>
      <c r="B31" s="135">
        <f>ROUND((B29+B30)*0.02,2)</f>
        <v>316960.59999999998</v>
      </c>
      <c r="C31" s="134">
        <f>F78</f>
        <v>1.0172000000000001</v>
      </c>
      <c r="D31" s="135">
        <f>B31*C31</f>
        <v>322412.32</v>
      </c>
      <c r="E31" s="134">
        <f>D110</f>
        <v>1.0233000000000001</v>
      </c>
      <c r="F31" s="135">
        <f>D31*E31-0.01</f>
        <v>329924.52</v>
      </c>
      <c r="G31" s="136"/>
      <c r="H31" s="136"/>
      <c r="I31" s="283"/>
      <c r="J31" s="135">
        <v>0</v>
      </c>
      <c r="K31" s="135">
        <f t="shared" si="0"/>
        <v>329924.52</v>
      </c>
      <c r="L31" s="137"/>
      <c r="M31" s="140">
        <f>B23+B31</f>
        <v>584525.80000000005</v>
      </c>
      <c r="N31" s="137"/>
      <c r="O31" s="137"/>
      <c r="P31" s="138"/>
    </row>
    <row r="32" spans="1:256" ht="15.75" x14ac:dyDescent="0.25">
      <c r="A32" s="313" t="s">
        <v>192</v>
      </c>
      <c r="B32" s="135">
        <f>ROUND(B29+B30+B31,2)</f>
        <v>16164990.6</v>
      </c>
      <c r="C32" s="134"/>
      <c r="D32" s="135">
        <f>ROUND(D29+D30+D31,2)</f>
        <v>16443028.43</v>
      </c>
      <c r="E32" s="134"/>
      <c r="F32" s="135">
        <f>ROUND(F29+F30+F31,2)</f>
        <v>16826150.989999998</v>
      </c>
      <c r="G32" s="136"/>
      <c r="H32" s="136"/>
      <c r="I32" s="283"/>
      <c r="J32" s="135">
        <v>0</v>
      </c>
      <c r="K32" s="135">
        <f t="shared" si="0"/>
        <v>16826150.989999998</v>
      </c>
      <c r="L32" s="140">
        <f>D29+D30+D31</f>
        <v>16443028.43</v>
      </c>
      <c r="M32" s="137"/>
      <c r="N32" s="137"/>
      <c r="O32" s="137"/>
      <c r="P32" s="138"/>
    </row>
    <row r="33" spans="1:256" ht="15.75" x14ac:dyDescent="0.25">
      <c r="A33" s="313" t="s">
        <v>193</v>
      </c>
      <c r="B33" s="135">
        <f>ROUND(B32*0.2,2)</f>
        <v>3232998.12</v>
      </c>
      <c r="C33" s="134"/>
      <c r="D33" s="135">
        <f>ROUND(D32*0.2,2)</f>
        <v>3288605.69</v>
      </c>
      <c r="E33" s="134"/>
      <c r="F33" s="135">
        <f>ROUND(F32*0.2,2)</f>
        <v>3365230.2</v>
      </c>
      <c r="G33" s="136"/>
      <c r="H33" s="136"/>
      <c r="I33" s="283"/>
      <c r="J33" s="135">
        <v>0</v>
      </c>
      <c r="K33" s="135">
        <f t="shared" si="0"/>
        <v>3365230.2</v>
      </c>
      <c r="L33" s="140">
        <f>L32*0.2</f>
        <v>3288605.69</v>
      </c>
      <c r="M33" s="137">
        <f>F32*0.2</f>
        <v>3365230.1979999999</v>
      </c>
      <c r="N33" s="137"/>
      <c r="O33" s="137"/>
      <c r="P33" s="138"/>
    </row>
    <row r="34" spans="1:256" ht="15.75" x14ac:dyDescent="0.25">
      <c r="A34" s="271" t="s">
        <v>346</v>
      </c>
      <c r="B34" s="275">
        <f>B32+B33</f>
        <v>19397988.719999999</v>
      </c>
      <c r="C34" s="134"/>
      <c r="D34" s="275">
        <f>D32+D33</f>
        <v>19731634.120000001</v>
      </c>
      <c r="E34" s="134"/>
      <c r="F34" s="275">
        <f>F32+F33</f>
        <v>20191381.190000001</v>
      </c>
      <c r="G34" s="136"/>
      <c r="H34" s="136"/>
      <c r="I34" s="283"/>
      <c r="J34" s="135">
        <v>0</v>
      </c>
      <c r="K34" s="275">
        <f t="shared" si="0"/>
        <v>20191381.190000001</v>
      </c>
      <c r="L34" s="137">
        <f>B34*C33</f>
        <v>0</v>
      </c>
      <c r="M34" s="137"/>
      <c r="N34" s="137">
        <f>D34*E33</f>
        <v>0</v>
      </c>
      <c r="O34" s="137"/>
      <c r="P34" s="138"/>
    </row>
    <row r="35" spans="1:256" ht="15.75" x14ac:dyDescent="0.25">
      <c r="A35" s="271" t="s">
        <v>310</v>
      </c>
      <c r="B35" s="275">
        <f>B26+B34</f>
        <v>35772978.960000001</v>
      </c>
      <c r="C35" s="134"/>
      <c r="D35" s="275">
        <f>D26+D34</f>
        <v>37048186.299999997</v>
      </c>
      <c r="E35" s="134"/>
      <c r="F35" s="275">
        <f>F26+F34</f>
        <v>37911409.030000001</v>
      </c>
      <c r="G35" s="136"/>
      <c r="H35" s="136"/>
      <c r="I35" s="283"/>
      <c r="J35" s="275">
        <f>F35*E82</f>
        <v>227468.45</v>
      </c>
      <c r="K35" s="275">
        <f>F35*E83</f>
        <v>37683940.579999998</v>
      </c>
      <c r="L35" s="140">
        <f>B35*C19</f>
        <v>37829925.25</v>
      </c>
      <c r="M35" s="140">
        <f>J35+K35</f>
        <v>37911409.030000001</v>
      </c>
      <c r="N35" s="137"/>
      <c r="O35" s="137"/>
      <c r="P35" s="138"/>
    </row>
    <row r="36" spans="1:256" ht="15.75" x14ac:dyDescent="0.25">
      <c r="A36" s="271"/>
      <c r="B36" s="275"/>
      <c r="C36" s="282"/>
      <c r="D36" s="275"/>
      <c r="E36" s="282"/>
      <c r="F36" s="275"/>
      <c r="G36" s="136"/>
      <c r="H36" s="136"/>
      <c r="I36" s="283"/>
      <c r="J36" s="275"/>
      <c r="K36" s="275"/>
      <c r="L36" s="140"/>
      <c r="M36" s="140"/>
      <c r="N36" s="137"/>
      <c r="O36" s="137"/>
      <c r="P36" s="138"/>
    </row>
    <row r="37" spans="1:256" ht="15.75" x14ac:dyDescent="0.25">
      <c r="A37" s="272" t="s">
        <v>377</v>
      </c>
      <c r="B37" s="275"/>
      <c r="C37" s="282"/>
      <c r="D37" s="275"/>
      <c r="E37" s="282"/>
      <c r="F37" s="275"/>
      <c r="G37" s="136"/>
      <c r="H37" s="136"/>
      <c r="I37" s="283"/>
      <c r="J37" s="275"/>
      <c r="K37" s="275"/>
      <c r="L37" s="140"/>
      <c r="M37" s="140"/>
      <c r="N37" s="137"/>
      <c r="O37" s="137"/>
      <c r="P37" s="138"/>
    </row>
    <row r="38" spans="1:256" ht="15.75" x14ac:dyDescent="0.25">
      <c r="A38" s="314" t="s">
        <v>311</v>
      </c>
      <c r="B38" s="135">
        <f>1813.5*1000</f>
        <v>1813500</v>
      </c>
      <c r="C38" s="134">
        <f>F75</f>
        <v>1.0575000000000001</v>
      </c>
      <c r="D38" s="135">
        <f>B38*C38</f>
        <v>1917776.25</v>
      </c>
      <c r="E38" s="134">
        <f>C121</f>
        <v>1.0158</v>
      </c>
      <c r="F38" s="135">
        <f>D38*E38</f>
        <v>1948077.11</v>
      </c>
      <c r="G38" s="136"/>
      <c r="H38" s="136"/>
      <c r="I38" s="283"/>
      <c r="J38" s="135">
        <f>F38</f>
        <v>1948077.11</v>
      </c>
      <c r="K38" s="135">
        <v>0</v>
      </c>
      <c r="L38" s="137"/>
      <c r="M38" s="137"/>
      <c r="N38" s="137"/>
      <c r="O38" s="137"/>
      <c r="P38" s="138"/>
    </row>
    <row r="39" spans="1:256" ht="15.75" x14ac:dyDescent="0.25">
      <c r="A39" s="271" t="s">
        <v>310</v>
      </c>
      <c r="B39" s="276">
        <f>B38</f>
        <v>1813500</v>
      </c>
      <c r="C39" s="261"/>
      <c r="D39" s="275">
        <f>D38</f>
        <v>1917776.25</v>
      </c>
      <c r="E39" s="134"/>
      <c r="F39" s="275">
        <f>F38</f>
        <v>1948077.11</v>
      </c>
      <c r="G39" s="136"/>
      <c r="H39" s="136"/>
      <c r="I39" s="283"/>
      <c r="J39" s="275">
        <f>F39</f>
        <v>1948077.11</v>
      </c>
      <c r="K39" s="275">
        <v>0</v>
      </c>
      <c r="L39" s="140">
        <f>B39*C38</f>
        <v>1917776.25</v>
      </c>
      <c r="M39" s="137" t="e">
        <f>#REF!*#REF!</f>
        <v>#REF!</v>
      </c>
      <c r="N39" s="140"/>
      <c r="O39" s="137"/>
      <c r="S39" s="138"/>
      <c r="T39" s="138"/>
    </row>
    <row r="40" spans="1:256" s="280" customFormat="1" ht="33.75" customHeight="1" x14ac:dyDescent="0.25">
      <c r="A40" s="198" t="s">
        <v>313</v>
      </c>
      <c r="B40" s="199">
        <f>B35+B39</f>
        <v>37586478.960000001</v>
      </c>
      <c r="C40" s="281"/>
      <c r="D40" s="199">
        <f>D35+D39</f>
        <v>38965962.549999997</v>
      </c>
      <c r="E40" s="199"/>
      <c r="F40" s="199">
        <f t="shared" ref="F40:K40" si="1">F35+F39</f>
        <v>39859486.140000001</v>
      </c>
      <c r="G40" s="199">
        <f t="shared" si="1"/>
        <v>0</v>
      </c>
      <c r="H40" s="199">
        <f t="shared" si="1"/>
        <v>0</v>
      </c>
      <c r="I40" s="199">
        <f t="shared" si="1"/>
        <v>0</v>
      </c>
      <c r="J40" s="199">
        <f t="shared" si="1"/>
        <v>2175545.56</v>
      </c>
      <c r="K40" s="199">
        <f t="shared" si="1"/>
        <v>37683940.579999998</v>
      </c>
      <c r="L40" s="278"/>
      <c r="M40" s="279" t="e">
        <f>B19+B40+#REF!</f>
        <v>#REF!</v>
      </c>
      <c r="N40" s="278"/>
      <c r="O40" s="278"/>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row>
    <row r="41" spans="1:256" ht="12" customHeight="1" x14ac:dyDescent="0.25">
      <c r="A41" s="535"/>
      <c r="B41" s="535"/>
      <c r="C41" s="535"/>
      <c r="D41" s="535"/>
      <c r="E41" s="535"/>
      <c r="F41" s="535"/>
      <c r="G41" s="143"/>
      <c r="H41" s="144"/>
      <c r="I41" s="144"/>
      <c r="J41" s="144"/>
      <c r="K41" s="144"/>
      <c r="L41" s="145"/>
      <c r="M41" s="146"/>
      <c r="N41" s="145"/>
      <c r="O41" s="137"/>
    </row>
    <row r="42" spans="1:256" hidden="1" x14ac:dyDescent="0.25">
      <c r="A42" s="535"/>
      <c r="B42" s="535"/>
      <c r="C42" s="535"/>
      <c r="D42" s="535"/>
      <c r="E42" s="535"/>
      <c r="F42" s="535"/>
      <c r="H42" s="144"/>
      <c r="I42" s="144"/>
      <c r="J42" s="144"/>
      <c r="K42" s="144"/>
      <c r="L42" s="145"/>
      <c r="M42" s="146"/>
      <c r="N42" s="145"/>
      <c r="O42" s="137"/>
    </row>
    <row r="43" spans="1:256" hidden="1" x14ac:dyDescent="0.25">
      <c r="A43" s="530"/>
      <c r="B43" s="530"/>
      <c r="C43" s="530"/>
      <c r="D43" s="148"/>
      <c r="E43" s="370"/>
      <c r="F43" s="370"/>
      <c r="H43" s="149"/>
      <c r="I43" s="144"/>
      <c r="J43" s="144"/>
      <c r="K43" s="144"/>
      <c r="L43" s="145"/>
      <c r="M43" s="146"/>
      <c r="N43" s="145"/>
      <c r="O43" s="137"/>
    </row>
    <row r="44" spans="1:256" ht="12" customHeight="1" x14ac:dyDescent="0.25">
      <c r="A44" s="370"/>
      <c r="G44" s="150"/>
      <c r="H44" s="150"/>
      <c r="I44" s="150"/>
      <c r="J44" s="150"/>
      <c r="K44" s="150"/>
      <c r="L44" s="151"/>
      <c r="M44" s="151"/>
      <c r="N44" s="145"/>
      <c r="O44" s="137"/>
    </row>
    <row r="45" spans="1:256" x14ac:dyDescent="0.25">
      <c r="A45" s="152" t="s">
        <v>194</v>
      </c>
      <c r="B45" s="153" t="s">
        <v>285</v>
      </c>
      <c r="C45" s="154"/>
      <c r="D45" s="197"/>
      <c r="F45" s="131"/>
      <c r="G45" s="125"/>
      <c r="H45" s="125"/>
      <c r="I45" s="144"/>
      <c r="J45" s="144"/>
      <c r="K45" s="144"/>
      <c r="L45" s="155">
        <f>2297.65*1000</f>
        <v>2297650</v>
      </c>
      <c r="M45" s="145"/>
      <c r="N45" s="145"/>
      <c r="O45" s="15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x14ac:dyDescent="0.25">
      <c r="A46" s="152" t="s">
        <v>195</v>
      </c>
      <c r="B46" s="263" t="s">
        <v>283</v>
      </c>
      <c r="C46" s="129"/>
      <c r="D46" s="156"/>
      <c r="E46" s="156"/>
      <c r="F46" s="142"/>
      <c r="G46" s="157"/>
      <c r="H46" s="125"/>
      <c r="I46" s="144"/>
      <c r="J46" s="144"/>
      <c r="K46" s="144"/>
      <c r="L46" s="125"/>
      <c r="M46" s="307">
        <f>J40+K40</f>
        <v>39859486.140000001</v>
      </c>
      <c r="N46" s="157"/>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ht="15.75" x14ac:dyDescent="0.25">
      <c r="A47" s="152" t="s">
        <v>196</v>
      </c>
      <c r="B47" s="263" t="s">
        <v>284</v>
      </c>
      <c r="C47" s="129" t="s">
        <v>197</v>
      </c>
      <c r="D47" s="129"/>
      <c r="E47" s="156"/>
      <c r="F47" s="158"/>
      <c r="G47" s="155"/>
      <c r="H47" s="159"/>
      <c r="I47" s="144"/>
      <c r="J47" s="144"/>
      <c r="K47" s="144"/>
      <c r="L47" s="144"/>
      <c r="M47" s="144"/>
      <c r="N47" s="144"/>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29"/>
      <c r="B48" s="129"/>
      <c r="C48" s="129"/>
      <c r="D48" s="129"/>
      <c r="E48" s="129"/>
      <c r="F48" s="160"/>
      <c r="G48" s="125"/>
      <c r="H48" s="125"/>
      <c r="I48" s="161"/>
      <c r="J48" s="161"/>
      <c r="K48" s="161"/>
      <c r="L48" s="162"/>
      <c r="M48" s="125"/>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ht="25.5" customHeight="1" x14ac:dyDescent="0.25">
      <c r="A49" s="152" t="s">
        <v>198</v>
      </c>
      <c r="B49" s="527" t="s">
        <v>281</v>
      </c>
      <c r="C49" s="527"/>
      <c r="D49" s="129"/>
      <c r="E49" s="129"/>
      <c r="F49" s="129"/>
      <c r="G49" s="125"/>
      <c r="H49" s="125"/>
      <c r="I49" s="125"/>
      <c r="J49" s="125"/>
      <c r="K49" s="125"/>
      <c r="L49" s="163"/>
      <c r="M49" s="144"/>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t="s">
        <v>199</v>
      </c>
      <c r="B50" s="371" t="s">
        <v>282</v>
      </c>
      <c r="C50" s="129"/>
      <c r="D50" s="129"/>
      <c r="E50" s="129"/>
      <c r="F50" s="129"/>
      <c r="G50" s="125"/>
      <c r="H50" s="125"/>
      <c r="I50" s="125"/>
      <c r="J50" s="125"/>
      <c r="K50" s="125"/>
      <c r="L50" s="125"/>
      <c r="M50" s="144"/>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14.25" customHeight="1" x14ac:dyDescent="0.25">
      <c r="A51" s="152"/>
      <c r="B51" s="371"/>
      <c r="C51" s="129"/>
      <c r="D51" s="129"/>
      <c r="E51" s="129"/>
      <c r="F51" s="129"/>
      <c r="G51" s="125"/>
      <c r="H51" s="157"/>
      <c r="I51" s="125"/>
      <c r="J51" s="125"/>
      <c r="K51" s="125"/>
      <c r="L51" s="125"/>
      <c r="M51" s="144"/>
      <c r="N51" s="144"/>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ht="8.25" hidden="1" customHeight="1" x14ac:dyDescent="0.25">
      <c r="A52" s="129"/>
      <c r="B52" s="165"/>
      <c r="C52" s="129"/>
      <c r="D52" s="129"/>
      <c r="E52" s="129"/>
      <c r="F52" s="129"/>
      <c r="H52" s="125"/>
      <c r="I52" s="125"/>
      <c r="J52" s="125"/>
      <c r="K52" s="125"/>
      <c r="L52" s="125"/>
      <c r="M52" s="161"/>
      <c r="N52" s="144"/>
    </row>
    <row r="53" spans="1:256" ht="33" customHeight="1" x14ac:dyDescent="0.25">
      <c r="A53" s="528" t="s">
        <v>200</v>
      </c>
      <c r="B53" s="528"/>
      <c r="C53" s="528"/>
      <c r="D53" s="528"/>
      <c r="E53" s="528"/>
      <c r="F53" s="528"/>
      <c r="G53" s="125"/>
      <c r="H53" s="125"/>
      <c r="I53" s="125"/>
      <c r="J53" s="125"/>
      <c r="K53" s="125"/>
      <c r="L53" s="125"/>
      <c r="M53" s="144"/>
      <c r="N53" s="144"/>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6.75" customHeight="1" x14ac:dyDescent="0.25">
      <c r="A54" s="166"/>
      <c r="B54" s="166"/>
      <c r="C54" s="166"/>
      <c r="D54" s="166"/>
      <c r="E54" s="166"/>
      <c r="F54" s="166"/>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ht="29.25" x14ac:dyDescent="0.25">
      <c r="A55" s="167" t="s">
        <v>201</v>
      </c>
      <c r="B55" s="167" t="s">
        <v>202</v>
      </c>
      <c r="C55" s="167" t="s">
        <v>203</v>
      </c>
      <c r="D55" s="168"/>
      <c r="E55" s="166"/>
      <c r="F55" s="166"/>
      <c r="G55" s="125"/>
      <c r="H55" s="125"/>
      <c r="I55" s="125" t="e">
        <f>#REF!-#REF!</f>
        <v>#REF!</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204</v>
      </c>
      <c r="B56" s="267">
        <v>100.45</v>
      </c>
      <c r="C56" s="266">
        <v>1.0044999999999999</v>
      </c>
      <c r="D56" s="170"/>
      <c r="E56" s="170"/>
      <c r="F56" s="147"/>
      <c r="G56" s="171"/>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205</v>
      </c>
      <c r="B57" s="268">
        <v>100.32</v>
      </c>
      <c r="C57" s="266">
        <v>1.0032000000000001</v>
      </c>
      <c r="D57" s="170"/>
      <c r="E57" s="170"/>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206</v>
      </c>
      <c r="B58" s="268">
        <v>100.49</v>
      </c>
      <c r="C58" s="266">
        <v>1.0048999999999999</v>
      </c>
      <c r="D58" s="173"/>
      <c r="E58" s="173"/>
      <c r="F58" s="153"/>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207</v>
      </c>
      <c r="B59" s="268">
        <v>100.64</v>
      </c>
      <c r="C59" s="266">
        <v>1.0064</v>
      </c>
      <c r="D59" s="174"/>
      <c r="E59" s="147"/>
      <c r="F59" s="175"/>
      <c r="G59" s="172"/>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69" t="s">
        <v>208</v>
      </c>
      <c r="B60" s="268" t="s">
        <v>293</v>
      </c>
      <c r="C60" s="266">
        <v>1.0062</v>
      </c>
      <c r="D60" s="529"/>
      <c r="E60" s="530"/>
      <c r="F60" s="176"/>
      <c r="G60" s="172"/>
      <c r="H60" s="128"/>
      <c r="I60" s="128"/>
      <c r="J60" s="128"/>
      <c r="K60" s="128"/>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7" t="s">
        <v>209</v>
      </c>
      <c r="B61" s="268" t="s">
        <v>294</v>
      </c>
      <c r="C61" s="266">
        <v>1.0047999999999999</v>
      </c>
      <c r="D61" s="125"/>
      <c r="E61" s="125"/>
      <c r="F61" s="178"/>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79" t="s">
        <v>210</v>
      </c>
      <c r="B62" s="268" t="s">
        <v>295</v>
      </c>
      <c r="C62" s="266" t="s">
        <v>303</v>
      </c>
      <c r="D62" s="529"/>
      <c r="E62" s="530"/>
      <c r="F62" s="530"/>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212</v>
      </c>
      <c r="B63" s="268" t="s">
        <v>296</v>
      </c>
      <c r="C63" s="266">
        <v>0.99080000000000001</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286</v>
      </c>
      <c r="B64" s="268" t="s">
        <v>297</v>
      </c>
      <c r="C64" s="266">
        <v>0.99870000000000003</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287</v>
      </c>
      <c r="B65" s="268" t="s">
        <v>298</v>
      </c>
      <c r="C65" s="266">
        <v>0.98370000000000002</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288</v>
      </c>
      <c r="B66" s="268" t="s">
        <v>299</v>
      </c>
      <c r="C66" s="266" t="s">
        <v>301</v>
      </c>
      <c r="D66" s="174"/>
      <c r="E66" s="147"/>
      <c r="F66" s="147"/>
      <c r="G66" s="172"/>
      <c r="L66" s="122">
        <f>PRODUCT(C56:C70)</f>
        <v>1.0201967785683801</v>
      </c>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289</v>
      </c>
      <c r="B67" s="268" t="s">
        <v>300</v>
      </c>
      <c r="C67" s="266" t="s">
        <v>302</v>
      </c>
      <c r="D67" s="174"/>
      <c r="E67" s="147"/>
      <c r="F67" s="147"/>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290</v>
      </c>
      <c r="B68" s="268">
        <v>100.57</v>
      </c>
      <c r="C68" s="266">
        <v>1.0057</v>
      </c>
      <c r="D68" s="529"/>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264" t="s">
        <v>291</v>
      </c>
      <c r="B69" s="268">
        <v>100.57</v>
      </c>
      <c r="C69" s="266">
        <v>1.0057</v>
      </c>
      <c r="D69" s="529" t="s">
        <v>211</v>
      </c>
      <c r="E69" s="530"/>
      <c r="F69" s="530"/>
      <c r="G69" s="172"/>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79" t="s">
        <v>292</v>
      </c>
      <c r="B70" s="268">
        <v>100.57</v>
      </c>
      <c r="C70" s="266">
        <v>1.0057</v>
      </c>
      <c r="D70" s="529" t="s">
        <v>211</v>
      </c>
      <c r="E70" s="530"/>
      <c r="F70" s="530"/>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80"/>
      <c r="B71" s="173"/>
      <c r="C71" s="181"/>
      <c r="D71" s="147"/>
      <c r="E71" s="147"/>
      <c r="F71" s="178"/>
      <c r="G71" s="172"/>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176" t="s">
        <v>213</v>
      </c>
      <c r="B72" s="182"/>
      <c r="C72" s="153"/>
      <c r="D72" s="153"/>
      <c r="E72" s="153"/>
      <c r="F72" s="183"/>
      <c r="G72" s="172"/>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x14ac:dyDescent="0.25">
      <c r="A73" s="265" t="s">
        <v>304</v>
      </c>
      <c r="B73" s="182"/>
      <c r="C73" s="153"/>
      <c r="D73" s="153"/>
      <c r="E73" s="153"/>
      <c r="F73" s="183"/>
      <c r="G73" s="172"/>
      <c r="H73" s="125"/>
      <c r="I73" s="125"/>
      <c r="J73" s="125"/>
      <c r="K73" s="125"/>
      <c r="L73" s="125"/>
      <c r="M73" s="125">
        <f>PRODUCT(C56:C70)</f>
        <v>1.0201967785683801</v>
      </c>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ht="9.75" customHeight="1" x14ac:dyDescent="0.25">
      <c r="A74" s="184"/>
      <c r="B74" s="185"/>
      <c r="C74" s="129"/>
      <c r="D74" s="156"/>
      <c r="E74" s="129"/>
      <c r="F74" s="186"/>
      <c r="G74" s="172"/>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36" customHeight="1" x14ac:dyDescent="0.25">
      <c r="A75" s="531" t="s">
        <v>370</v>
      </c>
      <c r="B75" s="531"/>
      <c r="C75" s="531"/>
      <c r="D75" s="531"/>
      <c r="E75" s="531"/>
      <c r="F75" s="175">
        <f>C56*C57*C58*C59*C60*C61*C62*C63*C64*C65*C66*C67*C68*C69*C70</f>
        <v>1.0575000000000001</v>
      </c>
      <c r="H75" s="125"/>
      <c r="I75" s="125"/>
      <c r="J75" s="363"/>
      <c r="K75" s="125"/>
      <c r="L75" s="125"/>
      <c r="M75" s="269">
        <f>C56*C57*C58*C59*C60*C61*C62*C63*C64*C65*C66*C67*C68*C69*C70</f>
        <v>1.0575000000000001</v>
      </c>
      <c r="N75" s="125"/>
      <c r="O75" s="125">
        <f>PRODUCT(C56:C70)</f>
        <v>1.0201967785683801</v>
      </c>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8.25" customHeight="1" x14ac:dyDescent="0.25">
      <c r="A76" s="244"/>
      <c r="B76" s="244"/>
      <c r="C76" s="244"/>
      <c r="D76" s="244"/>
      <c r="E76" s="244"/>
      <c r="F76" s="17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18" customHeight="1" x14ac:dyDescent="0.25">
      <c r="A77" s="265" t="s">
        <v>305</v>
      </c>
      <c r="B77" s="244"/>
      <c r="C77" s="244"/>
      <c r="D77" s="244"/>
      <c r="E77" s="244"/>
      <c r="F77" s="17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ht="23.25" customHeight="1" x14ac:dyDescent="0.25">
      <c r="A78" s="531" t="s">
        <v>371</v>
      </c>
      <c r="B78" s="531"/>
      <c r="C78" s="531"/>
      <c r="D78" s="531"/>
      <c r="E78" s="531"/>
      <c r="F78" s="175">
        <f>C68*C69*C70</f>
        <v>1.0172000000000001</v>
      </c>
      <c r="H78" s="125"/>
      <c r="I78" s="125"/>
      <c r="J78" s="125"/>
      <c r="K78" s="125"/>
      <c r="L78" s="125"/>
      <c r="M78" s="125">
        <f>C68*C69*C70</f>
        <v>1.017197655193</v>
      </c>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76" t="s">
        <v>197</v>
      </c>
      <c r="B79" s="176"/>
      <c r="C79" s="176"/>
      <c r="D79" s="125"/>
      <c r="E79" s="176"/>
      <c r="F79" s="187"/>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78" t="s">
        <v>214</v>
      </c>
      <c r="B80" s="178"/>
      <c r="C80" s="178"/>
      <c r="D80" s="178"/>
      <c r="E80" s="178"/>
      <c r="F80" s="187"/>
      <c r="G80" s="188"/>
      <c r="H80" s="189"/>
      <c r="I80" s="188"/>
      <c r="J80" s="188"/>
      <c r="K80" s="188"/>
      <c r="L80" s="188"/>
      <c r="M80" s="188"/>
    </row>
    <row r="81" spans="1:256" x14ac:dyDescent="0.25">
      <c r="A81" s="191"/>
      <c r="B81" s="191"/>
      <c r="C81" s="191"/>
      <c r="D81" s="191"/>
      <c r="E81" s="191"/>
      <c r="F81" s="192"/>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pans="1:256" x14ac:dyDescent="0.25">
      <c r="A82" s="153" t="s">
        <v>315</v>
      </c>
      <c r="B82" s="153"/>
      <c r="C82" s="153"/>
      <c r="D82" s="125"/>
      <c r="E82" s="366">
        <v>6.0000000000000001E-3</v>
      </c>
      <c r="F82" s="190"/>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pans="1:256" x14ac:dyDescent="0.25">
      <c r="A83" s="153" t="s">
        <v>316</v>
      </c>
      <c r="B83" s="153"/>
      <c r="C83" s="153"/>
      <c r="D83" s="125"/>
      <c r="E83" s="366">
        <v>0.99399999999999999</v>
      </c>
      <c r="F83" s="190"/>
      <c r="G83" s="125"/>
      <c r="H83" s="125"/>
      <c r="I83" s="125"/>
      <c r="J83" s="125"/>
      <c r="K83" s="125"/>
      <c r="L83" s="125"/>
      <c r="M83" s="125"/>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row>
    <row r="84" spans="1:256" ht="18.75" customHeight="1" x14ac:dyDescent="0.25">
      <c r="A84" s="153"/>
      <c r="B84" s="178"/>
      <c r="C84" s="178"/>
      <c r="D84" s="178"/>
      <c r="E84" s="366"/>
      <c r="F84" s="190"/>
      <c r="G84" s="125"/>
      <c r="H84" s="125"/>
      <c r="I84" s="125"/>
      <c r="J84" s="125"/>
      <c r="K84" s="125"/>
      <c r="L84" s="125"/>
      <c r="M84" s="125"/>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c r="CH84" s="188"/>
      <c r="CI84" s="188"/>
      <c r="CJ84" s="188"/>
      <c r="CK84" s="188"/>
      <c r="CL84" s="188"/>
      <c r="CM84" s="188"/>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188"/>
      <c r="DM84" s="188"/>
      <c r="DN84" s="188"/>
      <c r="DO84" s="188"/>
      <c r="DP84" s="188"/>
      <c r="DQ84" s="188"/>
      <c r="DR84" s="188"/>
      <c r="DS84" s="188"/>
      <c r="DT84" s="188"/>
      <c r="DU84" s="188"/>
      <c r="DV84" s="188"/>
      <c r="DW84" s="188"/>
      <c r="DX84" s="188"/>
      <c r="DY84" s="188"/>
      <c r="DZ84" s="188"/>
      <c r="EA84" s="188"/>
      <c r="EB84" s="188"/>
      <c r="EC84" s="188"/>
      <c r="ED84" s="188"/>
      <c r="EE84" s="188"/>
      <c r="EF84" s="188"/>
      <c r="EG84" s="188"/>
      <c r="EH84" s="188"/>
      <c r="EI84" s="188"/>
      <c r="EJ84" s="188"/>
      <c r="EK84" s="188"/>
      <c r="EL84" s="188"/>
      <c r="EM84" s="188"/>
      <c r="EN84" s="188"/>
      <c r="EO84" s="188"/>
      <c r="EP84" s="188"/>
      <c r="EQ84" s="188"/>
      <c r="ER84" s="188"/>
      <c r="ES84" s="188"/>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188"/>
      <c r="FS84" s="188"/>
      <c r="FT84" s="188"/>
      <c r="FU84" s="188"/>
      <c r="FV84" s="188"/>
      <c r="FW84" s="188"/>
      <c r="FX84" s="188"/>
      <c r="FY84" s="188"/>
      <c r="FZ84" s="188"/>
      <c r="GA84" s="188"/>
      <c r="GB84" s="188"/>
      <c r="GC84" s="188"/>
      <c r="GD84" s="188"/>
      <c r="GE84" s="188"/>
      <c r="GF84" s="188"/>
      <c r="GG84" s="188"/>
      <c r="GH84" s="188"/>
      <c r="GI84" s="188"/>
      <c r="GJ84" s="188"/>
      <c r="GK84" s="188"/>
      <c r="GL84" s="188"/>
      <c r="GM84" s="188"/>
      <c r="GN84" s="188"/>
      <c r="GO84" s="188"/>
      <c r="GP84" s="188"/>
      <c r="GQ84" s="188"/>
      <c r="GR84" s="188"/>
      <c r="GS84" s="188"/>
      <c r="GT84" s="188"/>
      <c r="GU84" s="188"/>
      <c r="GV84" s="188"/>
      <c r="GW84" s="188"/>
      <c r="GX84" s="188"/>
      <c r="GY84" s="188"/>
      <c r="GZ84" s="188"/>
      <c r="HA84" s="188"/>
      <c r="HB84" s="188"/>
      <c r="HC84" s="188"/>
      <c r="HD84" s="188"/>
      <c r="HE84" s="188"/>
      <c r="HF84" s="188"/>
      <c r="HG84" s="188"/>
      <c r="HH84" s="188"/>
      <c r="HI84" s="188"/>
      <c r="HJ84" s="188"/>
      <c r="HK84" s="188"/>
      <c r="HL84" s="188"/>
      <c r="HM84" s="188"/>
      <c r="HN84" s="188"/>
      <c r="HO84" s="188"/>
      <c r="HP84" s="188"/>
      <c r="HQ84" s="188"/>
      <c r="HR84" s="188"/>
      <c r="HS84" s="188"/>
      <c r="HT84" s="188"/>
      <c r="HU84" s="188"/>
      <c r="HV84" s="188"/>
      <c r="HW84" s="188"/>
      <c r="HX84" s="188"/>
      <c r="HY84" s="188"/>
      <c r="HZ84" s="188"/>
      <c r="IA84" s="188"/>
      <c r="IB84" s="188"/>
      <c r="IC84" s="188"/>
      <c r="ID84" s="188"/>
      <c r="IE84" s="188"/>
      <c r="IF84" s="188"/>
      <c r="IG84" s="188"/>
      <c r="IH84" s="188"/>
      <c r="II84" s="188"/>
      <c r="IJ84" s="188"/>
      <c r="IK84" s="188"/>
      <c r="IL84" s="188"/>
      <c r="IM84" s="188"/>
      <c r="IN84" s="188"/>
      <c r="IO84" s="188"/>
      <c r="IP84" s="188"/>
      <c r="IQ84" s="188"/>
      <c r="IR84" s="188"/>
      <c r="IS84" s="188"/>
      <c r="IT84" s="188"/>
      <c r="IU84" s="188"/>
      <c r="IV84" s="188"/>
    </row>
    <row r="85" spans="1:256" ht="42" customHeight="1" x14ac:dyDescent="0.25">
      <c r="A85" s="522" t="s">
        <v>215</v>
      </c>
      <c r="B85" s="522"/>
      <c r="C85" s="522"/>
      <c r="D85" s="522"/>
      <c r="E85" s="522"/>
      <c r="F85" s="153"/>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7"/>
      <c r="B86" s="187" t="s">
        <v>202</v>
      </c>
      <c r="C86" s="284" t="s">
        <v>216</v>
      </c>
      <c r="D86" s="187"/>
      <c r="E86" s="187"/>
      <c r="F86" s="190"/>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217</v>
      </c>
      <c r="B87" s="183">
        <v>107.8</v>
      </c>
      <c r="C87" s="190">
        <f>B87/100</f>
        <v>1.0780000000000001</v>
      </c>
      <c r="D87" s="190"/>
      <c r="E87" s="190"/>
      <c r="F87" s="19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t="s">
        <v>317</v>
      </c>
      <c r="B88" s="183">
        <v>105.3</v>
      </c>
      <c r="C88" s="190">
        <f>B88/100</f>
        <v>1.0529999999999999</v>
      </c>
      <c r="D88" s="190"/>
      <c r="E88" s="190"/>
      <c r="F88" s="183"/>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x14ac:dyDescent="0.25">
      <c r="A89" s="183"/>
      <c r="B89" s="183"/>
      <c r="C89" s="190"/>
      <c r="D89" s="190"/>
      <c r="E89" s="190"/>
      <c r="F89" s="183"/>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ht="30.75" customHeight="1" x14ac:dyDescent="0.25">
      <c r="A90" s="153" t="s">
        <v>318</v>
      </c>
      <c r="B90" s="153"/>
      <c r="C90" s="153"/>
      <c r="D90" s="190"/>
      <c r="E90" s="190"/>
      <c r="F90" s="183"/>
      <c r="G90" s="522"/>
      <c r="H90" s="522"/>
      <c r="I90" s="522"/>
      <c r="J90" s="522"/>
      <c r="K90" s="522"/>
      <c r="L90" s="522"/>
      <c r="M90" s="125"/>
    </row>
    <row r="91" spans="1:256" x14ac:dyDescent="0.25">
      <c r="A91" s="180"/>
      <c r="B91" s="180"/>
      <c r="C91" s="193"/>
      <c r="D91" s="180"/>
      <c r="E91" s="190"/>
      <c r="F91" s="285"/>
      <c r="G91" s="522"/>
      <c r="H91" s="522"/>
      <c r="I91" s="522"/>
      <c r="J91" s="522"/>
      <c r="K91" s="522"/>
      <c r="L91" s="522"/>
      <c r="M91" s="125"/>
    </row>
    <row r="92" spans="1:256" ht="15" customHeight="1" x14ac:dyDescent="0.25">
      <c r="A92" s="180" t="s">
        <v>319</v>
      </c>
      <c r="B92" s="286" t="s">
        <v>320</v>
      </c>
      <c r="C92" s="193" t="s">
        <v>218</v>
      </c>
      <c r="D92" s="180">
        <f>ROUND(POWER(C87,1/12),4)</f>
        <v>1.0063</v>
      </c>
      <c r="E92" s="153"/>
      <c r="F92" s="285"/>
      <c r="G92" s="522"/>
      <c r="H92" s="522"/>
      <c r="I92" s="522"/>
      <c r="J92" s="522"/>
      <c r="K92" s="522"/>
      <c r="L92" s="522"/>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8" x14ac:dyDescent="0.25">
      <c r="A93" s="180" t="s">
        <v>321</v>
      </c>
      <c r="B93" s="286" t="s">
        <v>322</v>
      </c>
      <c r="C93" s="193" t="s">
        <v>218</v>
      </c>
      <c r="D93" s="180">
        <f>ROUND(POWER(C88,1/12),4)</f>
        <v>1.0043</v>
      </c>
      <c r="E93" s="153"/>
      <c r="F93" s="64"/>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18.75" customHeight="1" x14ac:dyDescent="0.25">
      <c r="A94" s="180"/>
      <c r="B94" s="286"/>
      <c r="C94" s="193"/>
      <c r="D94" s="180"/>
      <c r="E94" s="190"/>
      <c r="F94" s="183"/>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183" t="s">
        <v>323</v>
      </c>
      <c r="B95" s="183"/>
      <c r="C95" s="183"/>
      <c r="D95" s="183"/>
      <c r="E95" s="183"/>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x14ac:dyDescent="0.25">
      <c r="A96" s="183" t="s">
        <v>324</v>
      </c>
      <c r="B96" s="183"/>
      <c r="C96" s="183"/>
      <c r="D96" s="183"/>
      <c r="E96" s="183"/>
      <c r="F96" s="183"/>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ht="20.25" customHeight="1" x14ac:dyDescent="0.25">
      <c r="A97" s="194" t="s">
        <v>325</v>
      </c>
      <c r="B97" s="195"/>
      <c r="C97" s="195"/>
      <c r="D97" s="195"/>
      <c r="E97" s="183"/>
      <c r="F97" s="6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31.5" customHeight="1" x14ac:dyDescent="0.25">
      <c r="A98" s="524" t="s">
        <v>335</v>
      </c>
      <c r="B98" s="524"/>
      <c r="C98" s="524"/>
      <c r="D98" s="524"/>
      <c r="E98" s="304">
        <f>ROUND(POWER(D92,3),4)</f>
        <v>1.0189999999999999</v>
      </c>
      <c r="F98" s="6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36" customHeight="1" x14ac:dyDescent="0.25">
      <c r="A99" s="524" t="s">
        <v>326</v>
      </c>
      <c r="B99" s="524"/>
      <c r="C99" s="524"/>
      <c r="D99" s="524"/>
      <c r="E99" s="288"/>
      <c r="F99" s="64"/>
      <c r="H99" s="196"/>
      <c r="I99" s="196"/>
      <c r="J99" s="196"/>
      <c r="K99" s="196"/>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ht="15" customHeight="1" x14ac:dyDescent="0.25">
      <c r="A100" s="525" t="s">
        <v>336</v>
      </c>
      <c r="B100" s="525"/>
      <c r="C100" s="525"/>
      <c r="D100" s="525"/>
      <c r="E100" s="289">
        <f>(E98-1)/2+1</f>
        <v>1.0095000000000001</v>
      </c>
      <c r="F100" s="290"/>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x14ac:dyDescent="0.25">
      <c r="A101" s="287"/>
      <c r="B101" s="287"/>
      <c r="C101" s="287"/>
      <c r="D101" s="287"/>
      <c r="E101" s="291"/>
      <c r="F101" s="290"/>
      <c r="G101" s="20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ht="15.75" customHeight="1" x14ac:dyDescent="0.25">
      <c r="A102" s="178" t="s">
        <v>327</v>
      </c>
      <c r="B102" s="183"/>
      <c r="C102" s="292"/>
      <c r="D102" s="293"/>
      <c r="E102" s="183"/>
      <c r="F102" s="153"/>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ht="55.5" customHeight="1" x14ac:dyDescent="0.25">
      <c r="A103" s="526" t="s">
        <v>337</v>
      </c>
      <c r="B103" s="526"/>
      <c r="C103" s="526"/>
      <c r="D103" s="526"/>
      <c r="E103" s="526"/>
      <c r="F103" s="526"/>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x14ac:dyDescent="0.25">
      <c r="A104" s="64"/>
      <c r="B104" s="125"/>
      <c r="C104" s="64"/>
      <c r="D104" s="64"/>
      <c r="E104" s="64"/>
      <c r="F104" s="125"/>
      <c r="G104" s="200"/>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ht="15.75" customHeight="1" x14ac:dyDescent="0.25">
      <c r="A105" s="178" t="s">
        <v>328</v>
      </c>
      <c r="B105" s="294" t="s">
        <v>338</v>
      </c>
      <c r="C105" s="125"/>
      <c r="D105" s="292" t="s">
        <v>218</v>
      </c>
      <c r="E105" s="295">
        <f>ROUND(E98*(POWER(D93,1)+POWER(D93,1))/2,4)</f>
        <v>1.0234000000000001</v>
      </c>
      <c r="F105" s="296"/>
      <c r="G105" s="200"/>
      <c r="L105" s="131"/>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x14ac:dyDescent="0.25">
      <c r="A106" s="178"/>
      <c r="B106" s="294"/>
      <c r="C106" s="125"/>
      <c r="D106" s="292"/>
      <c r="E106" s="295"/>
      <c r="F106" s="296"/>
      <c r="G106" s="200"/>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ht="9.75" customHeight="1" x14ac:dyDescent="0.25">
      <c r="A107" s="178"/>
      <c r="B107" s="183"/>
      <c r="C107" s="292"/>
      <c r="D107" s="183"/>
      <c r="E107" s="183"/>
      <c r="F107" s="297"/>
    </row>
    <row r="108" spans="1:256" ht="36" customHeight="1" x14ac:dyDescent="0.25">
      <c r="A108" s="524" t="s">
        <v>329</v>
      </c>
      <c r="B108" s="524"/>
      <c r="C108" s="524"/>
      <c r="D108" s="524"/>
      <c r="E108" s="524"/>
      <c r="F108" s="524"/>
    </row>
    <row r="109" spans="1:256" x14ac:dyDescent="0.25">
      <c r="A109" s="183"/>
      <c r="B109" s="125"/>
      <c r="C109" s="125"/>
      <c r="D109" s="125"/>
      <c r="E109" s="125"/>
      <c r="F109" s="297"/>
      <c r="G109" s="125"/>
      <c r="H109" s="125"/>
      <c r="I109" s="125"/>
      <c r="J109" s="125"/>
      <c r="K109" s="125"/>
      <c r="L109" s="125"/>
      <c r="M109" s="125"/>
    </row>
    <row r="110" spans="1:256" x14ac:dyDescent="0.25">
      <c r="A110" s="554" t="s">
        <v>355</v>
      </c>
      <c r="B110" s="554"/>
      <c r="C110" s="554"/>
      <c r="D110" s="295">
        <f>ROUND((E82*E100+E83*E105),4)</f>
        <v>1.0233000000000001</v>
      </c>
      <c r="E110" s="183"/>
      <c r="F110" s="297"/>
    </row>
    <row r="111" spans="1:256" x14ac:dyDescent="0.25">
      <c r="A111" s="364"/>
      <c r="B111" s="365"/>
      <c r="C111" s="365"/>
      <c r="D111" s="295"/>
      <c r="E111" s="183"/>
      <c r="F111" s="297"/>
    </row>
    <row r="112" spans="1:256" x14ac:dyDescent="0.25">
      <c r="A112" s="364" t="s">
        <v>311</v>
      </c>
      <c r="B112" s="365"/>
      <c r="C112" s="365"/>
      <c r="D112" s="295"/>
      <c r="E112" s="183"/>
      <c r="F112" s="297"/>
    </row>
    <row r="113" spans="1:256" x14ac:dyDescent="0.25">
      <c r="A113" s="366" t="s">
        <v>330</v>
      </c>
      <c r="B113" s="367" t="s">
        <v>283</v>
      </c>
      <c r="C113" s="365"/>
      <c r="D113" s="295"/>
      <c r="E113" s="183"/>
      <c r="F113" s="297"/>
    </row>
    <row r="114" spans="1:256" x14ac:dyDescent="0.25">
      <c r="A114" s="366" t="s">
        <v>331</v>
      </c>
      <c r="B114" s="367" t="s">
        <v>341</v>
      </c>
      <c r="C114" s="365"/>
      <c r="D114" s="295"/>
      <c r="E114" s="183"/>
      <c r="F114" s="297"/>
    </row>
    <row r="115" spans="1:256" x14ac:dyDescent="0.25">
      <c r="A115" s="366" t="s">
        <v>198</v>
      </c>
      <c r="B115" s="368" t="s">
        <v>379</v>
      </c>
      <c r="C115" s="365"/>
      <c r="D115" s="295"/>
      <c r="E115" s="183"/>
      <c r="F115" s="297"/>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25"/>
      <c r="FL115" s="125"/>
      <c r="FM115" s="125"/>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25"/>
      <c r="GQ115" s="125"/>
      <c r="GR115" s="125"/>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25"/>
      <c r="HW115" s="125"/>
      <c r="HX115" s="125"/>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row>
    <row r="116" spans="1:256" x14ac:dyDescent="0.25">
      <c r="A116" s="183" t="s">
        <v>199</v>
      </c>
      <c r="B116" s="181" t="s">
        <v>282</v>
      </c>
      <c r="C116" s="299"/>
      <c r="D116" s="295"/>
      <c r="E116" s="183"/>
      <c r="F116" s="297"/>
    </row>
    <row r="117" spans="1:256" x14ac:dyDescent="0.25">
      <c r="A117" s="183"/>
      <c r="B117" s="181"/>
      <c r="C117" s="299"/>
      <c r="D117" s="295"/>
      <c r="E117" s="183"/>
      <c r="F117" s="297"/>
    </row>
    <row r="118" spans="1:256" x14ac:dyDescent="0.25">
      <c r="A118" s="178" t="s">
        <v>332</v>
      </c>
      <c r="B118" s="181"/>
      <c r="C118" s="299"/>
      <c r="D118" s="295"/>
      <c r="E118" s="183"/>
      <c r="F118" s="297"/>
    </row>
    <row r="119" spans="1:256" x14ac:dyDescent="0.25">
      <c r="A119" s="178"/>
      <c r="B119" s="181"/>
      <c r="C119" s="299"/>
      <c r="D119" s="295"/>
      <c r="E119" s="183"/>
      <c r="F119" s="297"/>
    </row>
    <row r="120" spans="1:256" ht="53.25" customHeight="1" x14ac:dyDescent="0.25">
      <c r="A120" s="522" t="s">
        <v>343</v>
      </c>
      <c r="B120" s="522"/>
      <c r="C120" s="522"/>
      <c r="D120" s="522"/>
      <c r="E120" s="522"/>
      <c r="F120" s="522"/>
    </row>
    <row r="121" spans="1:256" x14ac:dyDescent="0.25">
      <c r="A121" s="301" t="s">
        <v>333</v>
      </c>
      <c r="B121" s="301" t="s">
        <v>342</v>
      </c>
      <c r="C121" s="302">
        <f>ROUND((D92*D92+POWER(D92,3))/2,4)</f>
        <v>1.0158</v>
      </c>
      <c r="D121" s="287"/>
      <c r="E121" s="287"/>
      <c r="F121" s="287"/>
    </row>
    <row r="122" spans="1:256" x14ac:dyDescent="0.25">
      <c r="A122" s="178"/>
      <c r="B122" s="293"/>
      <c r="C122" s="293"/>
      <c r="D122" s="295"/>
      <c r="E122" s="183"/>
      <c r="F122" s="297"/>
    </row>
    <row r="123" spans="1:256" ht="72" customHeight="1" x14ac:dyDescent="0.25">
      <c r="A123" s="522" t="s">
        <v>380</v>
      </c>
      <c r="B123" s="522"/>
      <c r="C123" s="522"/>
      <c r="D123" s="522"/>
      <c r="E123" s="522"/>
      <c r="F123" s="522"/>
    </row>
    <row r="125" spans="1:256" x14ac:dyDescent="0.25">
      <c r="A125" s="183" t="s">
        <v>227</v>
      </c>
      <c r="B125" s="296"/>
      <c r="C125" s="296"/>
      <c r="D125" s="296"/>
    </row>
    <row r="126" spans="1:256" x14ac:dyDescent="0.25">
      <c r="A126" s="296" t="s">
        <v>349</v>
      </c>
      <c r="B126" s="296" t="s">
        <v>350</v>
      </c>
      <c r="C126" s="296"/>
      <c r="D126" s="296" t="s">
        <v>397</v>
      </c>
    </row>
    <row r="127" spans="1:256" x14ac:dyDescent="0.25">
      <c r="A127" s="125"/>
      <c r="B127" s="296"/>
      <c r="C127" s="296"/>
      <c r="D127" s="296"/>
    </row>
    <row r="128" spans="1:256" x14ac:dyDescent="0.25">
      <c r="A128" s="296"/>
      <c r="B128" s="296"/>
      <c r="C128" s="296"/>
      <c r="D128" s="296"/>
    </row>
    <row r="129" spans="1:4" x14ac:dyDescent="0.25">
      <c r="A129" s="296"/>
      <c r="B129" s="296"/>
      <c r="C129" s="296"/>
      <c r="D129" s="296"/>
    </row>
    <row r="130" spans="1:4" ht="15.75" x14ac:dyDescent="0.25">
      <c r="A130" s="523"/>
      <c r="B130" s="523"/>
      <c r="C130" s="315"/>
      <c r="D130" s="316"/>
    </row>
  </sheetData>
  <mergeCells count="44">
    <mergeCell ref="A120:F120"/>
    <mergeCell ref="A123:F123"/>
    <mergeCell ref="A130:B130"/>
    <mergeCell ref="G92:L92"/>
    <mergeCell ref="A98:D98"/>
    <mergeCell ref="A99:D99"/>
    <mergeCell ref="A100:D100"/>
    <mergeCell ref="A103:F103"/>
    <mergeCell ref="A108:F108"/>
    <mergeCell ref="A78:E78"/>
    <mergeCell ref="A85:E85"/>
    <mergeCell ref="G90:L90"/>
    <mergeCell ref="G91:L91"/>
    <mergeCell ref="A110:C110"/>
    <mergeCell ref="D62:F62"/>
    <mergeCell ref="D68:F68"/>
    <mergeCell ref="D69:F69"/>
    <mergeCell ref="D70:F70"/>
    <mergeCell ref="A75:E75"/>
    <mergeCell ref="A42:F42"/>
    <mergeCell ref="A43:C43"/>
    <mergeCell ref="B49:C49"/>
    <mergeCell ref="A53:F53"/>
    <mergeCell ref="D60:E60"/>
    <mergeCell ref="F15:F16"/>
    <mergeCell ref="G15:H15"/>
    <mergeCell ref="I15:I16"/>
    <mergeCell ref="J15:K15"/>
    <mergeCell ref="A41:F41"/>
    <mergeCell ref="A15:A16"/>
    <mergeCell ref="B15:B16"/>
    <mergeCell ref="C15:C16"/>
    <mergeCell ref="D15:D16"/>
    <mergeCell ref="E15:E16"/>
    <mergeCell ref="A9:F9"/>
    <mergeCell ref="A10:F10"/>
    <mergeCell ref="A11:F11"/>
    <mergeCell ref="A12:F12"/>
    <mergeCell ref="A13:F13"/>
    <mergeCell ref="D1:F1"/>
    <mergeCell ref="A3:F3"/>
    <mergeCell ref="A4:F4"/>
    <mergeCell ref="A6:F6"/>
    <mergeCell ref="A7:F7"/>
  </mergeCells>
  <pageMargins left="0.7" right="0.7" top="0.75" bottom="0.75" header="0.3" footer="0.3"/>
  <pageSetup paperSize="9" scale="71" fitToHeight="0" orientation="landscape" r:id="rId1"/>
  <rowBreaks count="1" manualBreakCount="1">
    <brk id="63" max="10" man="1"/>
  </rowBreaks>
  <colBreaks count="1" manualBreakCount="1">
    <brk id="11" max="8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131"/>
  <sheetViews>
    <sheetView view="pageBreakPreview" topLeftCell="A20" zoomScaleNormal="100" zoomScaleSheetLayoutView="100" workbookViewId="0">
      <selection activeCell="J19" sqref="J19"/>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15.75" x14ac:dyDescent="0.25">
      <c r="B1" s="123"/>
      <c r="C1" s="123"/>
      <c r="D1" s="545"/>
      <c r="E1" s="545"/>
      <c r="F1" s="545"/>
      <c r="G1" s="124"/>
      <c r="J1" s="562" t="s">
        <v>403</v>
      </c>
      <c r="K1" s="562"/>
    </row>
    <row r="2" spans="1:256" ht="9" customHeight="1" x14ac:dyDescent="0.25">
      <c r="A2" s="124"/>
      <c r="B2" s="124"/>
      <c r="C2" s="124"/>
      <c r="D2" s="124"/>
      <c r="E2" s="124"/>
      <c r="F2" s="124"/>
    </row>
    <row r="3" spans="1:256" ht="15.75" x14ac:dyDescent="0.25">
      <c r="A3" s="546" t="s">
        <v>177</v>
      </c>
      <c r="B3" s="546"/>
      <c r="C3" s="546"/>
      <c r="D3" s="546"/>
      <c r="E3" s="546"/>
      <c r="F3" s="546"/>
      <c r="G3" s="546"/>
      <c r="H3" s="546"/>
      <c r="I3" s="546"/>
      <c r="J3" s="546"/>
      <c r="K3" s="546"/>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547"/>
      <c r="H4" s="547"/>
      <c r="I4" s="547"/>
      <c r="J4" s="547"/>
      <c r="K4" s="547"/>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60" t="s">
        <v>401</v>
      </c>
      <c r="B10" s="561"/>
      <c r="C10" s="561"/>
      <c r="D10" s="561"/>
      <c r="E10" s="561"/>
      <c r="F10" s="561"/>
    </row>
    <row r="11" spans="1:256" ht="15.75" x14ac:dyDescent="0.25">
      <c r="A11" s="558" t="s">
        <v>400</v>
      </c>
      <c r="B11" s="558"/>
      <c r="C11" s="558"/>
      <c r="D11" s="558"/>
      <c r="E11" s="558"/>
      <c r="F11" s="558"/>
    </row>
    <row r="12" spans="1:256" ht="15.75" x14ac:dyDescent="0.25">
      <c r="A12" s="559" t="s">
        <v>399</v>
      </c>
      <c r="B12" s="559"/>
      <c r="C12" s="559"/>
      <c r="D12" s="559"/>
      <c r="E12" s="559"/>
      <c r="F12" s="559"/>
      <c r="G12" s="559"/>
      <c r="H12" s="559"/>
      <c r="I12" s="559"/>
      <c r="J12" s="559"/>
      <c r="K12" s="559"/>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3.5" customHeight="1" x14ac:dyDescent="0.25">
      <c r="A13" s="540" t="s">
        <v>404</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412</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79"/>
      <c r="J17" s="133">
        <v>7</v>
      </c>
      <c r="K17" s="133">
        <v>8</v>
      </c>
      <c r="L17" s="372">
        <f>349572.86/1.012/1.2/1.02</f>
        <v>282212.2</v>
      </c>
      <c r="M17" s="125">
        <v>277530.37</v>
      </c>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2" t="s">
        <v>377</v>
      </c>
      <c r="B18" s="133"/>
      <c r="C18" s="133"/>
      <c r="D18" s="133"/>
      <c r="E18" s="133"/>
      <c r="F18" s="133"/>
      <c r="G18" s="133"/>
      <c r="H18" s="133"/>
      <c r="I18" s="359"/>
      <c r="J18" s="133"/>
      <c r="K18" s="133"/>
      <c r="L18" s="125"/>
      <c r="M18" s="125">
        <v>183.6</v>
      </c>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ht="15.75" x14ac:dyDescent="0.25">
      <c r="A19" s="308" t="s">
        <v>190</v>
      </c>
      <c r="B19" s="135">
        <f>(28516.77*1000-B29)</f>
        <v>12856660</v>
      </c>
      <c r="C19" s="134">
        <f>F76</f>
        <v>1.0470999999999999</v>
      </c>
      <c r="D19" s="135">
        <f>B19*C19</f>
        <v>13462208.689999999</v>
      </c>
      <c r="E19" s="134">
        <f>E106</f>
        <v>1.0235000000000001</v>
      </c>
      <c r="F19" s="135">
        <f>D19*E19</f>
        <v>13778570.59</v>
      </c>
      <c r="G19" s="136"/>
      <c r="H19" s="136"/>
      <c r="I19" s="283"/>
      <c r="J19" s="135">
        <v>277530</v>
      </c>
      <c r="K19" s="135">
        <f>F19-J19</f>
        <v>13501040.59</v>
      </c>
      <c r="L19" s="137"/>
      <c r="M19" s="137"/>
      <c r="N19" s="137"/>
      <c r="O19" s="137"/>
      <c r="P19" s="138"/>
    </row>
    <row r="20" spans="1:256" ht="15.75" x14ac:dyDescent="0.25">
      <c r="A20" s="308" t="s">
        <v>308</v>
      </c>
      <c r="B20" s="135">
        <f>258.26*1000</f>
        <v>258260</v>
      </c>
      <c r="C20" s="134">
        <f>F76</f>
        <v>1.0470999999999999</v>
      </c>
      <c r="D20" s="135">
        <f>B20*C20</f>
        <v>270424.05</v>
      </c>
      <c r="E20" s="134">
        <f>E19</f>
        <v>1.0235000000000001</v>
      </c>
      <c r="F20" s="135">
        <f>D20*E20</f>
        <v>276779.02</v>
      </c>
      <c r="G20" s="136"/>
      <c r="H20" s="136"/>
      <c r="I20" s="283"/>
      <c r="J20" s="135">
        <v>0</v>
      </c>
      <c r="K20" s="135">
        <f>F20</f>
        <v>276779.02</v>
      </c>
      <c r="L20" s="137">
        <v>277.52999999999997</v>
      </c>
      <c r="M20" s="137"/>
      <c r="N20" s="137"/>
      <c r="O20" s="137"/>
      <c r="P20" s="138"/>
    </row>
    <row r="21" spans="1:256" ht="31.5" x14ac:dyDescent="0.25">
      <c r="A21" s="309" t="s">
        <v>312</v>
      </c>
      <c r="B21" s="135">
        <v>154260</v>
      </c>
      <c r="C21" s="134">
        <f>F76</f>
        <v>1.0470999999999999</v>
      </c>
      <c r="D21" s="135">
        <f>B21*C21</f>
        <v>161525.65</v>
      </c>
      <c r="E21" s="134">
        <f>E20</f>
        <v>1.0235000000000001</v>
      </c>
      <c r="F21" s="135">
        <f>D21*E21</f>
        <v>165321.5</v>
      </c>
      <c r="G21" s="136"/>
      <c r="H21" s="136"/>
      <c r="I21" s="283"/>
      <c r="J21" s="135">
        <f>ROUND(160285*0.012,2)</f>
        <v>1923.42</v>
      </c>
      <c r="K21" s="135">
        <f>F21-J21</f>
        <v>163398.07999999999</v>
      </c>
      <c r="L21" s="140"/>
      <c r="M21" s="137"/>
      <c r="N21" s="137"/>
      <c r="O21" s="137"/>
      <c r="P21" s="138"/>
    </row>
    <row r="22" spans="1:256" ht="15.75" x14ac:dyDescent="0.25">
      <c r="A22" s="308" t="s">
        <v>309</v>
      </c>
      <c r="B22" s="135">
        <f>109.08*1000</f>
        <v>109080</v>
      </c>
      <c r="C22" s="134">
        <f>F76</f>
        <v>1.0470999999999999</v>
      </c>
      <c r="D22" s="135">
        <f>B22*C22</f>
        <v>114217.67</v>
      </c>
      <c r="E22" s="134">
        <f>E21</f>
        <v>1.0235000000000001</v>
      </c>
      <c r="F22" s="135">
        <f>D22*E22</f>
        <v>116901.79</v>
      </c>
      <c r="G22" s="136"/>
      <c r="H22" s="136"/>
      <c r="I22" s="283"/>
      <c r="J22" s="135">
        <v>0</v>
      </c>
      <c r="K22" s="135">
        <f>F22</f>
        <v>116901.79</v>
      </c>
      <c r="L22" s="140"/>
      <c r="M22" s="140"/>
      <c r="N22" s="140"/>
      <c r="O22" s="140" t="e">
        <f>F19+#REF!+F20+F21+F22</f>
        <v>#REF!</v>
      </c>
      <c r="P22" s="138"/>
    </row>
    <row r="23" spans="1:256" ht="31.5" x14ac:dyDescent="0.25">
      <c r="A23" s="310" t="s">
        <v>191</v>
      </c>
      <c r="B23" s="135">
        <f>ROUND((B19+B20+B21+B22)*0.02,2)</f>
        <v>267565.2</v>
      </c>
      <c r="C23" s="134">
        <f>F76</f>
        <v>1.0470999999999999</v>
      </c>
      <c r="D23" s="135">
        <f>B23*C23</f>
        <v>280167.52</v>
      </c>
      <c r="E23" s="134">
        <f>E20</f>
        <v>1.0235000000000001</v>
      </c>
      <c r="F23" s="135">
        <f>D23*E23</f>
        <v>286751.46000000002</v>
      </c>
      <c r="G23" s="136"/>
      <c r="H23" s="136"/>
      <c r="I23" s="283"/>
      <c r="J23" s="135">
        <f>(J19+J21)*0.02</f>
        <v>5589.07</v>
      </c>
      <c r="K23" s="135">
        <f>F23-J23</f>
        <v>281162.39</v>
      </c>
      <c r="L23" s="140"/>
      <c r="M23" s="140"/>
      <c r="N23" s="140"/>
      <c r="O23" s="137">
        <f>D23*E22</f>
        <v>286751.45672000002</v>
      </c>
      <c r="P23" s="138"/>
    </row>
    <row r="24" spans="1:256" ht="15.75" x14ac:dyDescent="0.25">
      <c r="A24" s="308" t="s">
        <v>192</v>
      </c>
      <c r="B24" s="135">
        <f>SUM(B19:B23)</f>
        <v>13645825.199999999</v>
      </c>
      <c r="C24" s="134"/>
      <c r="D24" s="135">
        <f>SUM(D19:D23)</f>
        <v>14288543.58</v>
      </c>
      <c r="E24" s="134"/>
      <c r="F24" s="135">
        <f>SUM(F19:F23)</f>
        <v>14624324.359999999</v>
      </c>
      <c r="G24" s="136"/>
      <c r="H24" s="136"/>
      <c r="I24" s="283"/>
      <c r="J24" s="135">
        <f>J19+J21+J23</f>
        <v>285042.49</v>
      </c>
      <c r="K24" s="135">
        <f>K19+K20+K21+K22+K23</f>
        <v>14339281.869999999</v>
      </c>
      <c r="L24" s="140"/>
      <c r="M24" s="140"/>
      <c r="N24" s="140"/>
      <c r="O24" s="137"/>
      <c r="P24" s="138"/>
    </row>
    <row r="25" spans="1:256" ht="15.75" x14ac:dyDescent="0.25">
      <c r="A25" s="308" t="s">
        <v>193</v>
      </c>
      <c r="B25" s="135">
        <f>ROUND(B24*0.2,2)</f>
        <v>2729165.04</v>
      </c>
      <c r="C25" s="134"/>
      <c r="D25" s="135">
        <f>ROUND(D24*0.2,2)</f>
        <v>2857708.72</v>
      </c>
      <c r="E25" s="134"/>
      <c r="F25" s="135">
        <f>ROUND(F24*0.2,2)</f>
        <v>2924864.87</v>
      </c>
      <c r="G25" s="136"/>
      <c r="H25" s="136"/>
      <c r="I25" s="283"/>
      <c r="J25" s="135">
        <f>(J24)*0.2</f>
        <v>57008.5</v>
      </c>
      <c r="K25" s="135">
        <f>K24*0.2</f>
        <v>2867856.37</v>
      </c>
      <c r="L25" s="137"/>
      <c r="M25" s="137"/>
      <c r="N25" s="137"/>
      <c r="O25" s="137"/>
      <c r="P25" s="138"/>
    </row>
    <row r="26" spans="1:256" ht="15.75" x14ac:dyDescent="0.25">
      <c r="A26" s="271" t="s">
        <v>346</v>
      </c>
      <c r="B26" s="275">
        <f>B24+B25</f>
        <v>16374990.24</v>
      </c>
      <c r="C26" s="360"/>
      <c r="D26" s="275">
        <f>D24+D25</f>
        <v>17146252.300000001</v>
      </c>
      <c r="E26" s="360"/>
      <c r="F26" s="275">
        <f>F24+F25</f>
        <v>17549189.23</v>
      </c>
      <c r="G26" s="136"/>
      <c r="H26" s="136"/>
      <c r="I26" s="283"/>
      <c r="J26" s="275">
        <f>J19+J21+J23+J25</f>
        <v>342050.99</v>
      </c>
      <c r="K26" s="275">
        <f>K24+K25</f>
        <v>17207138.239999998</v>
      </c>
      <c r="L26" s="137">
        <f>J26+K26</f>
        <v>17549189.23</v>
      </c>
      <c r="M26" s="137"/>
      <c r="N26" s="137"/>
      <c r="O26" s="137"/>
      <c r="P26" s="138"/>
    </row>
    <row r="27" spans="1:256" ht="15.75" x14ac:dyDescent="0.25">
      <c r="A27" s="272"/>
      <c r="B27" s="135"/>
      <c r="C27" s="134"/>
      <c r="D27" s="135"/>
      <c r="E27" s="134"/>
      <c r="F27" s="135"/>
      <c r="G27" s="136"/>
      <c r="H27" s="136"/>
      <c r="I27" s="283"/>
      <c r="J27" s="135"/>
      <c r="K27" s="135"/>
      <c r="L27" s="137"/>
      <c r="M27" s="137"/>
      <c r="N27" s="137"/>
      <c r="O27" s="137"/>
      <c r="P27" s="138"/>
    </row>
    <row r="28" spans="1:256" ht="15.75" x14ac:dyDescent="0.25">
      <c r="A28" s="272" t="s">
        <v>378</v>
      </c>
      <c r="B28" s="135"/>
      <c r="C28" s="134"/>
      <c r="D28" s="135"/>
      <c r="E28" s="134"/>
      <c r="F28" s="135"/>
      <c r="G28" s="136"/>
      <c r="H28" s="136"/>
      <c r="I28" s="283"/>
      <c r="J28" s="136"/>
      <c r="K28" s="136"/>
      <c r="L28" s="137">
        <f>B26*C25</f>
        <v>0</v>
      </c>
      <c r="M28" s="140">
        <f>J26+J39</f>
        <v>2259006.54</v>
      </c>
      <c r="N28" s="137"/>
      <c r="O28" s="137"/>
      <c r="P28" s="138"/>
    </row>
    <row r="29" spans="1:256" ht="47.25" x14ac:dyDescent="0.25">
      <c r="A29" s="311" t="s">
        <v>339</v>
      </c>
      <c r="B29" s="135">
        <f>15660.11*1000</f>
        <v>15660110</v>
      </c>
      <c r="C29" s="134">
        <f>F79</f>
        <v>1.0072000000000001</v>
      </c>
      <c r="D29" s="135">
        <f>B29*C29</f>
        <v>15772862.789999999</v>
      </c>
      <c r="E29" s="134">
        <f>E106</f>
        <v>1.0235000000000001</v>
      </c>
      <c r="F29" s="135">
        <f>D29*E29</f>
        <v>16143525.07</v>
      </c>
      <c r="G29" s="136"/>
      <c r="H29" s="136"/>
      <c r="I29" s="283"/>
      <c r="J29" s="135">
        <v>0</v>
      </c>
      <c r="K29" s="135">
        <f t="shared" ref="K29:K34" si="0">F29</f>
        <v>16143525.07</v>
      </c>
      <c r="L29" s="140">
        <f>B19+B29</f>
        <v>28516770</v>
      </c>
      <c r="M29" s="137">
        <f>J24*0.2</f>
        <v>57008.498</v>
      </c>
      <c r="N29" s="137"/>
      <c r="O29" s="137"/>
      <c r="P29" s="138"/>
    </row>
    <row r="30" spans="1:256" ht="31.5" x14ac:dyDescent="0.25">
      <c r="A30" s="311" t="s">
        <v>312</v>
      </c>
      <c r="B30" s="135">
        <v>187920</v>
      </c>
      <c r="C30" s="134">
        <f>F79</f>
        <v>1.0072000000000001</v>
      </c>
      <c r="D30" s="135">
        <f>B30*C30</f>
        <v>189273.02</v>
      </c>
      <c r="E30" s="134">
        <f>E29</f>
        <v>1.0235000000000001</v>
      </c>
      <c r="F30" s="135">
        <f>D30*E30</f>
        <v>193720.94</v>
      </c>
      <c r="G30" s="136"/>
      <c r="H30" s="136"/>
      <c r="I30" s="283"/>
      <c r="J30" s="135">
        <v>0</v>
      </c>
      <c r="K30" s="135">
        <f t="shared" si="0"/>
        <v>193720.94</v>
      </c>
      <c r="L30" s="137"/>
      <c r="M30" s="137"/>
      <c r="N30" s="137"/>
      <c r="O30" s="137"/>
      <c r="P30" s="138"/>
    </row>
    <row r="31" spans="1:256" ht="31.5" x14ac:dyDescent="0.25">
      <c r="A31" s="312" t="s">
        <v>191</v>
      </c>
      <c r="B31" s="135">
        <f>ROUND((B29+B30)*0.02,2)</f>
        <v>316960.59999999998</v>
      </c>
      <c r="C31" s="134">
        <f>F79</f>
        <v>1.0072000000000001</v>
      </c>
      <c r="D31" s="135">
        <f>B31*C31</f>
        <v>319242.71999999997</v>
      </c>
      <c r="E31" s="134">
        <f>E29</f>
        <v>1.0235000000000001</v>
      </c>
      <c r="F31" s="135">
        <f>D31*E31</f>
        <v>326744.92</v>
      </c>
      <c r="G31" s="136"/>
      <c r="H31" s="136"/>
      <c r="I31" s="283"/>
      <c r="J31" s="135">
        <v>0</v>
      </c>
      <c r="K31" s="135">
        <f t="shared" si="0"/>
        <v>326744.92</v>
      </c>
      <c r="L31" s="137"/>
      <c r="M31" s="140">
        <f>B23+B31</f>
        <v>584525.80000000005</v>
      </c>
      <c r="N31" s="137"/>
      <c r="O31" s="137"/>
      <c r="P31" s="138"/>
    </row>
    <row r="32" spans="1:256" ht="15.75" x14ac:dyDescent="0.25">
      <c r="A32" s="313" t="s">
        <v>192</v>
      </c>
      <c r="B32" s="135">
        <f>ROUND(B29+B30+B31,2)</f>
        <v>16164990.6</v>
      </c>
      <c r="C32" s="134"/>
      <c r="D32" s="135">
        <f>ROUND(D29+D30+D31,2)</f>
        <v>16281378.529999999</v>
      </c>
      <c r="E32" s="134"/>
      <c r="F32" s="135">
        <f>ROUND(F29+F30+F31,2)</f>
        <v>16663990.93</v>
      </c>
      <c r="G32" s="136"/>
      <c r="H32" s="136"/>
      <c r="I32" s="283"/>
      <c r="J32" s="135">
        <v>0</v>
      </c>
      <c r="K32" s="135">
        <f t="shared" si="0"/>
        <v>16663990.93</v>
      </c>
      <c r="L32" s="140">
        <f>D29+D30+D31</f>
        <v>16281378.529999999</v>
      </c>
      <c r="M32" s="137"/>
      <c r="N32" s="137"/>
      <c r="O32" s="137"/>
      <c r="P32" s="138"/>
    </row>
    <row r="33" spans="1:256" ht="15.75" x14ac:dyDescent="0.25">
      <c r="A33" s="313" t="s">
        <v>193</v>
      </c>
      <c r="B33" s="135">
        <f>ROUND(B32*0.2,2)</f>
        <v>3232998.12</v>
      </c>
      <c r="C33" s="134"/>
      <c r="D33" s="135">
        <f>ROUND(D32*0.2,2)</f>
        <v>3256275.71</v>
      </c>
      <c r="E33" s="134"/>
      <c r="F33" s="135">
        <f>ROUND(F32*0.2,2)</f>
        <v>3332798.19</v>
      </c>
      <c r="G33" s="136"/>
      <c r="H33" s="136"/>
      <c r="I33" s="283"/>
      <c r="J33" s="135">
        <v>0</v>
      </c>
      <c r="K33" s="135">
        <f t="shared" si="0"/>
        <v>3332798.19</v>
      </c>
      <c r="L33" s="140">
        <f>L32*0.2</f>
        <v>3256275.71</v>
      </c>
      <c r="M33" s="137">
        <f>F32*0.2</f>
        <v>3332798.1860000002</v>
      </c>
      <c r="N33" s="137"/>
      <c r="O33" s="137"/>
      <c r="P33" s="138"/>
    </row>
    <row r="34" spans="1:256" ht="15.75" x14ac:dyDescent="0.25">
      <c r="A34" s="271" t="s">
        <v>346</v>
      </c>
      <c r="B34" s="275">
        <f>B32+B33</f>
        <v>19397988.719999999</v>
      </c>
      <c r="C34" s="134"/>
      <c r="D34" s="275">
        <f>D32+D33</f>
        <v>19537654.239999998</v>
      </c>
      <c r="E34" s="134"/>
      <c r="F34" s="275">
        <f>F32+F33</f>
        <v>19996789.120000001</v>
      </c>
      <c r="G34" s="136"/>
      <c r="H34" s="136"/>
      <c r="I34" s="283"/>
      <c r="J34" s="135">
        <v>0</v>
      </c>
      <c r="K34" s="275">
        <f t="shared" si="0"/>
        <v>19996789.120000001</v>
      </c>
      <c r="L34" s="137">
        <f>B34*C33</f>
        <v>0</v>
      </c>
      <c r="M34" s="137"/>
      <c r="N34" s="137">
        <f>D34*E33</f>
        <v>0</v>
      </c>
      <c r="O34" s="137"/>
      <c r="P34" s="138"/>
    </row>
    <row r="35" spans="1:256" ht="15.75" x14ac:dyDescent="0.25">
      <c r="A35" s="271" t="s">
        <v>310</v>
      </c>
      <c r="B35" s="275">
        <f>B26+B34</f>
        <v>35772978.960000001</v>
      </c>
      <c r="C35" s="134"/>
      <c r="D35" s="275">
        <f>D26+D34</f>
        <v>36683906.539999999</v>
      </c>
      <c r="E35" s="134"/>
      <c r="F35" s="275">
        <f>F26+F34</f>
        <v>37545978.350000001</v>
      </c>
      <c r="G35" s="136"/>
      <c r="H35" s="136"/>
      <c r="I35" s="283"/>
      <c r="J35" s="275">
        <v>0</v>
      </c>
      <c r="K35" s="275">
        <f>K34+K26</f>
        <v>37203927.359999999</v>
      </c>
      <c r="L35" s="140">
        <f>B35*C19</f>
        <v>37457886.270000003</v>
      </c>
      <c r="M35" s="140">
        <f>J35+K35</f>
        <v>37203927.359999999</v>
      </c>
      <c r="N35" s="137"/>
      <c r="O35" s="137"/>
      <c r="P35" s="138"/>
    </row>
    <row r="36" spans="1:256" ht="15.75" x14ac:dyDescent="0.25">
      <c r="A36" s="271"/>
      <c r="B36" s="275"/>
      <c r="C36" s="282"/>
      <c r="D36" s="275"/>
      <c r="E36" s="282"/>
      <c r="F36" s="275"/>
      <c r="G36" s="136"/>
      <c r="H36" s="136"/>
      <c r="I36" s="283"/>
      <c r="J36" s="275"/>
      <c r="K36" s="275"/>
      <c r="L36" s="140"/>
      <c r="M36" s="140"/>
      <c r="N36" s="137"/>
      <c r="O36" s="137"/>
      <c r="P36" s="138"/>
    </row>
    <row r="37" spans="1:256" ht="15.75" x14ac:dyDescent="0.25">
      <c r="A37" s="272" t="s">
        <v>377</v>
      </c>
      <c r="B37" s="275"/>
      <c r="C37" s="282"/>
      <c r="D37" s="275"/>
      <c r="E37" s="282"/>
      <c r="F37" s="275"/>
      <c r="G37" s="136"/>
      <c r="H37" s="136"/>
      <c r="I37" s="283"/>
      <c r="J37" s="275"/>
      <c r="K37" s="275"/>
      <c r="L37" s="140">
        <f>F35-J26</f>
        <v>37203927.359999999</v>
      </c>
      <c r="M37" s="140"/>
      <c r="N37" s="137"/>
      <c r="O37" s="137"/>
      <c r="P37" s="138"/>
    </row>
    <row r="38" spans="1:256" ht="15.75" x14ac:dyDescent="0.25">
      <c r="A38" s="314" t="s">
        <v>311</v>
      </c>
      <c r="B38" s="135">
        <f>1813.5*1000</f>
        <v>1813500</v>
      </c>
      <c r="C38" s="134">
        <f>F76</f>
        <v>1.0470999999999999</v>
      </c>
      <c r="D38" s="135">
        <f>B38*C38</f>
        <v>1898915.85</v>
      </c>
      <c r="E38" s="134">
        <f>C122</f>
        <v>1.0095000000000001</v>
      </c>
      <c r="F38" s="135">
        <f>D38*E38</f>
        <v>1916955.55</v>
      </c>
      <c r="G38" s="136"/>
      <c r="H38" s="136"/>
      <c r="I38" s="283"/>
      <c r="J38" s="135">
        <f>F38</f>
        <v>1916955.55</v>
      </c>
      <c r="K38" s="135">
        <v>0</v>
      </c>
      <c r="L38" s="137"/>
      <c r="M38" s="137"/>
      <c r="N38" s="137"/>
      <c r="O38" s="137"/>
      <c r="P38" s="138"/>
    </row>
    <row r="39" spans="1:256" ht="15.75" x14ac:dyDescent="0.25">
      <c r="A39" s="271" t="s">
        <v>310</v>
      </c>
      <c r="B39" s="276">
        <f>B38</f>
        <v>1813500</v>
      </c>
      <c r="C39" s="261"/>
      <c r="D39" s="275">
        <f>D38</f>
        <v>1898915.85</v>
      </c>
      <c r="E39" s="134"/>
      <c r="F39" s="275">
        <f>F38</f>
        <v>1916955.55</v>
      </c>
      <c r="G39" s="136"/>
      <c r="H39" s="136"/>
      <c r="I39" s="283"/>
      <c r="J39" s="275">
        <f>F39</f>
        <v>1916955.55</v>
      </c>
      <c r="K39" s="275">
        <v>0</v>
      </c>
      <c r="L39" s="140">
        <f>B39*C38</f>
        <v>1898915.85</v>
      </c>
      <c r="M39" s="137" t="e">
        <f>#REF!*#REF!</f>
        <v>#REF!</v>
      </c>
      <c r="N39" s="140"/>
      <c r="O39" s="137"/>
      <c r="S39" s="138"/>
      <c r="T39" s="138"/>
    </row>
    <row r="40" spans="1:256" s="280" customFormat="1" ht="33.75" customHeight="1" x14ac:dyDescent="0.25">
      <c r="A40" s="198" t="s">
        <v>313</v>
      </c>
      <c r="B40" s="199">
        <f>B35+B39</f>
        <v>37586478.960000001</v>
      </c>
      <c r="C40" s="281"/>
      <c r="D40" s="199">
        <f>D35+D39</f>
        <v>38582822.390000001</v>
      </c>
      <c r="E40" s="199"/>
      <c r="F40" s="199">
        <f>F35+F39</f>
        <v>39462933.899999999</v>
      </c>
      <c r="G40" s="199">
        <f>G35+G39</f>
        <v>0</v>
      </c>
      <c r="H40" s="199">
        <f>H35+H39</f>
        <v>0</v>
      </c>
      <c r="I40" s="199">
        <f>I35+I39</f>
        <v>0</v>
      </c>
      <c r="J40" s="199">
        <f>J26+J39</f>
        <v>2259006.54</v>
      </c>
      <c r="K40" s="199">
        <f>K35+K39</f>
        <v>37203927.359999999</v>
      </c>
      <c r="L40" s="278">
        <f>F40*E83</f>
        <v>2290128.09833478</v>
      </c>
      <c r="M40" s="279" t="e">
        <f>B19+B40+#REF!</f>
        <v>#REF!</v>
      </c>
      <c r="N40" s="373">
        <f>F40*E83</f>
        <v>2290128.1</v>
      </c>
      <c r="O40" s="278"/>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row>
    <row r="41" spans="1:256" ht="12" customHeight="1" x14ac:dyDescent="0.25">
      <c r="A41" s="535"/>
      <c r="B41" s="535"/>
      <c r="C41" s="535"/>
      <c r="D41" s="535"/>
      <c r="E41" s="535"/>
      <c r="F41" s="535"/>
      <c r="G41" s="143"/>
      <c r="H41" s="144"/>
      <c r="I41" s="144"/>
      <c r="J41" s="144"/>
      <c r="K41" s="144"/>
      <c r="L41" s="145"/>
      <c r="M41" s="146"/>
      <c r="N41" s="145"/>
      <c r="O41" s="137"/>
    </row>
    <row r="42" spans="1:256" hidden="1" x14ac:dyDescent="0.25">
      <c r="A42" s="535"/>
      <c r="B42" s="535"/>
      <c r="C42" s="535"/>
      <c r="D42" s="535"/>
      <c r="E42" s="535"/>
      <c r="F42" s="535"/>
      <c r="H42" s="144"/>
      <c r="I42" s="144"/>
      <c r="J42" s="144"/>
      <c r="K42" s="144"/>
      <c r="L42" s="145"/>
      <c r="M42" s="146"/>
      <c r="N42" s="145"/>
      <c r="O42" s="137"/>
    </row>
    <row r="43" spans="1:256" hidden="1" x14ac:dyDescent="0.25">
      <c r="A43" s="530"/>
      <c r="B43" s="530"/>
      <c r="C43" s="530"/>
      <c r="D43" s="148"/>
      <c r="E43" s="380"/>
      <c r="F43" s="380"/>
      <c r="H43" s="149"/>
      <c r="I43" s="144"/>
      <c r="J43" s="144"/>
      <c r="K43" s="144"/>
      <c r="L43" s="145"/>
      <c r="M43" s="146"/>
      <c r="N43" s="145"/>
      <c r="O43" s="137"/>
    </row>
    <row r="44" spans="1:256" ht="12" customHeight="1" x14ac:dyDescent="0.25">
      <c r="A44" s="380"/>
      <c r="G44" s="150"/>
      <c r="H44" s="150"/>
      <c r="I44" s="150"/>
      <c r="J44" s="150"/>
      <c r="K44" s="150"/>
      <c r="L44" s="151">
        <f>F40*E84</f>
        <v>37172805.799999997</v>
      </c>
      <c r="M44" s="151"/>
      <c r="N44" s="145"/>
      <c r="O44" s="137"/>
    </row>
    <row r="45" spans="1:256" ht="15.75" x14ac:dyDescent="0.25">
      <c r="A45" s="152" t="s">
        <v>194</v>
      </c>
      <c r="B45" s="129" t="s">
        <v>411</v>
      </c>
      <c r="C45" s="154"/>
      <c r="D45" s="197"/>
      <c r="F45" s="199">
        <v>39833552.409999996</v>
      </c>
      <c r="G45" s="199">
        <v>0</v>
      </c>
      <c r="H45" s="199">
        <v>0</v>
      </c>
      <c r="I45" s="199">
        <v>0</v>
      </c>
      <c r="J45" s="199">
        <v>2290128.1</v>
      </c>
      <c r="K45" s="199">
        <v>37543424.310000002</v>
      </c>
      <c r="L45" s="155">
        <f>2297.65*1000</f>
        <v>2297650</v>
      </c>
      <c r="M45" s="145"/>
      <c r="N45" s="145"/>
      <c r="O45" s="15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x14ac:dyDescent="0.25">
      <c r="A46" s="152" t="s">
        <v>195</v>
      </c>
      <c r="B46" s="263" t="s">
        <v>415</v>
      </c>
      <c r="C46" s="129"/>
      <c r="D46" s="156"/>
      <c r="E46" s="156"/>
      <c r="F46" s="142"/>
      <c r="G46" s="157"/>
      <c r="H46" s="125"/>
      <c r="I46" s="144"/>
      <c r="J46" s="144"/>
      <c r="K46" s="144"/>
      <c r="L46" s="125">
        <f>L45/F40</f>
        <v>5.8222989852257302E-2</v>
      </c>
      <c r="M46" s="307">
        <f>J40+K40</f>
        <v>39462933.899999999</v>
      </c>
      <c r="N46" s="157"/>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ht="15.75" x14ac:dyDescent="0.25">
      <c r="A47" s="152" t="s">
        <v>196</v>
      </c>
      <c r="B47" s="263" t="s">
        <v>413</v>
      </c>
      <c r="C47" s="129" t="s">
        <v>197</v>
      </c>
      <c r="D47" s="129"/>
      <c r="E47" s="156"/>
      <c r="F47" s="158"/>
      <c r="G47" s="155"/>
      <c r="H47" s="159"/>
      <c r="I47" s="144"/>
      <c r="J47" s="144"/>
      <c r="K47" s="144"/>
      <c r="L47" s="144">
        <v>2297.65</v>
      </c>
      <c r="M47" s="144"/>
      <c r="N47" s="307">
        <f>N40-J39</f>
        <v>373172.55</v>
      </c>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29"/>
      <c r="B48" s="129"/>
      <c r="C48" s="129"/>
      <c r="D48" s="129"/>
      <c r="E48" s="129"/>
      <c r="F48" s="385">
        <f>J45/F40</f>
        <v>5.8032383142000002E-2</v>
      </c>
      <c r="G48" s="125"/>
      <c r="H48" s="125"/>
      <c r="I48" s="161"/>
      <c r="J48" s="384">
        <f>J45/F40</f>
        <v>5.8032383142000002E-2</v>
      </c>
      <c r="K48" s="161"/>
      <c r="L48" s="122">
        <f>F40*E83</f>
        <v>2290128.09833478</v>
      </c>
      <c r="M48" s="125"/>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ht="25.5" customHeight="1" x14ac:dyDescent="0.25">
      <c r="A49" s="152" t="s">
        <v>198</v>
      </c>
      <c r="B49" s="527" t="s">
        <v>281</v>
      </c>
      <c r="C49" s="527"/>
      <c r="D49" s="129"/>
      <c r="E49" s="129"/>
      <c r="F49" s="129"/>
      <c r="G49" s="125"/>
      <c r="H49" s="125"/>
      <c r="I49" s="125"/>
      <c r="J49" s="125"/>
      <c r="K49" s="125"/>
      <c r="L49" s="163">
        <f>F40*E83</f>
        <v>2290128.1</v>
      </c>
      <c r="M49" s="144">
        <f>F40*E84</f>
        <v>37172805.801665202</v>
      </c>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t="s">
        <v>199</v>
      </c>
      <c r="B50" s="378" t="s">
        <v>405</v>
      </c>
      <c r="C50" s="129"/>
      <c r="D50" s="129"/>
      <c r="E50" s="129"/>
      <c r="F50" s="129"/>
      <c r="G50" s="125"/>
      <c r="H50" s="125"/>
      <c r="I50" s="125"/>
      <c r="J50" s="125"/>
      <c r="K50" s="125"/>
      <c r="L50" s="125">
        <f>F40*0.0576</f>
        <v>2273064.9926399998</v>
      </c>
      <c r="M50" s="144" t="s">
        <v>218</v>
      </c>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14.25" customHeight="1" x14ac:dyDescent="0.25">
      <c r="A51" s="152"/>
      <c r="B51" s="378"/>
      <c r="C51" s="129"/>
      <c r="D51" s="129"/>
      <c r="E51" s="129"/>
      <c r="F51" s="129"/>
      <c r="G51" s="125"/>
      <c r="H51" s="157"/>
      <c r="I51" s="125"/>
      <c r="J51" s="125"/>
      <c r="K51" s="125"/>
      <c r="L51" s="125"/>
      <c r="M51" s="144"/>
      <c r="N51" s="144"/>
      <c r="O51" s="125">
        <f>F40*E83</f>
        <v>2290128.09833478</v>
      </c>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ht="8.25" hidden="1" customHeight="1" x14ac:dyDescent="0.25">
      <c r="A52" s="129"/>
      <c r="B52" s="165"/>
      <c r="C52" s="129"/>
      <c r="D52" s="129"/>
      <c r="E52" s="129"/>
      <c r="F52" s="129"/>
      <c r="H52" s="125"/>
      <c r="I52" s="125"/>
      <c r="J52" s="125"/>
      <c r="K52" s="125"/>
      <c r="L52" s="125"/>
      <c r="M52" s="161"/>
      <c r="N52" s="144"/>
    </row>
    <row r="53" spans="1:256" ht="33" customHeight="1" x14ac:dyDescent="0.25">
      <c r="A53" s="528" t="s">
        <v>200</v>
      </c>
      <c r="B53" s="528"/>
      <c r="C53" s="528"/>
      <c r="D53" s="528"/>
      <c r="E53" s="528"/>
      <c r="F53" s="528"/>
      <c r="G53" s="528"/>
      <c r="H53" s="528"/>
      <c r="I53" s="528"/>
      <c r="J53" s="528"/>
      <c r="K53" s="528"/>
      <c r="L53" s="125">
        <f>F40*E83</f>
        <v>2290128.09833478</v>
      </c>
      <c r="M53" s="144"/>
      <c r="N53" s="144"/>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6.75" customHeight="1" x14ac:dyDescent="0.25">
      <c r="A54" s="166"/>
      <c r="B54" s="166"/>
      <c r="C54" s="166"/>
      <c r="D54" s="166"/>
      <c r="E54" s="166"/>
      <c r="F54" s="166"/>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ht="29.25" x14ac:dyDescent="0.25">
      <c r="A55" s="167" t="s">
        <v>201</v>
      </c>
      <c r="B55" s="167" t="s">
        <v>202</v>
      </c>
      <c r="C55" s="167" t="s">
        <v>203</v>
      </c>
      <c r="D55" s="168"/>
      <c r="E55" s="166"/>
      <c r="F55" s="166"/>
      <c r="G55" s="125"/>
      <c r="H55" s="125"/>
      <c r="I55" s="125" t="e">
        <f>#REF!-#REF!</f>
        <v>#REF!</v>
      </c>
      <c r="J55" s="125"/>
      <c r="K55" s="125"/>
      <c r="L55" s="125">
        <f>L45/F40</f>
        <v>5.8222989852257302E-2</v>
      </c>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204</v>
      </c>
      <c r="B56" s="267">
        <v>100.45</v>
      </c>
      <c r="C56" s="266">
        <v>1.0044999999999999</v>
      </c>
      <c r="D56" s="170"/>
      <c r="E56" s="170"/>
      <c r="F56" s="147"/>
      <c r="G56" s="171"/>
      <c r="H56" s="125"/>
      <c r="I56" s="125"/>
      <c r="J56" s="125"/>
      <c r="K56" s="125"/>
      <c r="L56" s="125"/>
      <c r="M56" s="125">
        <f>J40/F40</f>
        <v>5.72437555130689E-2</v>
      </c>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205</v>
      </c>
      <c r="B57" s="268">
        <v>100.32</v>
      </c>
      <c r="C57" s="266">
        <v>1.0032000000000001</v>
      </c>
      <c r="D57" s="170"/>
      <c r="E57" s="170"/>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206</v>
      </c>
      <c r="B58" s="268">
        <v>100.49</v>
      </c>
      <c r="C58" s="266">
        <v>1.0048999999999999</v>
      </c>
      <c r="D58" s="173"/>
      <c r="E58" s="173"/>
      <c r="F58" s="153"/>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207</v>
      </c>
      <c r="B59" s="268">
        <v>100.64</v>
      </c>
      <c r="C59" s="266">
        <v>1.0064</v>
      </c>
      <c r="D59" s="174"/>
      <c r="E59" s="147"/>
      <c r="F59" s="175"/>
      <c r="G59" s="172"/>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69" t="s">
        <v>208</v>
      </c>
      <c r="B60" s="268" t="s">
        <v>293</v>
      </c>
      <c r="C60" s="266">
        <v>1.0062</v>
      </c>
      <c r="D60" s="529"/>
      <c r="E60" s="530"/>
      <c r="F60" s="176"/>
      <c r="G60" s="172"/>
      <c r="H60" s="128"/>
      <c r="I60" s="128"/>
      <c r="J60" s="128"/>
      <c r="K60" s="128"/>
      <c r="L60" s="125">
        <f>ROUND(F40*E83,2)</f>
        <v>2290128.1</v>
      </c>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7" t="s">
        <v>209</v>
      </c>
      <c r="B61" s="268" t="s">
        <v>294</v>
      </c>
      <c r="C61" s="266">
        <v>1.0047999999999999</v>
      </c>
      <c r="D61" s="125"/>
      <c r="E61" s="125"/>
      <c r="F61" s="178"/>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79" t="s">
        <v>210</v>
      </c>
      <c r="B62" s="268" t="s">
        <v>295</v>
      </c>
      <c r="C62" s="266" t="s">
        <v>303</v>
      </c>
      <c r="D62" s="529"/>
      <c r="E62" s="530"/>
      <c r="F62" s="530"/>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212</v>
      </c>
      <c r="B63" s="268" t="s">
        <v>296</v>
      </c>
      <c r="C63" s="266">
        <v>0.99080000000000001</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286</v>
      </c>
      <c r="B64" s="268" t="s">
        <v>297</v>
      </c>
      <c r="C64" s="266">
        <v>0.99870000000000003</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287</v>
      </c>
      <c r="B65" s="268" t="s">
        <v>298</v>
      </c>
      <c r="C65" s="266">
        <v>0.98370000000000002</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288</v>
      </c>
      <c r="B66" s="268" t="s">
        <v>299</v>
      </c>
      <c r="C66" s="266">
        <v>1.0101</v>
      </c>
      <c r="D66" s="174"/>
      <c r="E66" s="147"/>
      <c r="F66" s="147"/>
      <c r="G66" s="172"/>
      <c r="L66" s="122">
        <f>PRODUCT(C56:C70)</f>
        <v>1.0414762419299299</v>
      </c>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289</v>
      </c>
      <c r="B67" s="268" t="s">
        <v>300</v>
      </c>
      <c r="C67" s="266">
        <v>1.0225</v>
      </c>
      <c r="D67" s="174"/>
      <c r="E67" s="147"/>
      <c r="F67" s="147"/>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290</v>
      </c>
      <c r="B68" s="268">
        <v>100.18</v>
      </c>
      <c r="C68" s="266">
        <f>B68/100</f>
        <v>1.0018</v>
      </c>
      <c r="D68" s="529"/>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264" t="s">
        <v>291</v>
      </c>
      <c r="B69" s="268">
        <v>100.18</v>
      </c>
      <c r="C69" s="266">
        <f>B69/100</f>
        <v>1.0018</v>
      </c>
      <c r="D69" s="529" t="s">
        <v>211</v>
      </c>
      <c r="E69" s="530"/>
      <c r="F69" s="530"/>
      <c r="G69" s="172"/>
      <c r="M69" s="374">
        <f>J40/F40</f>
        <v>5.72437555E-2</v>
      </c>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381" t="s">
        <v>292</v>
      </c>
      <c r="B70" s="382">
        <v>100.18</v>
      </c>
      <c r="C70" s="266">
        <f>B70/100</f>
        <v>1.0018</v>
      </c>
      <c r="D70" s="529" t="s">
        <v>211</v>
      </c>
      <c r="E70" s="530"/>
      <c r="F70" s="530"/>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79" t="s">
        <v>406</v>
      </c>
      <c r="B71" s="383">
        <v>100.18</v>
      </c>
      <c r="C71" s="266">
        <f>B71/100</f>
        <v>1.0018</v>
      </c>
      <c r="D71" s="529" t="s">
        <v>211</v>
      </c>
      <c r="E71" s="530"/>
      <c r="F71" s="530"/>
      <c r="G71" s="172"/>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180"/>
      <c r="B72" s="173"/>
      <c r="C72" s="181"/>
      <c r="D72" s="147"/>
      <c r="E72" s="147"/>
      <c r="F72" s="178"/>
      <c r="G72" s="172"/>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x14ac:dyDescent="0.25">
      <c r="A73" s="176" t="s">
        <v>213</v>
      </c>
      <c r="B73" s="182"/>
      <c r="C73" s="153"/>
      <c r="D73" s="153"/>
      <c r="E73" s="153"/>
      <c r="F73" s="183"/>
      <c r="G73" s="172"/>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x14ac:dyDescent="0.25">
      <c r="A74" s="265" t="s">
        <v>304</v>
      </c>
      <c r="B74" s="182"/>
      <c r="C74" s="153"/>
      <c r="D74" s="153"/>
      <c r="E74" s="153"/>
      <c r="F74" s="183"/>
      <c r="G74" s="172"/>
      <c r="H74" s="125"/>
      <c r="I74" s="125"/>
      <c r="J74" s="125"/>
      <c r="K74" s="125"/>
      <c r="L74" s="125"/>
      <c r="M74" s="125">
        <f>PRODUCT(C56:C70)</f>
        <v>1.0414762419299299</v>
      </c>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9.75" customHeight="1" x14ac:dyDescent="0.25">
      <c r="A75" s="184"/>
      <c r="B75" s="185"/>
      <c r="C75" s="129"/>
      <c r="D75" s="156"/>
      <c r="E75" s="129"/>
      <c r="F75" s="186"/>
      <c r="G75" s="172"/>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36" customHeight="1" x14ac:dyDescent="0.25">
      <c r="A76" s="531" t="s">
        <v>407</v>
      </c>
      <c r="B76" s="531"/>
      <c r="C76" s="531"/>
      <c r="D76" s="531"/>
      <c r="E76" s="531"/>
      <c r="F76" s="175">
        <f>C56*C57*C58*C59*C60*C61*C62*C63*C64*C65*C66*C67*C68*C69*C70*C71</f>
        <v>1.0470999999999999</v>
      </c>
      <c r="H76" s="125"/>
      <c r="I76" s="125"/>
      <c r="J76" s="363"/>
      <c r="K76" s="125"/>
      <c r="L76" s="125"/>
      <c r="M76" s="269">
        <f>C56*C57*C58*C59*C60*C61*C62*C63*C64*C65*C66*C67*C68*C69*C70</f>
        <v>1.0451999999999999</v>
      </c>
      <c r="N76" s="125"/>
      <c r="O76" s="125">
        <f>PRODUCT(C56:C70)</f>
        <v>1.0414762419299299</v>
      </c>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8.25" customHeight="1" x14ac:dyDescent="0.25">
      <c r="A77" s="244"/>
      <c r="B77" s="244"/>
      <c r="C77" s="244"/>
      <c r="D77" s="244"/>
      <c r="E77" s="244"/>
      <c r="F77" s="17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ht="18" customHeight="1" x14ac:dyDescent="0.25">
      <c r="A78" s="265" t="s">
        <v>305</v>
      </c>
      <c r="B78" s="244"/>
      <c r="C78" s="244"/>
      <c r="D78" s="244"/>
      <c r="E78" s="244"/>
      <c r="F78" s="17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ht="23.25" customHeight="1" x14ac:dyDescent="0.25">
      <c r="A79" s="531" t="s">
        <v>408</v>
      </c>
      <c r="B79" s="531"/>
      <c r="C79" s="531"/>
      <c r="D79" s="531"/>
      <c r="E79" s="531"/>
      <c r="F79" s="175">
        <f>C68*C69*C70*C71</f>
        <v>1.0072000000000001</v>
      </c>
      <c r="H79" s="125"/>
      <c r="I79" s="125"/>
      <c r="J79" s="125"/>
      <c r="K79" s="125"/>
      <c r="L79" s="125"/>
      <c r="M79" s="125">
        <f>C68*C69*C70</f>
        <v>1.0054097258320001</v>
      </c>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76" t="s">
        <v>197</v>
      </c>
      <c r="B80" s="176"/>
      <c r="C80" s="176"/>
      <c r="D80" s="125"/>
      <c r="E80" s="176"/>
      <c r="F80" s="18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pans="1:256" x14ac:dyDescent="0.25">
      <c r="A81" s="178" t="s">
        <v>214</v>
      </c>
      <c r="B81" s="178"/>
      <c r="C81" s="178"/>
      <c r="D81" s="178"/>
      <c r="E81" s="178"/>
      <c r="F81" s="187"/>
      <c r="G81" s="188"/>
      <c r="H81" s="189"/>
      <c r="I81" s="188"/>
      <c r="J81" s="188"/>
      <c r="K81" s="188"/>
      <c r="L81" s="188"/>
      <c r="M81" s="188"/>
    </row>
    <row r="82" spans="1:256" x14ac:dyDescent="0.25">
      <c r="A82" s="191"/>
      <c r="B82" s="191"/>
      <c r="C82" s="191"/>
      <c r="D82" s="191"/>
      <c r="E82" s="191"/>
      <c r="F82" s="192"/>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pans="1:256" x14ac:dyDescent="0.25">
      <c r="A83" s="153" t="s">
        <v>315</v>
      </c>
      <c r="B83" s="153"/>
      <c r="C83" s="153"/>
      <c r="D83" s="125"/>
      <c r="E83" s="375">
        <v>5.8032383100000001E-2</v>
      </c>
      <c r="F83" s="190"/>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row>
    <row r="84" spans="1:256" x14ac:dyDescent="0.25">
      <c r="A84" s="153" t="s">
        <v>316</v>
      </c>
      <c r="B84" s="153"/>
      <c r="C84" s="153"/>
      <c r="D84" s="125"/>
      <c r="E84" s="375">
        <f>1-E83</f>
        <v>0.94196761689999997</v>
      </c>
      <c r="F84" s="190"/>
      <c r="G84" s="125"/>
      <c r="H84" s="125"/>
      <c r="I84" s="125"/>
      <c r="J84" s="125"/>
      <c r="K84" s="125"/>
      <c r="L84" s="125"/>
      <c r="M84" s="125"/>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c r="CH84" s="188"/>
      <c r="CI84" s="188"/>
      <c r="CJ84" s="188"/>
      <c r="CK84" s="188"/>
      <c r="CL84" s="188"/>
      <c r="CM84" s="188"/>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188"/>
      <c r="DM84" s="188"/>
      <c r="DN84" s="188"/>
      <c r="DO84" s="188"/>
      <c r="DP84" s="188"/>
      <c r="DQ84" s="188"/>
      <c r="DR84" s="188"/>
      <c r="DS84" s="188"/>
      <c r="DT84" s="188"/>
      <c r="DU84" s="188"/>
      <c r="DV84" s="188"/>
      <c r="DW84" s="188"/>
      <c r="DX84" s="188"/>
      <c r="DY84" s="188"/>
      <c r="DZ84" s="188"/>
      <c r="EA84" s="188"/>
      <c r="EB84" s="188"/>
      <c r="EC84" s="188"/>
      <c r="ED84" s="188"/>
      <c r="EE84" s="188"/>
      <c r="EF84" s="188"/>
      <c r="EG84" s="188"/>
      <c r="EH84" s="188"/>
      <c r="EI84" s="188"/>
      <c r="EJ84" s="188"/>
      <c r="EK84" s="188"/>
      <c r="EL84" s="188"/>
      <c r="EM84" s="188"/>
      <c r="EN84" s="188"/>
      <c r="EO84" s="188"/>
      <c r="EP84" s="188"/>
      <c r="EQ84" s="188"/>
      <c r="ER84" s="188"/>
      <c r="ES84" s="188"/>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188"/>
      <c r="FS84" s="188"/>
      <c r="FT84" s="188"/>
      <c r="FU84" s="188"/>
      <c r="FV84" s="188"/>
      <c r="FW84" s="188"/>
      <c r="FX84" s="188"/>
      <c r="FY84" s="188"/>
      <c r="FZ84" s="188"/>
      <c r="GA84" s="188"/>
      <c r="GB84" s="188"/>
      <c r="GC84" s="188"/>
      <c r="GD84" s="188"/>
      <c r="GE84" s="188"/>
      <c r="GF84" s="188"/>
      <c r="GG84" s="188"/>
      <c r="GH84" s="188"/>
      <c r="GI84" s="188"/>
      <c r="GJ84" s="188"/>
      <c r="GK84" s="188"/>
      <c r="GL84" s="188"/>
      <c r="GM84" s="188"/>
      <c r="GN84" s="188"/>
      <c r="GO84" s="188"/>
      <c r="GP84" s="188"/>
      <c r="GQ84" s="188"/>
      <c r="GR84" s="188"/>
      <c r="GS84" s="188"/>
      <c r="GT84" s="188"/>
      <c r="GU84" s="188"/>
      <c r="GV84" s="188"/>
      <c r="GW84" s="188"/>
      <c r="GX84" s="188"/>
      <c r="GY84" s="188"/>
      <c r="GZ84" s="188"/>
      <c r="HA84" s="188"/>
      <c r="HB84" s="188"/>
      <c r="HC84" s="188"/>
      <c r="HD84" s="188"/>
      <c r="HE84" s="188"/>
      <c r="HF84" s="188"/>
      <c r="HG84" s="188"/>
      <c r="HH84" s="188"/>
      <c r="HI84" s="188"/>
      <c r="HJ84" s="188"/>
      <c r="HK84" s="188"/>
      <c r="HL84" s="188"/>
      <c r="HM84" s="188"/>
      <c r="HN84" s="188"/>
      <c r="HO84" s="188"/>
      <c r="HP84" s="188"/>
      <c r="HQ84" s="188"/>
      <c r="HR84" s="188"/>
      <c r="HS84" s="188"/>
      <c r="HT84" s="188"/>
      <c r="HU84" s="188"/>
      <c r="HV84" s="188"/>
      <c r="HW84" s="188"/>
      <c r="HX84" s="188"/>
      <c r="HY84" s="188"/>
      <c r="HZ84" s="188"/>
      <c r="IA84" s="188"/>
      <c r="IB84" s="188"/>
      <c r="IC84" s="188"/>
      <c r="ID84" s="188"/>
      <c r="IE84" s="188"/>
      <c r="IF84" s="188"/>
      <c r="IG84" s="188"/>
      <c r="IH84" s="188"/>
      <c r="II84" s="188"/>
      <c r="IJ84" s="188"/>
      <c r="IK84" s="188"/>
      <c r="IL84" s="188"/>
      <c r="IM84" s="188"/>
      <c r="IN84" s="188"/>
      <c r="IO84" s="188"/>
      <c r="IP84" s="188"/>
      <c r="IQ84" s="188"/>
      <c r="IR84" s="188"/>
      <c r="IS84" s="188"/>
      <c r="IT84" s="188"/>
      <c r="IU84" s="188"/>
      <c r="IV84" s="188"/>
    </row>
    <row r="85" spans="1:256" ht="18.75" customHeight="1" x14ac:dyDescent="0.25">
      <c r="A85" s="153"/>
      <c r="B85" s="178"/>
      <c r="C85" s="178"/>
      <c r="D85" s="178"/>
      <c r="E85" s="366"/>
      <c r="F85" s="190"/>
      <c r="G85" s="125"/>
      <c r="H85" s="125"/>
      <c r="I85" s="125"/>
      <c r="J85" s="125"/>
      <c r="K85" s="125"/>
      <c r="L85" s="125"/>
      <c r="M85" s="125"/>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188"/>
      <c r="DX85" s="188"/>
      <c r="DY85" s="188"/>
      <c r="DZ85" s="188"/>
      <c r="EA85" s="188"/>
      <c r="EB85" s="188"/>
      <c r="EC85" s="188"/>
      <c r="ED85" s="188"/>
      <c r="EE85" s="188"/>
      <c r="EF85" s="188"/>
      <c r="EG85" s="188"/>
      <c r="EH85" s="188"/>
      <c r="EI85" s="188"/>
      <c r="EJ85" s="188"/>
      <c r="EK85" s="188"/>
      <c r="EL85" s="188"/>
      <c r="EM85" s="188"/>
      <c r="EN85" s="188"/>
      <c r="EO85" s="188"/>
      <c r="EP85" s="188"/>
      <c r="EQ85" s="188"/>
      <c r="ER85" s="188"/>
      <c r="ES85" s="188"/>
      <c r="ET85" s="188"/>
      <c r="EU85" s="188"/>
      <c r="EV85" s="188"/>
      <c r="EW85" s="188"/>
      <c r="EX85" s="188"/>
      <c r="EY85" s="188"/>
      <c r="EZ85" s="188"/>
      <c r="FA85" s="188"/>
      <c r="FB85" s="188"/>
      <c r="FC85" s="188"/>
      <c r="FD85" s="188"/>
      <c r="FE85" s="188"/>
      <c r="FF85" s="188"/>
      <c r="FG85" s="188"/>
      <c r="FH85" s="188"/>
      <c r="FI85" s="188"/>
      <c r="FJ85" s="188"/>
      <c r="FK85" s="188"/>
      <c r="FL85" s="188"/>
      <c r="FM85" s="188"/>
      <c r="FN85" s="188"/>
      <c r="FO85" s="188"/>
      <c r="FP85" s="188"/>
      <c r="FQ85" s="188"/>
      <c r="FR85" s="188"/>
      <c r="FS85" s="188"/>
      <c r="FT85" s="188"/>
      <c r="FU85" s="188"/>
      <c r="FV85" s="188"/>
      <c r="FW85" s="188"/>
      <c r="FX85" s="188"/>
      <c r="FY85" s="188"/>
      <c r="FZ85" s="188"/>
      <c r="GA85" s="188"/>
      <c r="GB85" s="188"/>
      <c r="GC85" s="188"/>
      <c r="GD85" s="188"/>
      <c r="GE85" s="188"/>
      <c r="GF85" s="188"/>
      <c r="GG85" s="188"/>
      <c r="GH85" s="188"/>
      <c r="GI85" s="188"/>
      <c r="GJ85" s="188"/>
      <c r="GK85" s="188"/>
      <c r="GL85" s="188"/>
      <c r="GM85" s="188"/>
      <c r="GN85" s="188"/>
      <c r="GO85" s="188"/>
      <c r="GP85" s="188"/>
      <c r="GQ85" s="188"/>
      <c r="GR85" s="188"/>
      <c r="GS85" s="188"/>
      <c r="GT85" s="188"/>
      <c r="GU85" s="188"/>
      <c r="GV85" s="188"/>
      <c r="GW85" s="188"/>
      <c r="GX85" s="188"/>
      <c r="GY85" s="188"/>
      <c r="GZ85" s="188"/>
      <c r="HA85" s="188"/>
      <c r="HB85" s="188"/>
      <c r="HC85" s="188"/>
      <c r="HD85" s="188"/>
      <c r="HE85" s="188"/>
      <c r="HF85" s="188"/>
      <c r="HG85" s="188"/>
      <c r="HH85" s="188"/>
      <c r="HI85" s="188"/>
      <c r="HJ85" s="188"/>
      <c r="HK85" s="188"/>
      <c r="HL85" s="188"/>
      <c r="HM85" s="188"/>
      <c r="HN85" s="188"/>
      <c r="HO85" s="188"/>
      <c r="HP85" s="188"/>
      <c r="HQ85" s="188"/>
      <c r="HR85" s="188"/>
      <c r="HS85" s="188"/>
      <c r="HT85" s="188"/>
      <c r="HU85" s="188"/>
      <c r="HV85" s="188"/>
      <c r="HW85" s="188"/>
      <c r="HX85" s="188"/>
      <c r="HY85" s="188"/>
      <c r="HZ85" s="188"/>
      <c r="IA85" s="188"/>
      <c r="IB85" s="188"/>
      <c r="IC85" s="188"/>
      <c r="ID85" s="188"/>
      <c r="IE85" s="188"/>
      <c r="IF85" s="188"/>
      <c r="IG85" s="188"/>
      <c r="IH85" s="188"/>
      <c r="II85" s="188"/>
      <c r="IJ85" s="188"/>
      <c r="IK85" s="188"/>
      <c r="IL85" s="188"/>
      <c r="IM85" s="188"/>
      <c r="IN85" s="188"/>
      <c r="IO85" s="188"/>
      <c r="IP85" s="188"/>
      <c r="IQ85" s="188"/>
      <c r="IR85" s="188"/>
      <c r="IS85" s="188"/>
      <c r="IT85" s="188"/>
      <c r="IU85" s="188"/>
      <c r="IV85" s="188"/>
    </row>
    <row r="86" spans="1:256" ht="42" customHeight="1" x14ac:dyDescent="0.25">
      <c r="A86" s="522" t="s">
        <v>215</v>
      </c>
      <c r="B86" s="522"/>
      <c r="C86" s="522"/>
      <c r="D86" s="522"/>
      <c r="E86" s="522"/>
      <c r="F86" s="522"/>
      <c r="G86" s="522"/>
      <c r="H86" s="522"/>
      <c r="I86" s="522"/>
      <c r="J86" s="522"/>
      <c r="K86" s="522"/>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7"/>
      <c r="B87" s="187" t="s">
        <v>202</v>
      </c>
      <c r="C87" s="284" t="s">
        <v>216</v>
      </c>
      <c r="D87" s="187"/>
      <c r="E87" s="187"/>
      <c r="F87" s="19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t="s">
        <v>217</v>
      </c>
      <c r="B88" s="183">
        <v>107.8</v>
      </c>
      <c r="C88" s="190">
        <f>B88/100</f>
        <v>1.0780000000000001</v>
      </c>
      <c r="D88" s="190"/>
      <c r="E88" s="190"/>
      <c r="F88" s="190"/>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x14ac:dyDescent="0.25">
      <c r="A89" s="183" t="s">
        <v>317</v>
      </c>
      <c r="B89" s="183">
        <v>105.3</v>
      </c>
      <c r="C89" s="190">
        <f>B89/100</f>
        <v>1.0529999999999999</v>
      </c>
      <c r="D89" s="190"/>
      <c r="E89" s="190"/>
      <c r="F89" s="183"/>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x14ac:dyDescent="0.25">
      <c r="A90" s="183"/>
      <c r="B90" s="183"/>
      <c r="C90" s="190"/>
      <c r="D90" s="190"/>
      <c r="E90" s="190"/>
      <c r="F90" s="183"/>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c r="HA90" s="125"/>
      <c r="HB90" s="125"/>
      <c r="HC90" s="125"/>
      <c r="HD90" s="125"/>
      <c r="HE90" s="125"/>
      <c r="HF90" s="125"/>
      <c r="HG90" s="125"/>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c r="IG90" s="125"/>
      <c r="IH90" s="125"/>
      <c r="II90" s="125"/>
      <c r="IJ90" s="125"/>
      <c r="IK90" s="125"/>
      <c r="IL90" s="125"/>
      <c r="IM90" s="125"/>
      <c r="IN90" s="125"/>
      <c r="IO90" s="125"/>
      <c r="IP90" s="125"/>
      <c r="IQ90" s="125"/>
      <c r="IR90" s="125"/>
      <c r="IS90" s="125"/>
      <c r="IT90" s="125"/>
      <c r="IU90" s="125"/>
      <c r="IV90" s="125"/>
    </row>
    <row r="91" spans="1:256" ht="30.75" customHeight="1" x14ac:dyDescent="0.25">
      <c r="A91" s="153" t="s">
        <v>318</v>
      </c>
      <c r="B91" s="153"/>
      <c r="C91" s="153"/>
      <c r="D91" s="190"/>
      <c r="E91" s="190"/>
      <c r="F91" s="183"/>
      <c r="G91" s="171"/>
      <c r="H91" s="171"/>
      <c r="I91" s="171"/>
      <c r="J91" s="171"/>
      <c r="K91" s="171"/>
      <c r="L91" s="171"/>
      <c r="M91" s="125"/>
    </row>
    <row r="92" spans="1:256" x14ac:dyDescent="0.25">
      <c r="A92" s="180"/>
      <c r="B92" s="180"/>
      <c r="C92" s="193"/>
      <c r="D92" s="180"/>
      <c r="E92" s="190"/>
      <c r="F92" s="285"/>
      <c r="M92" s="125"/>
    </row>
    <row r="93" spans="1:256" ht="15" customHeight="1" x14ac:dyDescent="0.25">
      <c r="A93" s="180" t="s">
        <v>319</v>
      </c>
      <c r="B93" s="286" t="s">
        <v>320</v>
      </c>
      <c r="C93" s="193" t="s">
        <v>218</v>
      </c>
      <c r="D93" s="180">
        <f>ROUND(POWER(C88,1/12),4)</f>
        <v>1.0063</v>
      </c>
      <c r="E93" s="153"/>
      <c r="F93" s="285"/>
      <c r="G93" s="171"/>
      <c r="H93" s="171"/>
      <c r="I93" s="171"/>
      <c r="J93" s="171"/>
      <c r="K93" s="171"/>
      <c r="L93" s="171"/>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18" x14ac:dyDescent="0.25">
      <c r="A94" s="180" t="s">
        <v>321</v>
      </c>
      <c r="B94" s="286" t="s">
        <v>322</v>
      </c>
      <c r="C94" s="193" t="s">
        <v>218</v>
      </c>
      <c r="D94" s="180">
        <f>ROUND(POWER(C89,1/12),4)</f>
        <v>1.0043</v>
      </c>
      <c r="E94" s="153"/>
      <c r="F94" s="64"/>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ht="18.75" customHeight="1" x14ac:dyDescent="0.25">
      <c r="A95" s="180"/>
      <c r="B95" s="286"/>
      <c r="C95" s="193"/>
      <c r="D95" s="180"/>
      <c r="E95" s="190"/>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x14ac:dyDescent="0.25">
      <c r="A96" s="183" t="s">
        <v>323</v>
      </c>
      <c r="B96" s="183"/>
      <c r="C96" s="183"/>
      <c r="D96" s="183"/>
      <c r="E96" s="183"/>
      <c r="F96" s="183"/>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x14ac:dyDescent="0.25">
      <c r="A97" s="183" t="s">
        <v>324</v>
      </c>
      <c r="B97" s="183"/>
      <c r="C97" s="183"/>
      <c r="D97" s="183"/>
      <c r="E97" s="183"/>
      <c r="F97" s="183"/>
      <c r="G97" s="125"/>
      <c r="H97" s="171"/>
      <c r="I97" s="171"/>
      <c r="J97" s="171"/>
      <c r="K97" s="171"/>
      <c r="L97" s="171"/>
      <c r="M97" s="171"/>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20.25" customHeight="1" x14ac:dyDescent="0.25">
      <c r="A98" s="194" t="s">
        <v>325</v>
      </c>
      <c r="B98" s="195"/>
      <c r="C98" s="195"/>
      <c r="D98" s="195"/>
      <c r="E98" s="183"/>
      <c r="F98" s="6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31.5" customHeight="1" x14ac:dyDescent="0.25">
      <c r="A99" s="524" t="s">
        <v>409</v>
      </c>
      <c r="B99" s="524"/>
      <c r="C99" s="524"/>
      <c r="D99" s="524"/>
      <c r="E99" s="304">
        <f>ROUND(POWER(D93,2),4)</f>
        <v>1.0125999999999999</v>
      </c>
      <c r="F99" s="64"/>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ht="36" customHeight="1" x14ac:dyDescent="0.25">
      <c r="A100" s="524" t="s">
        <v>326</v>
      </c>
      <c r="B100" s="524"/>
      <c r="C100" s="524"/>
      <c r="D100" s="524"/>
      <c r="E100" s="288"/>
      <c r="F100" s="64"/>
      <c r="H100" s="196"/>
      <c r="I100" s="196"/>
      <c r="J100" s="196"/>
      <c r="K100" s="196"/>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ht="15" customHeight="1" x14ac:dyDescent="0.25">
      <c r="A101" s="525" t="s">
        <v>410</v>
      </c>
      <c r="B101" s="525"/>
      <c r="C101" s="525"/>
      <c r="D101" s="525"/>
      <c r="E101" s="289">
        <f>(E99-1)/2+1</f>
        <v>1.0063</v>
      </c>
      <c r="F101" s="29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x14ac:dyDescent="0.25">
      <c r="A102" s="287"/>
      <c r="B102" s="287"/>
      <c r="C102" s="287"/>
      <c r="D102" s="287"/>
      <c r="E102" s="291"/>
      <c r="F102" s="290"/>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ht="15.75" customHeight="1" x14ac:dyDescent="0.25">
      <c r="A103" s="178" t="s">
        <v>327</v>
      </c>
      <c r="B103" s="183"/>
      <c r="C103" s="292"/>
      <c r="D103" s="293"/>
      <c r="E103" s="183"/>
      <c r="F103" s="153"/>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ht="55.5" customHeight="1" x14ac:dyDescent="0.25">
      <c r="A104" s="526" t="s">
        <v>414</v>
      </c>
      <c r="B104" s="526"/>
      <c r="C104" s="526"/>
      <c r="D104" s="526"/>
      <c r="E104" s="526"/>
      <c r="F104" s="526"/>
      <c r="G104" s="526"/>
      <c r="H104" s="526"/>
      <c r="I104" s="526"/>
      <c r="J104" s="526"/>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x14ac:dyDescent="0.25">
      <c r="A105" s="64"/>
      <c r="B105" s="125"/>
      <c r="C105" s="64"/>
      <c r="D105" s="64"/>
      <c r="E105" s="64"/>
      <c r="F105" s="125"/>
      <c r="G105" s="200"/>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ht="15.75" customHeight="1" x14ac:dyDescent="0.25">
      <c r="A106" s="178" t="s">
        <v>328</v>
      </c>
      <c r="B106" s="294" t="s">
        <v>420</v>
      </c>
      <c r="C106" s="125"/>
      <c r="D106" s="292" t="s">
        <v>218</v>
      </c>
      <c r="E106" s="295">
        <f>ROUND(E99*(POWER(D94,1)+POWER(D94,4))/2,4)</f>
        <v>1.0235000000000001</v>
      </c>
      <c r="F106" s="296"/>
      <c r="G106" s="200"/>
      <c r="L106" s="131"/>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x14ac:dyDescent="0.25">
      <c r="A107" s="178"/>
      <c r="B107" s="294"/>
      <c r="C107" s="125"/>
      <c r="D107" s="292"/>
      <c r="E107" s="295"/>
      <c r="F107" s="296"/>
      <c r="G107" s="200"/>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c r="EO107" s="125"/>
      <c r="EP107" s="125"/>
      <c r="EQ107" s="125"/>
      <c r="ER107" s="125"/>
      <c r="ES107" s="125"/>
      <c r="ET107" s="125"/>
      <c r="EU107" s="125"/>
      <c r="EV107" s="125"/>
      <c r="EW107" s="125"/>
      <c r="EX107" s="125"/>
      <c r="EY107" s="125"/>
      <c r="EZ107" s="125"/>
      <c r="FA107" s="125"/>
      <c r="FB107" s="125"/>
      <c r="FC107" s="125"/>
      <c r="FD107" s="125"/>
      <c r="FE107" s="125"/>
      <c r="FF107" s="125"/>
      <c r="FG107" s="125"/>
      <c r="FH107" s="125"/>
      <c r="FI107" s="125"/>
      <c r="FJ107" s="125"/>
      <c r="FK107" s="125"/>
      <c r="FL107" s="125"/>
      <c r="FM107" s="125"/>
      <c r="FN107" s="125"/>
      <c r="FO107" s="125"/>
      <c r="FP107" s="125"/>
      <c r="FQ107" s="125"/>
      <c r="FR107" s="125"/>
      <c r="FS107" s="125"/>
      <c r="FT107" s="125"/>
      <c r="FU107" s="125"/>
      <c r="FV107" s="125"/>
      <c r="FW107" s="125"/>
      <c r="FX107" s="125"/>
      <c r="FY107" s="125"/>
      <c r="FZ107" s="125"/>
      <c r="GA107" s="125"/>
      <c r="GB107" s="125"/>
      <c r="GC107" s="125"/>
      <c r="GD107" s="125"/>
      <c r="GE107" s="125"/>
      <c r="GF107" s="125"/>
      <c r="GG107" s="125"/>
      <c r="GH107" s="125"/>
      <c r="GI107" s="125"/>
      <c r="GJ107" s="125"/>
      <c r="GK107" s="125"/>
      <c r="GL107" s="125"/>
      <c r="GM107" s="125"/>
      <c r="GN107" s="125"/>
      <c r="GO107" s="125"/>
      <c r="GP107" s="125"/>
      <c r="GQ107" s="125"/>
      <c r="GR107" s="125"/>
      <c r="GS107" s="125"/>
      <c r="GT107" s="125"/>
      <c r="GU107" s="125"/>
      <c r="GV107" s="125"/>
      <c r="GW107" s="125"/>
      <c r="GX107" s="125"/>
      <c r="GY107" s="125"/>
      <c r="GZ107" s="125"/>
      <c r="HA107" s="125"/>
      <c r="HB107" s="125"/>
      <c r="HC107" s="125"/>
      <c r="HD107" s="125"/>
      <c r="HE107" s="125"/>
      <c r="HF107" s="125"/>
      <c r="HG107" s="125"/>
      <c r="HH107" s="125"/>
      <c r="HI107" s="125"/>
      <c r="HJ107" s="125"/>
      <c r="HK107" s="125"/>
      <c r="HL107" s="125"/>
      <c r="HM107" s="125"/>
      <c r="HN107" s="125"/>
      <c r="HO107" s="125"/>
      <c r="HP107" s="125"/>
      <c r="HQ107" s="125"/>
      <c r="HR107" s="125"/>
      <c r="HS107" s="125"/>
      <c r="HT107" s="125"/>
      <c r="HU107" s="125"/>
      <c r="HV107" s="125"/>
      <c r="HW107" s="125"/>
      <c r="HX107" s="125"/>
      <c r="HY107" s="125"/>
      <c r="HZ107" s="125"/>
      <c r="IA107" s="125"/>
      <c r="IB107" s="125"/>
      <c r="IC107" s="125"/>
      <c r="ID107" s="125"/>
      <c r="IE107" s="125"/>
      <c r="IF107" s="125"/>
      <c r="IG107" s="125"/>
      <c r="IH107" s="125"/>
      <c r="II107" s="125"/>
      <c r="IJ107" s="125"/>
      <c r="IK107" s="125"/>
      <c r="IL107" s="125"/>
      <c r="IM107" s="125"/>
      <c r="IN107" s="125"/>
      <c r="IO107" s="125"/>
      <c r="IP107" s="125"/>
      <c r="IQ107" s="125"/>
      <c r="IR107" s="125"/>
      <c r="IS107" s="125"/>
      <c r="IT107" s="125"/>
      <c r="IU107" s="125"/>
      <c r="IV107" s="125"/>
    </row>
    <row r="108" spans="1:256" ht="9.75" customHeight="1" x14ac:dyDescent="0.25">
      <c r="A108" s="178"/>
      <c r="B108" s="183"/>
      <c r="C108" s="292"/>
      <c r="D108" s="183"/>
      <c r="E108" s="183"/>
      <c r="F108" s="297"/>
    </row>
    <row r="109" spans="1:256" ht="36" customHeight="1" x14ac:dyDescent="0.25">
      <c r="A109" s="524" t="s">
        <v>329</v>
      </c>
      <c r="B109" s="524"/>
      <c r="C109" s="524"/>
      <c r="D109" s="524"/>
      <c r="E109" s="524"/>
      <c r="F109" s="524"/>
    </row>
    <row r="110" spans="1:256" x14ac:dyDescent="0.25">
      <c r="A110" s="183"/>
      <c r="B110" s="125"/>
      <c r="C110" s="125"/>
      <c r="D110" s="125"/>
      <c r="E110" s="125"/>
      <c r="F110" s="297"/>
      <c r="G110" s="125"/>
      <c r="H110" s="125"/>
      <c r="I110" s="125"/>
      <c r="J110" s="125"/>
      <c r="K110" s="125"/>
      <c r="L110" s="125"/>
      <c r="M110" s="125"/>
    </row>
    <row r="111" spans="1:256" x14ac:dyDescent="0.25">
      <c r="A111" s="554" t="s">
        <v>416</v>
      </c>
      <c r="B111" s="554"/>
      <c r="C111" s="554"/>
      <c r="D111" s="554"/>
      <c r="E111" s="295">
        <f>ROUND((E83*E101+E84*E106),4)</f>
        <v>1.0225</v>
      </c>
      <c r="F111" s="297"/>
    </row>
    <row r="112" spans="1:256" x14ac:dyDescent="0.25">
      <c r="A112" s="364"/>
      <c r="B112" s="365"/>
      <c r="C112" s="365"/>
      <c r="D112" s="295"/>
      <c r="E112" s="183"/>
      <c r="F112" s="297"/>
    </row>
    <row r="113" spans="1:256" x14ac:dyDescent="0.25">
      <c r="A113" s="364" t="s">
        <v>311</v>
      </c>
      <c r="B113" s="365"/>
      <c r="C113" s="365"/>
      <c r="D113" s="295"/>
      <c r="E113" s="183"/>
      <c r="F113" s="297"/>
    </row>
    <row r="114" spans="1:256" x14ac:dyDescent="0.25">
      <c r="A114" s="366" t="s">
        <v>330</v>
      </c>
      <c r="B114" s="367" t="s">
        <v>417</v>
      </c>
      <c r="C114" s="365"/>
      <c r="D114" s="295"/>
      <c r="E114" s="183"/>
      <c r="F114" s="297"/>
    </row>
    <row r="115" spans="1:256" x14ac:dyDescent="0.25">
      <c r="A115" s="366" t="s">
        <v>331</v>
      </c>
      <c r="B115" s="367" t="s">
        <v>415</v>
      </c>
      <c r="C115" s="365"/>
      <c r="D115" s="295"/>
      <c r="E115" s="183"/>
      <c r="F115" s="297"/>
      <c r="J115" s="375"/>
    </row>
    <row r="116" spans="1:256" x14ac:dyDescent="0.25">
      <c r="A116" s="366" t="s">
        <v>198</v>
      </c>
      <c r="B116" s="368" t="s">
        <v>379</v>
      </c>
      <c r="C116" s="365"/>
      <c r="D116" s="295"/>
      <c r="E116" s="183"/>
      <c r="F116" s="297"/>
      <c r="J116" s="37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25"/>
      <c r="DG116" s="125"/>
      <c r="DH116" s="125"/>
      <c r="DI116" s="125"/>
      <c r="DJ116" s="125"/>
      <c r="DK116" s="125"/>
      <c r="DL116" s="125"/>
      <c r="DM116" s="125"/>
      <c r="DN116" s="125"/>
      <c r="DO116" s="125"/>
      <c r="DP116" s="125"/>
      <c r="DQ116" s="125"/>
      <c r="DR116" s="125"/>
      <c r="DS116" s="125"/>
      <c r="DT116" s="125"/>
      <c r="DU116" s="125"/>
      <c r="DV116" s="125"/>
      <c r="DW116" s="125"/>
      <c r="DX116" s="125"/>
      <c r="DY116" s="125"/>
      <c r="DZ116" s="125"/>
      <c r="EA116" s="125"/>
      <c r="EB116" s="125"/>
      <c r="EC116" s="125"/>
      <c r="ED116" s="125"/>
      <c r="EE116" s="125"/>
      <c r="EF116" s="125"/>
      <c r="EG116" s="125"/>
      <c r="EH116" s="125"/>
      <c r="EI116" s="125"/>
      <c r="EJ116" s="125"/>
      <c r="EK116" s="125"/>
      <c r="EL116" s="125"/>
      <c r="EM116" s="125"/>
      <c r="EN116" s="125"/>
      <c r="EO116" s="125"/>
      <c r="EP116" s="125"/>
      <c r="EQ116" s="125"/>
      <c r="ER116" s="125"/>
      <c r="ES116" s="125"/>
      <c r="ET116" s="125"/>
      <c r="EU116" s="125"/>
      <c r="EV116" s="125"/>
      <c r="EW116" s="125"/>
      <c r="EX116" s="125"/>
      <c r="EY116" s="125"/>
      <c r="EZ116" s="125"/>
      <c r="FA116" s="125"/>
      <c r="FB116" s="125"/>
      <c r="FC116" s="125"/>
      <c r="FD116" s="125"/>
      <c r="FE116" s="125"/>
      <c r="FF116" s="125"/>
      <c r="FG116" s="125"/>
      <c r="FH116" s="125"/>
      <c r="FI116" s="125"/>
      <c r="FJ116" s="125"/>
      <c r="FK116" s="125"/>
      <c r="FL116" s="125"/>
      <c r="FM116" s="125"/>
      <c r="FN116" s="125"/>
      <c r="FO116" s="125"/>
      <c r="FP116" s="125"/>
      <c r="FQ116" s="125"/>
      <c r="FR116" s="125"/>
      <c r="FS116" s="125"/>
      <c r="FT116" s="125"/>
      <c r="FU116" s="125"/>
      <c r="FV116" s="125"/>
      <c r="FW116" s="125"/>
      <c r="FX116" s="125"/>
      <c r="FY116" s="125"/>
      <c r="FZ116" s="125"/>
      <c r="GA116" s="125"/>
      <c r="GB116" s="125"/>
      <c r="GC116" s="125"/>
      <c r="GD116" s="125"/>
      <c r="GE116" s="125"/>
      <c r="GF116" s="125"/>
      <c r="GG116" s="125"/>
      <c r="GH116" s="125"/>
      <c r="GI116" s="125"/>
      <c r="GJ116" s="125"/>
      <c r="GK116" s="125"/>
      <c r="GL116" s="125"/>
      <c r="GM116" s="125"/>
      <c r="GN116" s="125"/>
      <c r="GO116" s="125"/>
      <c r="GP116" s="125"/>
      <c r="GQ116" s="125"/>
      <c r="GR116" s="125"/>
      <c r="GS116" s="125"/>
      <c r="GT116" s="125"/>
      <c r="GU116" s="125"/>
      <c r="GV116" s="125"/>
      <c r="GW116" s="125"/>
      <c r="GX116" s="125"/>
      <c r="GY116" s="125"/>
      <c r="GZ116" s="125"/>
      <c r="HA116" s="125"/>
      <c r="HB116" s="125"/>
      <c r="HC116" s="125"/>
      <c r="HD116" s="125"/>
      <c r="HE116" s="125"/>
      <c r="HF116" s="125"/>
      <c r="HG116" s="125"/>
      <c r="HH116" s="125"/>
      <c r="HI116" s="125"/>
      <c r="HJ116" s="125"/>
      <c r="HK116" s="125"/>
      <c r="HL116" s="125"/>
      <c r="HM116" s="125"/>
      <c r="HN116" s="125"/>
      <c r="HO116" s="125"/>
      <c r="HP116" s="125"/>
      <c r="HQ116" s="125"/>
      <c r="HR116" s="125"/>
      <c r="HS116" s="125"/>
      <c r="HT116" s="125"/>
      <c r="HU116" s="125"/>
      <c r="HV116" s="125"/>
      <c r="HW116" s="125"/>
      <c r="HX116" s="125"/>
      <c r="HY116" s="125"/>
      <c r="HZ116" s="125"/>
      <c r="IA116" s="125"/>
      <c r="IB116" s="125"/>
      <c r="IC116" s="125"/>
      <c r="ID116" s="125"/>
      <c r="IE116" s="125"/>
      <c r="IF116" s="125"/>
      <c r="IG116" s="125"/>
      <c r="IH116" s="125"/>
      <c r="II116" s="125"/>
      <c r="IJ116" s="125"/>
      <c r="IK116" s="125"/>
      <c r="IL116" s="125"/>
      <c r="IM116" s="125"/>
      <c r="IN116" s="125"/>
      <c r="IO116" s="125"/>
      <c r="IP116" s="125"/>
      <c r="IQ116" s="125"/>
      <c r="IR116" s="125"/>
      <c r="IS116" s="125"/>
      <c r="IT116" s="125"/>
      <c r="IU116" s="125"/>
      <c r="IV116" s="125"/>
    </row>
    <row r="117" spans="1:256" x14ac:dyDescent="0.25">
      <c r="A117" s="183" t="s">
        <v>199</v>
      </c>
      <c r="B117" s="181" t="s">
        <v>282</v>
      </c>
      <c r="C117" s="299"/>
      <c r="D117" s="295"/>
      <c r="E117" s="183"/>
      <c r="F117" s="297"/>
    </row>
    <row r="118" spans="1:256" x14ac:dyDescent="0.25">
      <c r="A118" s="183"/>
      <c r="B118" s="181"/>
      <c r="C118" s="299"/>
      <c r="D118" s="295"/>
      <c r="E118" s="183"/>
      <c r="F118" s="297"/>
    </row>
    <row r="119" spans="1:256" x14ac:dyDescent="0.25">
      <c r="A119" s="178" t="s">
        <v>332</v>
      </c>
      <c r="B119" s="181"/>
      <c r="C119" s="299"/>
      <c r="D119" s="295"/>
      <c r="E119" s="183"/>
      <c r="F119" s="297"/>
    </row>
    <row r="120" spans="1:256" x14ac:dyDescent="0.25">
      <c r="A120" s="178"/>
      <c r="B120" s="181"/>
      <c r="C120" s="299"/>
      <c r="D120" s="295"/>
      <c r="E120" s="183"/>
      <c r="F120" s="297"/>
    </row>
    <row r="121" spans="1:256" ht="53.25" customHeight="1" x14ac:dyDescent="0.25">
      <c r="A121" s="522" t="s">
        <v>418</v>
      </c>
      <c r="B121" s="522"/>
      <c r="C121" s="522"/>
      <c r="D121" s="522"/>
      <c r="E121" s="522"/>
      <c r="F121" s="522"/>
      <c r="G121" s="522"/>
      <c r="H121" s="522"/>
      <c r="I121" s="522"/>
      <c r="J121" s="522"/>
      <c r="K121" s="522"/>
    </row>
    <row r="122" spans="1:256" x14ac:dyDescent="0.25">
      <c r="A122" s="301" t="s">
        <v>333</v>
      </c>
      <c r="B122" s="301" t="s">
        <v>419</v>
      </c>
      <c r="C122" s="302">
        <f>ROUND((D93+POWER(D93,2))/2,4)</f>
        <v>1.0095000000000001</v>
      </c>
      <c r="D122" s="287"/>
      <c r="E122" s="287"/>
      <c r="F122" s="287"/>
    </row>
    <row r="123" spans="1:256" x14ac:dyDescent="0.25">
      <c r="A123" s="178"/>
      <c r="B123" s="293"/>
      <c r="C123" s="293"/>
      <c r="D123" s="295"/>
      <c r="E123" s="183"/>
      <c r="F123" s="297"/>
    </row>
    <row r="124" spans="1:256" ht="38.25" customHeight="1" x14ac:dyDescent="0.25">
      <c r="A124" s="522" t="s">
        <v>402</v>
      </c>
      <c r="B124" s="522"/>
      <c r="C124" s="522"/>
      <c r="D124" s="522"/>
      <c r="E124" s="522"/>
      <c r="F124" s="522"/>
      <c r="G124" s="522"/>
      <c r="H124" s="522"/>
      <c r="I124" s="522"/>
      <c r="J124" s="522"/>
      <c r="K124" s="522"/>
    </row>
    <row r="126" spans="1:256" x14ac:dyDescent="0.25">
      <c r="A126" s="183" t="s">
        <v>227</v>
      </c>
      <c r="B126" s="296"/>
      <c r="C126" s="296"/>
      <c r="D126" s="296"/>
    </row>
    <row r="127" spans="1:256" x14ac:dyDescent="0.25">
      <c r="A127" s="296" t="s">
        <v>349</v>
      </c>
      <c r="B127" s="296" t="s">
        <v>350</v>
      </c>
      <c r="C127" s="296"/>
      <c r="F127" s="296" t="s">
        <v>397</v>
      </c>
    </row>
    <row r="128" spans="1:256" x14ac:dyDescent="0.25">
      <c r="A128" s="125"/>
      <c r="B128" s="296"/>
      <c r="C128" s="296"/>
      <c r="D128" s="296"/>
    </row>
    <row r="129" spans="1:4" x14ac:dyDescent="0.25">
      <c r="A129" s="296"/>
      <c r="B129" s="296"/>
      <c r="C129" s="296"/>
      <c r="D129" s="296"/>
    </row>
    <row r="130" spans="1:4" x14ac:dyDescent="0.25">
      <c r="A130" s="296"/>
      <c r="B130" s="296"/>
      <c r="C130" s="296"/>
      <c r="D130" s="296"/>
    </row>
    <row r="131" spans="1:4" ht="15.75" x14ac:dyDescent="0.25">
      <c r="A131" s="523"/>
      <c r="B131" s="523"/>
      <c r="C131" s="315"/>
      <c r="D131" s="316"/>
    </row>
  </sheetData>
  <mergeCells count="43">
    <mergeCell ref="A7:F7"/>
    <mergeCell ref="D1:F1"/>
    <mergeCell ref="J1:K1"/>
    <mergeCell ref="A3:K3"/>
    <mergeCell ref="A4:K4"/>
    <mergeCell ref="A6:F6"/>
    <mergeCell ref="A9:F9"/>
    <mergeCell ref="A10:F10"/>
    <mergeCell ref="A11:F11"/>
    <mergeCell ref="A12:K12"/>
    <mergeCell ref="A13:F13"/>
    <mergeCell ref="G15:H15"/>
    <mergeCell ref="I15:I16"/>
    <mergeCell ref="J15:K15"/>
    <mergeCell ref="A41:F41"/>
    <mergeCell ref="D62:F62"/>
    <mergeCell ref="A43:C43"/>
    <mergeCell ref="B49:C49"/>
    <mergeCell ref="A53:K53"/>
    <mergeCell ref="D60:E60"/>
    <mergeCell ref="A42:F42"/>
    <mergeCell ref="A15:A16"/>
    <mergeCell ref="B15:B16"/>
    <mergeCell ref="C15:C16"/>
    <mergeCell ref="D15:D16"/>
    <mergeCell ref="E15:E16"/>
    <mergeCell ref="F15:F16"/>
    <mergeCell ref="D69:F69"/>
    <mergeCell ref="D70:F70"/>
    <mergeCell ref="A76:E76"/>
    <mergeCell ref="A79:E79"/>
    <mergeCell ref="D68:F68"/>
    <mergeCell ref="A86:K86"/>
    <mergeCell ref="A124:K124"/>
    <mergeCell ref="A131:B131"/>
    <mergeCell ref="D71:F71"/>
    <mergeCell ref="A100:D100"/>
    <mergeCell ref="A101:D101"/>
    <mergeCell ref="A104:J104"/>
    <mergeCell ref="A109:F109"/>
    <mergeCell ref="A111:D111"/>
    <mergeCell ref="A121:K121"/>
    <mergeCell ref="A99:D99"/>
  </mergeCells>
  <pageMargins left="0.7" right="0.7" top="0.75" bottom="0.75" header="0.3" footer="0.3"/>
  <pageSetup paperSize="9" scale="47" fitToHeight="0" orientation="portrait" r:id="rId1"/>
  <rowBreaks count="1" manualBreakCount="1">
    <brk id="86" max="10" man="1"/>
  </rowBreaks>
  <colBreaks count="1" manualBreakCount="1">
    <brk id="11" max="8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6" sqref="C6"/>
    </sheetView>
  </sheetViews>
  <sheetFormatPr defaultRowHeight="12.75" x14ac:dyDescent="0.2"/>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131"/>
  <sheetViews>
    <sheetView view="pageBreakPreview" topLeftCell="A28" zoomScaleNormal="100" zoomScaleSheetLayoutView="100" workbookViewId="0">
      <selection activeCell="J55" sqref="J55"/>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15.75" x14ac:dyDescent="0.25">
      <c r="B1" s="123"/>
      <c r="C1" s="123"/>
      <c r="D1" s="545"/>
      <c r="E1" s="545"/>
      <c r="F1" s="545"/>
      <c r="G1" s="124"/>
      <c r="J1" s="562" t="s">
        <v>403</v>
      </c>
      <c r="K1" s="562"/>
    </row>
    <row r="2" spans="1:256" ht="9" customHeight="1" x14ac:dyDescent="0.25">
      <c r="A2" s="124"/>
      <c r="B2" s="124"/>
      <c r="C2" s="124"/>
      <c r="D2" s="124"/>
      <c r="E2" s="124"/>
      <c r="F2" s="124"/>
    </row>
    <row r="3" spans="1:256" ht="15.75" x14ac:dyDescent="0.25">
      <c r="A3" s="546" t="s">
        <v>177</v>
      </c>
      <c r="B3" s="546"/>
      <c r="C3" s="546"/>
      <c r="D3" s="546"/>
      <c r="E3" s="546"/>
      <c r="F3" s="546"/>
      <c r="G3" s="546"/>
      <c r="H3" s="546"/>
      <c r="I3" s="546"/>
      <c r="J3" s="546"/>
      <c r="K3" s="546"/>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547"/>
      <c r="H4" s="547"/>
      <c r="I4" s="547"/>
      <c r="J4" s="547"/>
      <c r="K4" s="547"/>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60" t="s">
        <v>401</v>
      </c>
      <c r="B10" s="561"/>
      <c r="C10" s="561"/>
      <c r="D10" s="561"/>
      <c r="E10" s="561"/>
      <c r="F10" s="561"/>
    </row>
    <row r="11" spans="1:256" ht="15.75" x14ac:dyDescent="0.25">
      <c r="A11" s="558" t="s">
        <v>400</v>
      </c>
      <c r="B11" s="558"/>
      <c r="C11" s="558"/>
      <c r="D11" s="558"/>
      <c r="E11" s="558"/>
      <c r="F11" s="558"/>
    </row>
    <row r="12" spans="1:256" ht="15.75" x14ac:dyDescent="0.25">
      <c r="A12" s="559" t="s">
        <v>399</v>
      </c>
      <c r="B12" s="559"/>
      <c r="C12" s="559"/>
      <c r="D12" s="559"/>
      <c r="E12" s="559"/>
      <c r="F12" s="559"/>
      <c r="G12" s="559"/>
      <c r="H12" s="559"/>
      <c r="I12" s="559"/>
      <c r="J12" s="559"/>
      <c r="K12" s="559"/>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3.5" customHeight="1" x14ac:dyDescent="0.25">
      <c r="A13" s="540" t="s">
        <v>404</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412</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79"/>
      <c r="J17" s="133">
        <v>7</v>
      </c>
      <c r="K17" s="133">
        <v>8</v>
      </c>
      <c r="L17" s="372">
        <f>256640*1.0471*1.0225</f>
        <v>274774.12</v>
      </c>
      <c r="M17" s="125">
        <v>277530.37</v>
      </c>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272" t="s">
        <v>377</v>
      </c>
      <c r="B18" s="133"/>
      <c r="C18" s="133"/>
      <c r="D18" s="133"/>
      <c r="E18" s="133"/>
      <c r="F18" s="133"/>
      <c r="G18" s="133"/>
      <c r="H18" s="133"/>
      <c r="I18" s="359"/>
      <c r="J18" s="133"/>
      <c r="K18" s="133"/>
      <c r="L18" s="125"/>
      <c r="M18" s="125">
        <v>183.6</v>
      </c>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ht="15.75" x14ac:dyDescent="0.25">
      <c r="A19" s="308" t="s">
        <v>190</v>
      </c>
      <c r="B19" s="135">
        <f>(28516.77*1000-B29)</f>
        <v>12856660</v>
      </c>
      <c r="C19" s="134">
        <f>F76</f>
        <v>1.0470999999999999</v>
      </c>
      <c r="D19" s="135">
        <f>B19*C19</f>
        <v>13462208.689999999</v>
      </c>
      <c r="E19" s="134">
        <f>E111</f>
        <v>1.0225</v>
      </c>
      <c r="F19" s="135">
        <f>D19*E19</f>
        <v>13765108.390000001</v>
      </c>
      <c r="G19" s="136"/>
      <c r="H19" s="136"/>
      <c r="I19" s="283"/>
      <c r="J19" s="135">
        <v>274774</v>
      </c>
      <c r="K19" s="135">
        <f>F19-J19</f>
        <v>13490334.390000001</v>
      </c>
      <c r="L19" s="137"/>
      <c r="M19" s="137"/>
      <c r="N19" s="137"/>
      <c r="O19" s="137"/>
      <c r="P19" s="138"/>
    </row>
    <row r="20" spans="1:256" ht="15.75" x14ac:dyDescent="0.25">
      <c r="A20" s="308" t="s">
        <v>308</v>
      </c>
      <c r="B20" s="135">
        <f>258.26*1000</f>
        <v>258260</v>
      </c>
      <c r="C20" s="134">
        <f>F76</f>
        <v>1.0470999999999999</v>
      </c>
      <c r="D20" s="135">
        <f>B20*C20</f>
        <v>270424.05</v>
      </c>
      <c r="E20" s="134">
        <f>E19</f>
        <v>1.0225</v>
      </c>
      <c r="F20" s="135">
        <f>D20*E20</f>
        <v>276508.59000000003</v>
      </c>
      <c r="G20" s="136"/>
      <c r="H20" s="136"/>
      <c r="I20" s="283"/>
      <c r="J20" s="135">
        <v>0</v>
      </c>
      <c r="K20" s="135">
        <f>F20</f>
        <v>276508.59000000003</v>
      </c>
      <c r="L20" s="137">
        <v>277.52999999999997</v>
      </c>
      <c r="M20" s="137"/>
      <c r="N20" s="137"/>
      <c r="O20" s="137"/>
      <c r="P20" s="138"/>
    </row>
    <row r="21" spans="1:256" ht="31.5" x14ac:dyDescent="0.25">
      <c r="A21" s="309" t="s">
        <v>312</v>
      </c>
      <c r="B21" s="135">
        <v>154260</v>
      </c>
      <c r="C21" s="134">
        <f>F76</f>
        <v>1.0470999999999999</v>
      </c>
      <c r="D21" s="135">
        <f>B21*C21</f>
        <v>161525.65</v>
      </c>
      <c r="E21" s="134">
        <f>E20</f>
        <v>1.0225</v>
      </c>
      <c r="F21" s="135">
        <f>D21*E21</f>
        <v>165159.98000000001</v>
      </c>
      <c r="G21" s="136"/>
      <c r="H21" s="136"/>
      <c r="I21" s="283"/>
      <c r="J21" s="135">
        <f>ROUND(158693.19*0.012,2)</f>
        <v>1904.32</v>
      </c>
      <c r="K21" s="135">
        <f>F21-J21</f>
        <v>163255.66</v>
      </c>
      <c r="L21" s="140"/>
      <c r="M21" s="137"/>
      <c r="N21" s="137"/>
      <c r="O21" s="137"/>
      <c r="P21" s="138"/>
    </row>
    <row r="22" spans="1:256" ht="15.75" x14ac:dyDescent="0.25">
      <c r="A22" s="308" t="s">
        <v>309</v>
      </c>
      <c r="B22" s="135">
        <f>109.08*1000</f>
        <v>109080</v>
      </c>
      <c r="C22" s="134">
        <f>F76</f>
        <v>1.0470999999999999</v>
      </c>
      <c r="D22" s="135">
        <f>B22*C22</f>
        <v>114217.67</v>
      </c>
      <c r="E22" s="134">
        <f>E21</f>
        <v>1.0225</v>
      </c>
      <c r="F22" s="135">
        <f>D22*E22</f>
        <v>116787.57</v>
      </c>
      <c r="G22" s="136"/>
      <c r="H22" s="136"/>
      <c r="I22" s="283"/>
      <c r="J22" s="135">
        <v>0</v>
      </c>
      <c r="K22" s="135">
        <f>F22</f>
        <v>116787.57</v>
      </c>
      <c r="L22" s="140"/>
      <c r="M22" s="140"/>
      <c r="N22" s="140"/>
      <c r="O22" s="140" t="e">
        <f>F19+#REF!+F20+F21+F22</f>
        <v>#REF!</v>
      </c>
      <c r="P22" s="138"/>
    </row>
    <row r="23" spans="1:256" ht="31.5" x14ac:dyDescent="0.25">
      <c r="A23" s="310" t="s">
        <v>191</v>
      </c>
      <c r="B23" s="135">
        <f>ROUND((B19+B20+B21+B22)*0.02,2)</f>
        <v>267565.2</v>
      </c>
      <c r="C23" s="134">
        <f>F76</f>
        <v>1.0470999999999999</v>
      </c>
      <c r="D23" s="135">
        <f>B23*C23</f>
        <v>280167.52</v>
      </c>
      <c r="E23" s="134">
        <f>E20</f>
        <v>1.0225</v>
      </c>
      <c r="F23" s="135">
        <f>D23*E23</f>
        <v>286471.28999999998</v>
      </c>
      <c r="G23" s="136"/>
      <c r="H23" s="136"/>
      <c r="I23" s="283"/>
      <c r="J23" s="135">
        <f>(J19+J21)*0.02</f>
        <v>5533.57</v>
      </c>
      <c r="K23" s="135">
        <f>F23-J23</f>
        <v>280937.71999999997</v>
      </c>
      <c r="L23" s="140"/>
      <c r="M23" s="140"/>
      <c r="N23" s="140"/>
      <c r="O23" s="137">
        <f>D23*E22</f>
        <v>286471.2892</v>
      </c>
      <c r="P23" s="138"/>
    </row>
    <row r="24" spans="1:256" ht="15.75" x14ac:dyDescent="0.25">
      <c r="A24" s="308" t="s">
        <v>192</v>
      </c>
      <c r="B24" s="135">
        <f>SUM(B19:B23)</f>
        <v>13645825.199999999</v>
      </c>
      <c r="C24" s="134"/>
      <c r="D24" s="135">
        <f>SUM(D19:D23)</f>
        <v>14288543.58</v>
      </c>
      <c r="E24" s="134"/>
      <c r="F24" s="135">
        <f>SUM(F19:F23)</f>
        <v>14610035.82</v>
      </c>
      <c r="G24" s="136"/>
      <c r="H24" s="136"/>
      <c r="I24" s="283"/>
      <c r="J24" s="135">
        <f>J19+J21+J23</f>
        <v>282211.89</v>
      </c>
      <c r="K24" s="135">
        <f>K19+K20+K21+K22+K23</f>
        <v>14327823.93</v>
      </c>
      <c r="L24" s="140"/>
      <c r="M24" s="140"/>
      <c r="N24" s="140"/>
      <c r="O24" s="137"/>
      <c r="P24" s="138"/>
    </row>
    <row r="25" spans="1:256" ht="15.75" x14ac:dyDescent="0.25">
      <c r="A25" s="308" t="s">
        <v>193</v>
      </c>
      <c r="B25" s="135">
        <f>ROUND(B24*0.2,2)</f>
        <v>2729165.04</v>
      </c>
      <c r="C25" s="134"/>
      <c r="D25" s="135">
        <f>ROUND(D24*0.2,2)</f>
        <v>2857708.72</v>
      </c>
      <c r="E25" s="134"/>
      <c r="F25" s="135">
        <f>ROUND(F24*0.2,2)</f>
        <v>2922007.16</v>
      </c>
      <c r="G25" s="136"/>
      <c r="H25" s="136"/>
      <c r="I25" s="283"/>
      <c r="J25" s="135">
        <f>(J24)*0.2</f>
        <v>56442.38</v>
      </c>
      <c r="K25" s="135">
        <f>K24*0.2-0.01</f>
        <v>2865564.78</v>
      </c>
      <c r="L25" s="137"/>
      <c r="M25" s="137"/>
      <c r="N25" s="137"/>
      <c r="O25" s="137"/>
      <c r="P25" s="138"/>
    </row>
    <row r="26" spans="1:256" ht="15.75" x14ac:dyDescent="0.25">
      <c r="A26" s="271" t="s">
        <v>346</v>
      </c>
      <c r="B26" s="275">
        <f>B24+B25</f>
        <v>16374990.24</v>
      </c>
      <c r="C26" s="360"/>
      <c r="D26" s="275">
        <f>D24+D25</f>
        <v>17146252.300000001</v>
      </c>
      <c r="E26" s="360"/>
      <c r="F26" s="275">
        <f>F24+F25</f>
        <v>17532042.98</v>
      </c>
      <c r="G26" s="136"/>
      <c r="H26" s="136"/>
      <c r="I26" s="283"/>
      <c r="J26" s="275">
        <f>J19+J21+J23+J25</f>
        <v>338654.27</v>
      </c>
      <c r="K26" s="275">
        <f>K24+K25</f>
        <v>17193388.710000001</v>
      </c>
      <c r="L26" s="137">
        <f>J26+K26</f>
        <v>17532042.98</v>
      </c>
      <c r="M26" s="137"/>
      <c r="N26" s="137"/>
      <c r="O26" s="137"/>
      <c r="P26" s="138"/>
    </row>
    <row r="27" spans="1:256" ht="15.75" x14ac:dyDescent="0.25">
      <c r="A27" s="272"/>
      <c r="B27" s="135"/>
      <c r="C27" s="134"/>
      <c r="D27" s="135"/>
      <c r="E27" s="134"/>
      <c r="F27" s="135"/>
      <c r="G27" s="136"/>
      <c r="H27" s="136"/>
      <c r="I27" s="283"/>
      <c r="J27" s="135"/>
      <c r="K27" s="135"/>
      <c r="L27" s="137"/>
      <c r="M27" s="137"/>
      <c r="N27" s="137"/>
      <c r="O27" s="137"/>
      <c r="P27" s="138"/>
    </row>
    <row r="28" spans="1:256" ht="15.75" x14ac:dyDescent="0.25">
      <c r="A28" s="272" t="s">
        <v>378</v>
      </c>
      <c r="B28" s="135"/>
      <c r="C28" s="134"/>
      <c r="D28" s="135"/>
      <c r="E28" s="134"/>
      <c r="F28" s="135"/>
      <c r="G28" s="136"/>
      <c r="H28" s="136"/>
      <c r="I28" s="283"/>
      <c r="J28" s="136"/>
      <c r="K28" s="136"/>
      <c r="L28" s="137">
        <f>B26*C25</f>
        <v>0</v>
      </c>
      <c r="M28" s="140">
        <f>J26+J39</f>
        <v>2255609.8199999998</v>
      </c>
      <c r="N28" s="137"/>
      <c r="O28" s="137"/>
      <c r="P28" s="138"/>
    </row>
    <row r="29" spans="1:256" ht="47.25" x14ac:dyDescent="0.25">
      <c r="A29" s="311" t="s">
        <v>339</v>
      </c>
      <c r="B29" s="135">
        <f>15660.11*1000</f>
        <v>15660110</v>
      </c>
      <c r="C29" s="134">
        <f>F79</f>
        <v>1.0072000000000001</v>
      </c>
      <c r="D29" s="135">
        <f>B29*C29</f>
        <v>15772862.789999999</v>
      </c>
      <c r="E29" s="134">
        <f>E111</f>
        <v>1.0225</v>
      </c>
      <c r="F29" s="135">
        <f>D29*E29</f>
        <v>16127752.199999999</v>
      </c>
      <c r="G29" s="136"/>
      <c r="H29" s="136"/>
      <c r="I29" s="283"/>
      <c r="J29" s="135">
        <v>0</v>
      </c>
      <c r="K29" s="135">
        <f t="shared" ref="K29:K34" si="0">F29</f>
        <v>16127752.199999999</v>
      </c>
      <c r="L29" s="140">
        <f>B19+B29</f>
        <v>28516770</v>
      </c>
      <c r="M29" s="137">
        <f>J24*0.2</f>
        <v>56442.377999999997</v>
      </c>
      <c r="N29" s="137"/>
      <c r="O29" s="137"/>
      <c r="P29" s="138"/>
    </row>
    <row r="30" spans="1:256" ht="31.5" x14ac:dyDescent="0.25">
      <c r="A30" s="311" t="s">
        <v>312</v>
      </c>
      <c r="B30" s="135">
        <v>187920</v>
      </c>
      <c r="C30" s="134">
        <f>F79</f>
        <v>1.0072000000000001</v>
      </c>
      <c r="D30" s="135">
        <f>B30*C30</f>
        <v>189273.02</v>
      </c>
      <c r="E30" s="134">
        <f>E29</f>
        <v>1.0225</v>
      </c>
      <c r="F30" s="135">
        <f>D30*E30</f>
        <v>193531.66</v>
      </c>
      <c r="G30" s="136"/>
      <c r="H30" s="136"/>
      <c r="I30" s="283"/>
      <c r="J30" s="135">
        <v>0</v>
      </c>
      <c r="K30" s="135">
        <f t="shared" si="0"/>
        <v>193531.66</v>
      </c>
      <c r="L30" s="137"/>
      <c r="M30" s="137"/>
      <c r="N30" s="137"/>
      <c r="O30" s="137"/>
      <c r="P30" s="138"/>
    </row>
    <row r="31" spans="1:256" ht="31.5" x14ac:dyDescent="0.25">
      <c r="A31" s="312" t="s">
        <v>191</v>
      </c>
      <c r="B31" s="135">
        <f>ROUND((B29+B30)*0.02,2)</f>
        <v>316960.59999999998</v>
      </c>
      <c r="C31" s="134">
        <f>F79</f>
        <v>1.0072000000000001</v>
      </c>
      <c r="D31" s="135">
        <f>B31*C31</f>
        <v>319242.71999999997</v>
      </c>
      <c r="E31" s="134">
        <f>E29</f>
        <v>1.0225</v>
      </c>
      <c r="F31" s="135">
        <f>D31*E31</f>
        <v>326425.68</v>
      </c>
      <c r="G31" s="136"/>
      <c r="H31" s="136"/>
      <c r="I31" s="283"/>
      <c r="J31" s="135">
        <v>0</v>
      </c>
      <c r="K31" s="135">
        <f t="shared" si="0"/>
        <v>326425.68</v>
      </c>
      <c r="L31" s="137"/>
      <c r="M31" s="140">
        <f>B23+B31</f>
        <v>584525.80000000005</v>
      </c>
      <c r="N31" s="137"/>
      <c r="O31" s="137"/>
      <c r="P31" s="138"/>
    </row>
    <row r="32" spans="1:256" ht="15.75" x14ac:dyDescent="0.25">
      <c r="A32" s="313" t="s">
        <v>192</v>
      </c>
      <c r="B32" s="135">
        <f>ROUND(B29+B30+B31,2)</f>
        <v>16164990.6</v>
      </c>
      <c r="C32" s="134"/>
      <c r="D32" s="135">
        <f>ROUND(D29+D30+D31,2)</f>
        <v>16281378.529999999</v>
      </c>
      <c r="E32" s="134"/>
      <c r="F32" s="135">
        <f>ROUND(F29+F30+F31,2)</f>
        <v>16647709.539999999</v>
      </c>
      <c r="G32" s="136"/>
      <c r="H32" s="136"/>
      <c r="I32" s="283"/>
      <c r="J32" s="135">
        <v>0</v>
      </c>
      <c r="K32" s="135">
        <f t="shared" si="0"/>
        <v>16647709.539999999</v>
      </c>
      <c r="L32" s="140">
        <f>D29+D30+D31</f>
        <v>16281378.529999999</v>
      </c>
      <c r="M32" s="137"/>
      <c r="N32" s="137"/>
      <c r="O32" s="137"/>
      <c r="P32" s="138"/>
    </row>
    <row r="33" spans="1:256" ht="15.75" x14ac:dyDescent="0.25">
      <c r="A33" s="313" t="s">
        <v>193</v>
      </c>
      <c r="B33" s="135">
        <f>ROUND(B32*0.2,2)</f>
        <v>3232998.12</v>
      </c>
      <c r="C33" s="134"/>
      <c r="D33" s="135">
        <f>ROUND(D32*0.2,2)</f>
        <v>3256275.71</v>
      </c>
      <c r="E33" s="134"/>
      <c r="F33" s="135">
        <f>ROUND(F32*0.2,2)</f>
        <v>3329541.91</v>
      </c>
      <c r="G33" s="136"/>
      <c r="H33" s="136"/>
      <c r="I33" s="283"/>
      <c r="J33" s="135">
        <v>0</v>
      </c>
      <c r="K33" s="135">
        <f t="shared" si="0"/>
        <v>3329541.91</v>
      </c>
      <c r="L33" s="140">
        <f>L32*0.2</f>
        <v>3256275.71</v>
      </c>
      <c r="M33" s="137">
        <f>F32*0.2</f>
        <v>3329541.9079999998</v>
      </c>
      <c r="N33" s="137"/>
      <c r="O33" s="137"/>
      <c r="P33" s="138"/>
    </row>
    <row r="34" spans="1:256" ht="15.75" x14ac:dyDescent="0.25">
      <c r="A34" s="271" t="s">
        <v>346</v>
      </c>
      <c r="B34" s="275">
        <f>B32+B33</f>
        <v>19397988.719999999</v>
      </c>
      <c r="C34" s="134"/>
      <c r="D34" s="275">
        <f>D32+D33</f>
        <v>19537654.239999998</v>
      </c>
      <c r="E34" s="134"/>
      <c r="F34" s="275">
        <f>F32+F33</f>
        <v>19977251.449999999</v>
      </c>
      <c r="G34" s="136"/>
      <c r="H34" s="136"/>
      <c r="I34" s="283"/>
      <c r="J34" s="135">
        <v>0</v>
      </c>
      <c r="K34" s="275">
        <f t="shared" si="0"/>
        <v>19977251.449999999</v>
      </c>
      <c r="L34" s="137">
        <f>B34*C33</f>
        <v>0</v>
      </c>
      <c r="M34" s="137"/>
      <c r="N34" s="137">
        <f>D34*E33</f>
        <v>0</v>
      </c>
      <c r="O34" s="137"/>
      <c r="P34" s="138"/>
    </row>
    <row r="35" spans="1:256" ht="15.75" x14ac:dyDescent="0.25">
      <c r="A35" s="271" t="s">
        <v>310</v>
      </c>
      <c r="B35" s="275">
        <f>B26+B34</f>
        <v>35772978.960000001</v>
      </c>
      <c r="C35" s="134"/>
      <c r="D35" s="275">
        <f>D26+D34</f>
        <v>36683906.539999999</v>
      </c>
      <c r="E35" s="134"/>
      <c r="F35" s="275">
        <f>F26+F34</f>
        <v>37509294.43</v>
      </c>
      <c r="G35" s="136"/>
      <c r="H35" s="136"/>
      <c r="I35" s="283"/>
      <c r="J35" s="275">
        <v>0</v>
      </c>
      <c r="K35" s="275">
        <f>K34+K26</f>
        <v>37170640.159999996</v>
      </c>
      <c r="L35" s="140">
        <f>B35*C19</f>
        <v>37457886.270000003</v>
      </c>
      <c r="M35" s="140">
        <f>J35+K35</f>
        <v>37170640.159999996</v>
      </c>
      <c r="N35" s="137"/>
      <c r="O35" s="137"/>
      <c r="P35" s="138"/>
    </row>
    <row r="36" spans="1:256" ht="15.75" x14ac:dyDescent="0.25">
      <c r="A36" s="271"/>
      <c r="B36" s="275"/>
      <c r="C36" s="282"/>
      <c r="D36" s="275"/>
      <c r="E36" s="282"/>
      <c r="F36" s="275"/>
      <c r="G36" s="136"/>
      <c r="H36" s="136"/>
      <c r="I36" s="283"/>
      <c r="J36" s="275"/>
      <c r="K36" s="275"/>
      <c r="L36" s="140"/>
      <c r="M36" s="140"/>
      <c r="N36" s="137"/>
      <c r="O36" s="137"/>
      <c r="P36" s="138"/>
    </row>
    <row r="37" spans="1:256" ht="15.75" x14ac:dyDescent="0.25">
      <c r="A37" s="272" t="s">
        <v>377</v>
      </c>
      <c r="B37" s="275"/>
      <c r="C37" s="282"/>
      <c r="D37" s="275"/>
      <c r="E37" s="282"/>
      <c r="F37" s="275"/>
      <c r="G37" s="136"/>
      <c r="H37" s="136"/>
      <c r="I37" s="283"/>
      <c r="J37" s="275"/>
      <c r="K37" s="275"/>
      <c r="L37" s="140">
        <f>F35-J26</f>
        <v>37170640.159999996</v>
      </c>
      <c r="M37" s="140"/>
      <c r="N37" s="137"/>
      <c r="O37" s="137"/>
      <c r="P37" s="138"/>
    </row>
    <row r="38" spans="1:256" ht="15.75" x14ac:dyDescent="0.25">
      <c r="A38" s="314" t="s">
        <v>311</v>
      </c>
      <c r="B38" s="135">
        <f>1813.5*1000</f>
        <v>1813500</v>
      </c>
      <c r="C38" s="134">
        <f>F76</f>
        <v>1.0470999999999999</v>
      </c>
      <c r="D38" s="135">
        <f>B38*C38</f>
        <v>1898915.85</v>
      </c>
      <c r="E38" s="134">
        <f>C122</f>
        <v>1.0095000000000001</v>
      </c>
      <c r="F38" s="135">
        <f>D38*E38</f>
        <v>1916955.55</v>
      </c>
      <c r="G38" s="136"/>
      <c r="H38" s="136"/>
      <c r="I38" s="283"/>
      <c r="J38" s="135">
        <f>F38</f>
        <v>1916955.55</v>
      </c>
      <c r="K38" s="135">
        <v>0</v>
      </c>
      <c r="L38" s="137"/>
      <c r="M38" s="137"/>
      <c r="N38" s="137"/>
      <c r="O38" s="137"/>
      <c r="P38" s="138"/>
    </row>
    <row r="39" spans="1:256" ht="15.75" x14ac:dyDescent="0.25">
      <c r="A39" s="271" t="s">
        <v>310</v>
      </c>
      <c r="B39" s="276">
        <f>B38</f>
        <v>1813500</v>
      </c>
      <c r="C39" s="261"/>
      <c r="D39" s="275">
        <f>D38</f>
        <v>1898915.85</v>
      </c>
      <c r="E39" s="134"/>
      <c r="F39" s="275">
        <f>F38</f>
        <v>1916955.55</v>
      </c>
      <c r="G39" s="136"/>
      <c r="H39" s="136"/>
      <c r="I39" s="283"/>
      <c r="J39" s="275">
        <f>F39</f>
        <v>1916955.55</v>
      </c>
      <c r="K39" s="275">
        <v>0</v>
      </c>
      <c r="L39" s="140">
        <f>B39*C38</f>
        <v>1898915.85</v>
      </c>
      <c r="M39" s="137" t="e">
        <f>#REF!*#REF!</f>
        <v>#REF!</v>
      </c>
      <c r="N39" s="140"/>
      <c r="O39" s="137"/>
      <c r="S39" s="138"/>
      <c r="T39" s="138"/>
    </row>
    <row r="40" spans="1:256" s="280" customFormat="1" ht="33.75" customHeight="1" x14ac:dyDescent="0.25">
      <c r="A40" s="198" t="s">
        <v>313</v>
      </c>
      <c r="B40" s="199">
        <f>B35+B39</f>
        <v>37586478.960000001</v>
      </c>
      <c r="C40" s="281"/>
      <c r="D40" s="199">
        <f>D35+D39</f>
        <v>38582822.390000001</v>
      </c>
      <c r="E40" s="199"/>
      <c r="F40" s="199">
        <f>F35+F39</f>
        <v>39426249.979999997</v>
      </c>
      <c r="G40" s="199">
        <f>G35+G39</f>
        <v>0</v>
      </c>
      <c r="H40" s="199">
        <f>H35+H39</f>
        <v>0</v>
      </c>
      <c r="I40" s="199">
        <f>I35+I39</f>
        <v>0</v>
      </c>
      <c r="J40" s="199">
        <f>J26+J39</f>
        <v>2255609.8199999998</v>
      </c>
      <c r="K40" s="199">
        <f>K35+K39</f>
        <v>37170640.159999996</v>
      </c>
      <c r="L40" s="278">
        <f>F40*E83</f>
        <v>2255609.8216931601</v>
      </c>
      <c r="M40" s="279" t="e">
        <f>B19+B40+#REF!</f>
        <v>#REF!</v>
      </c>
      <c r="N40" s="373">
        <f>F40*E83</f>
        <v>2255609.8199999998</v>
      </c>
      <c r="O40" s="278"/>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row>
    <row r="41" spans="1:256" ht="12" customHeight="1" x14ac:dyDescent="0.25">
      <c r="A41" s="535"/>
      <c r="B41" s="535"/>
      <c r="C41" s="535"/>
      <c r="D41" s="535"/>
      <c r="E41" s="535"/>
      <c r="F41" s="535"/>
      <c r="G41" s="143"/>
      <c r="H41" s="144"/>
      <c r="I41" s="144"/>
      <c r="J41" s="144"/>
      <c r="K41" s="144"/>
      <c r="L41" s="145"/>
      <c r="M41" s="146"/>
      <c r="N41" s="145"/>
      <c r="O41" s="137"/>
    </row>
    <row r="42" spans="1:256" hidden="1" x14ac:dyDescent="0.25">
      <c r="A42" s="535"/>
      <c r="B42" s="535"/>
      <c r="C42" s="535"/>
      <c r="D42" s="535"/>
      <c r="E42" s="535"/>
      <c r="F42" s="535"/>
      <c r="H42" s="144"/>
      <c r="I42" s="144"/>
      <c r="J42" s="144"/>
      <c r="K42" s="144"/>
      <c r="L42" s="145"/>
      <c r="M42" s="146"/>
      <c r="N42" s="145"/>
      <c r="O42" s="137"/>
    </row>
    <row r="43" spans="1:256" hidden="1" x14ac:dyDescent="0.25">
      <c r="A43" s="530"/>
      <c r="B43" s="530"/>
      <c r="C43" s="530"/>
      <c r="D43" s="148"/>
      <c r="E43" s="380"/>
      <c r="F43" s="380"/>
      <c r="H43" s="149"/>
      <c r="I43" s="144"/>
      <c r="J43" s="144"/>
      <c r="K43" s="144"/>
      <c r="L43" s="145"/>
      <c r="M43" s="146"/>
      <c r="N43" s="145"/>
      <c r="O43" s="137"/>
    </row>
    <row r="44" spans="1:256" ht="12" customHeight="1" x14ac:dyDescent="0.25">
      <c r="A44" s="380"/>
      <c r="G44" s="150"/>
      <c r="H44" s="150"/>
      <c r="I44" s="150"/>
      <c r="J44" s="150"/>
      <c r="K44" s="150"/>
      <c r="L44" s="151">
        <f>F40*E84</f>
        <v>37170640.159999996</v>
      </c>
      <c r="M44" s="151"/>
      <c r="N44" s="145"/>
      <c r="O44" s="137"/>
    </row>
    <row r="45" spans="1:256" ht="15.75" x14ac:dyDescent="0.25">
      <c r="A45" s="152" t="s">
        <v>194</v>
      </c>
      <c r="B45" s="388" t="s">
        <v>411</v>
      </c>
      <c r="C45" s="154"/>
      <c r="D45" s="197"/>
      <c r="F45" s="199">
        <v>39833552.409999996</v>
      </c>
      <c r="G45" s="199">
        <v>0</v>
      </c>
      <c r="H45" s="199">
        <v>0</v>
      </c>
      <c r="I45" s="199">
        <v>0</v>
      </c>
      <c r="J45" s="199">
        <v>2290128.1</v>
      </c>
      <c r="K45" s="199">
        <v>37543424.310000002</v>
      </c>
      <c r="L45" s="155">
        <f>2297.65*1000</f>
        <v>2297650</v>
      </c>
      <c r="M45" s="145"/>
      <c r="N45" s="145"/>
      <c r="O45" s="15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x14ac:dyDescent="0.25">
      <c r="A46" s="152" t="s">
        <v>195</v>
      </c>
      <c r="B46" s="263" t="s">
        <v>417</v>
      </c>
      <c r="C46" s="129"/>
      <c r="D46" s="156"/>
      <c r="E46" s="156"/>
      <c r="F46" s="142"/>
      <c r="G46" s="157"/>
      <c r="H46" s="125"/>
      <c r="I46" s="144"/>
      <c r="J46" s="144"/>
      <c r="K46" s="144"/>
      <c r="L46" s="125">
        <f>L45/F40</f>
        <v>5.8277163087170201E-2</v>
      </c>
      <c r="M46" s="307">
        <f>J40+K40</f>
        <v>39426249.979999997</v>
      </c>
      <c r="N46" s="157"/>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ht="15.75" x14ac:dyDescent="0.25">
      <c r="A47" s="152" t="s">
        <v>196</v>
      </c>
      <c r="B47" s="263" t="s">
        <v>413</v>
      </c>
      <c r="C47" s="129" t="s">
        <v>197</v>
      </c>
      <c r="D47" s="129"/>
      <c r="E47" s="156"/>
      <c r="F47" s="158"/>
      <c r="G47" s="155"/>
      <c r="H47" s="159"/>
      <c r="I47" s="144"/>
      <c r="J47" s="386">
        <f>F40*E83</f>
        <v>2255609.8199999998</v>
      </c>
      <c r="K47" s="386">
        <f>F40*E84</f>
        <v>37170640.159999996</v>
      </c>
      <c r="L47" s="144">
        <v>2297.65</v>
      </c>
      <c r="M47" s="144"/>
      <c r="N47" s="307">
        <f>N40-J39</f>
        <v>338654.27</v>
      </c>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x14ac:dyDescent="0.25">
      <c r="A48" s="129"/>
      <c r="B48" s="129"/>
      <c r="C48" s="129"/>
      <c r="D48" s="129"/>
      <c r="E48" s="129"/>
      <c r="F48" s="160"/>
      <c r="G48" s="125"/>
      <c r="H48" s="125"/>
      <c r="I48" s="161"/>
      <c r="J48" s="384">
        <f>J40/F40</f>
        <v>5.7210863856999999E-2</v>
      </c>
      <c r="K48" s="161"/>
      <c r="L48" s="122">
        <f>F40*E83</f>
        <v>2255609.8216931601</v>
      </c>
      <c r="M48" s="125"/>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ht="25.5" customHeight="1" x14ac:dyDescent="0.25">
      <c r="A49" s="152" t="s">
        <v>198</v>
      </c>
      <c r="B49" s="527" t="s">
        <v>281</v>
      </c>
      <c r="C49" s="527"/>
      <c r="D49" s="129"/>
      <c r="E49" s="129"/>
      <c r="F49" s="129"/>
      <c r="G49" s="125"/>
      <c r="H49" s="125"/>
      <c r="I49" s="125"/>
      <c r="J49" s="125">
        <f>J45/F45</f>
        <v>5.74924394497408E-2</v>
      </c>
      <c r="K49" s="125">
        <f>J45/F40</f>
        <v>5.8086379028229398E-2</v>
      </c>
      <c r="L49" s="163">
        <f>F40*E83</f>
        <v>2255609.8199999998</v>
      </c>
      <c r="M49" s="144">
        <f>F40*E84</f>
        <v>37170640.1583068</v>
      </c>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t="s">
        <v>199</v>
      </c>
      <c r="B50" s="378" t="s">
        <v>405</v>
      </c>
      <c r="C50" s="129"/>
      <c r="D50" s="129"/>
      <c r="E50" s="129"/>
      <c r="F50" s="129"/>
      <c r="G50" s="125"/>
      <c r="H50" s="125"/>
      <c r="I50" s="125"/>
      <c r="J50" s="125"/>
      <c r="K50" s="125"/>
      <c r="L50" s="125">
        <f>F40*0.0576</f>
        <v>2270951.9988480001</v>
      </c>
      <c r="M50" s="144" t="s">
        <v>218</v>
      </c>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14.25" customHeight="1" x14ac:dyDescent="0.25">
      <c r="A51" s="152"/>
      <c r="B51" s="378"/>
      <c r="C51" s="129"/>
      <c r="D51" s="129"/>
      <c r="E51" s="129"/>
      <c r="F51" s="129"/>
      <c r="G51" s="125"/>
      <c r="H51" s="157"/>
      <c r="I51" s="125"/>
      <c r="J51" s="125"/>
      <c r="K51" s="125"/>
      <c r="L51" s="125"/>
      <c r="M51" s="144"/>
      <c r="N51" s="144"/>
      <c r="O51" s="125">
        <f>F40*E83</f>
        <v>2255609.8216931601</v>
      </c>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pans="1:256" ht="8.25" hidden="1" customHeight="1" x14ac:dyDescent="0.25">
      <c r="A52" s="129"/>
      <c r="B52" s="165"/>
      <c r="C52" s="129"/>
      <c r="D52" s="129"/>
      <c r="E52" s="129"/>
      <c r="F52" s="129"/>
      <c r="H52" s="125"/>
      <c r="I52" s="125"/>
      <c r="J52" s="125"/>
      <c r="K52" s="125"/>
      <c r="L52" s="125"/>
      <c r="M52" s="161"/>
      <c r="N52" s="144"/>
    </row>
    <row r="53" spans="1:256" ht="33" customHeight="1" x14ac:dyDescent="0.25">
      <c r="A53" s="528" t="s">
        <v>200</v>
      </c>
      <c r="B53" s="528"/>
      <c r="C53" s="528"/>
      <c r="D53" s="528"/>
      <c r="E53" s="528"/>
      <c r="F53" s="528"/>
      <c r="G53" s="528"/>
      <c r="H53" s="528"/>
      <c r="I53" s="528"/>
      <c r="J53" s="528"/>
      <c r="K53" s="528"/>
      <c r="L53" s="125">
        <f>F40*E83</f>
        <v>2255609.8216931601</v>
      </c>
      <c r="M53" s="144"/>
      <c r="N53" s="144"/>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6.75" customHeight="1" x14ac:dyDescent="0.25">
      <c r="A54" s="166"/>
      <c r="B54" s="166"/>
      <c r="C54" s="166"/>
      <c r="D54" s="166"/>
      <c r="E54" s="166"/>
      <c r="F54" s="166"/>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ht="29.25" x14ac:dyDescent="0.25">
      <c r="A55" s="167" t="s">
        <v>201</v>
      </c>
      <c r="B55" s="167" t="s">
        <v>202</v>
      </c>
      <c r="C55" s="167" t="s">
        <v>203</v>
      </c>
      <c r="D55" s="168"/>
      <c r="E55" s="166"/>
      <c r="F55" s="166"/>
      <c r="G55" s="125"/>
      <c r="H55" s="125"/>
      <c r="I55" s="125" t="e">
        <f>#REF!-#REF!</f>
        <v>#REF!</v>
      </c>
      <c r="J55" s="125"/>
      <c r="K55" s="125"/>
      <c r="L55" s="125">
        <f>L45/F40</f>
        <v>5.8277163087170201E-2</v>
      </c>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204</v>
      </c>
      <c r="B56" s="267">
        <v>100.45</v>
      </c>
      <c r="C56" s="266">
        <v>1.0044999999999999</v>
      </c>
      <c r="D56" s="170"/>
      <c r="E56" s="170"/>
      <c r="F56" s="147"/>
      <c r="G56" s="171"/>
      <c r="H56" s="125"/>
      <c r="I56" s="125"/>
      <c r="J56" s="125"/>
      <c r="K56" s="125"/>
      <c r="L56" s="125"/>
      <c r="M56" s="125">
        <f>J40/F40</f>
        <v>5.7210863857055101E-2</v>
      </c>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205</v>
      </c>
      <c r="B57" s="268">
        <v>100.32</v>
      </c>
      <c r="C57" s="266">
        <v>1.0032000000000001</v>
      </c>
      <c r="D57" s="170"/>
      <c r="E57" s="170"/>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206</v>
      </c>
      <c r="B58" s="268">
        <v>100.49</v>
      </c>
      <c r="C58" s="266">
        <v>1.0048999999999999</v>
      </c>
      <c r="D58" s="173"/>
      <c r="E58" s="173"/>
      <c r="F58" s="153"/>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207</v>
      </c>
      <c r="B59" s="268">
        <v>100.64</v>
      </c>
      <c r="C59" s="266">
        <v>1.0064</v>
      </c>
      <c r="D59" s="174"/>
      <c r="E59" s="147"/>
      <c r="F59" s="175"/>
      <c r="G59" s="172"/>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69" t="s">
        <v>208</v>
      </c>
      <c r="B60" s="268" t="s">
        <v>293</v>
      </c>
      <c r="C60" s="266">
        <v>1.0062</v>
      </c>
      <c r="D60" s="529"/>
      <c r="E60" s="530"/>
      <c r="F60" s="176"/>
      <c r="G60" s="172"/>
      <c r="H60" s="128"/>
      <c r="I60" s="128"/>
      <c r="J60" s="128"/>
      <c r="K60" s="128"/>
      <c r="L60" s="125">
        <f>ROUND(F40*E83,2)</f>
        <v>2255609.8199999998</v>
      </c>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7" t="s">
        <v>209</v>
      </c>
      <c r="B61" s="268" t="s">
        <v>294</v>
      </c>
      <c r="C61" s="266">
        <v>1.0047999999999999</v>
      </c>
      <c r="D61" s="125"/>
      <c r="E61" s="125"/>
      <c r="F61" s="178"/>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179" t="s">
        <v>210</v>
      </c>
      <c r="B62" s="268" t="s">
        <v>295</v>
      </c>
      <c r="C62" s="266" t="s">
        <v>303</v>
      </c>
      <c r="D62" s="529"/>
      <c r="E62" s="530"/>
      <c r="F62" s="530"/>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212</v>
      </c>
      <c r="B63" s="268" t="s">
        <v>296</v>
      </c>
      <c r="C63" s="266">
        <v>0.99080000000000001</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286</v>
      </c>
      <c r="B64" s="268" t="s">
        <v>297</v>
      </c>
      <c r="C64" s="266">
        <v>0.99870000000000003</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287</v>
      </c>
      <c r="B65" s="268" t="s">
        <v>298</v>
      </c>
      <c r="C65" s="266">
        <v>0.98370000000000002</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288</v>
      </c>
      <c r="B66" s="268" t="s">
        <v>299</v>
      </c>
      <c r="C66" s="266">
        <v>1.0101</v>
      </c>
      <c r="D66" s="174"/>
      <c r="E66" s="147"/>
      <c r="F66" s="147"/>
      <c r="G66" s="172"/>
      <c r="L66" s="122">
        <f>PRODUCT(C56:C70)</f>
        <v>1.0414762419299299</v>
      </c>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289</v>
      </c>
      <c r="B67" s="268" t="s">
        <v>300</v>
      </c>
      <c r="C67" s="266">
        <v>1.0225</v>
      </c>
      <c r="D67" s="174"/>
      <c r="E67" s="147"/>
      <c r="F67" s="147"/>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290</v>
      </c>
      <c r="B68" s="268">
        <v>100.18</v>
      </c>
      <c r="C68" s="266">
        <f>B68/100</f>
        <v>1.0018</v>
      </c>
      <c r="D68" s="529"/>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264" t="s">
        <v>291</v>
      </c>
      <c r="B69" s="268">
        <v>100.18</v>
      </c>
      <c r="C69" s="266">
        <f>B69/100</f>
        <v>1.0018</v>
      </c>
      <c r="D69" s="529" t="s">
        <v>211</v>
      </c>
      <c r="E69" s="530"/>
      <c r="F69" s="530"/>
      <c r="G69" s="172"/>
      <c r="M69" s="374">
        <f>J40/F40</f>
        <v>5.7210863899999999E-2</v>
      </c>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381" t="s">
        <v>292</v>
      </c>
      <c r="B70" s="382">
        <v>100.18</v>
      </c>
      <c r="C70" s="266">
        <f>B70/100</f>
        <v>1.0018</v>
      </c>
      <c r="D70" s="529" t="s">
        <v>211</v>
      </c>
      <c r="E70" s="530"/>
      <c r="F70" s="530"/>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79" t="s">
        <v>406</v>
      </c>
      <c r="B71" s="383">
        <v>100.18</v>
      </c>
      <c r="C71" s="266">
        <f>B71/100</f>
        <v>1.0018</v>
      </c>
      <c r="D71" s="529" t="s">
        <v>211</v>
      </c>
      <c r="E71" s="530"/>
      <c r="F71" s="530"/>
      <c r="G71" s="172"/>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180"/>
      <c r="B72" s="173"/>
      <c r="C72" s="181"/>
      <c r="D72" s="147"/>
      <c r="E72" s="147"/>
      <c r="F72" s="178"/>
      <c r="G72" s="172"/>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x14ac:dyDescent="0.25">
      <c r="A73" s="176" t="s">
        <v>213</v>
      </c>
      <c r="B73" s="182"/>
      <c r="C73" s="153"/>
      <c r="D73" s="153"/>
      <c r="E73" s="153"/>
      <c r="F73" s="183"/>
      <c r="G73" s="172"/>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x14ac:dyDescent="0.25">
      <c r="A74" s="265" t="s">
        <v>304</v>
      </c>
      <c r="B74" s="182"/>
      <c r="C74" s="153"/>
      <c r="D74" s="153"/>
      <c r="E74" s="153"/>
      <c r="F74" s="183"/>
      <c r="G74" s="172"/>
      <c r="H74" s="125"/>
      <c r="I74" s="125"/>
      <c r="J74" s="125"/>
      <c r="K74" s="125"/>
      <c r="L74" s="125"/>
      <c r="M74" s="125">
        <f>PRODUCT(C56:C70)</f>
        <v>1.0414762419299299</v>
      </c>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9.75" customHeight="1" x14ac:dyDescent="0.25">
      <c r="A75" s="184"/>
      <c r="B75" s="185"/>
      <c r="C75" s="129"/>
      <c r="D75" s="156"/>
      <c r="E75" s="129"/>
      <c r="F75" s="186"/>
      <c r="G75" s="172"/>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36" customHeight="1" x14ac:dyDescent="0.25">
      <c r="A76" s="531" t="s">
        <v>407</v>
      </c>
      <c r="B76" s="531"/>
      <c r="C76" s="531"/>
      <c r="D76" s="531"/>
      <c r="E76" s="531"/>
      <c r="F76" s="175">
        <f>C56*C57*C58*C59*C60*C61*C62*C63*C64*C65*C66*C67*C68*C69*C70*C71</f>
        <v>1.0470999999999999</v>
      </c>
      <c r="H76" s="125"/>
      <c r="I76" s="125"/>
      <c r="J76" s="363"/>
      <c r="K76" s="125"/>
      <c r="L76" s="125"/>
      <c r="M76" s="269">
        <f>C56*C57*C58*C59*C60*C61*C62*C63*C64*C65*C66*C67*C68*C69*C70</f>
        <v>1.0451999999999999</v>
      </c>
      <c r="N76" s="125"/>
      <c r="O76" s="125">
        <f>PRODUCT(C56:C70)</f>
        <v>1.0414762419299299</v>
      </c>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8.25" customHeight="1" x14ac:dyDescent="0.25">
      <c r="A77" s="244"/>
      <c r="B77" s="244"/>
      <c r="C77" s="244"/>
      <c r="D77" s="244"/>
      <c r="E77" s="244"/>
      <c r="F77" s="17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ht="18" customHeight="1" x14ac:dyDescent="0.25">
      <c r="A78" s="265" t="s">
        <v>305</v>
      </c>
      <c r="B78" s="244"/>
      <c r="C78" s="244"/>
      <c r="D78" s="244"/>
      <c r="E78" s="244"/>
      <c r="F78" s="17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ht="23.25" customHeight="1" x14ac:dyDescent="0.25">
      <c r="A79" s="531" t="s">
        <v>408</v>
      </c>
      <c r="B79" s="531"/>
      <c r="C79" s="531"/>
      <c r="D79" s="531"/>
      <c r="E79" s="531"/>
      <c r="F79" s="175">
        <f>C68*C69*C70*C71</f>
        <v>1.0072000000000001</v>
      </c>
      <c r="H79" s="125"/>
      <c r="I79" s="125"/>
      <c r="J79" s="125"/>
      <c r="K79" s="125"/>
      <c r="L79" s="125"/>
      <c r="M79" s="125">
        <f>C68*C69*C70</f>
        <v>1.0054097258320001</v>
      </c>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pans="1:256" x14ac:dyDescent="0.25">
      <c r="A80" s="176" t="s">
        <v>197</v>
      </c>
      <c r="B80" s="176"/>
      <c r="C80" s="176"/>
      <c r="D80" s="125"/>
      <c r="E80" s="176"/>
      <c r="F80" s="18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pans="1:256" x14ac:dyDescent="0.25">
      <c r="A81" s="178" t="s">
        <v>214</v>
      </c>
      <c r="B81" s="178"/>
      <c r="C81" s="178"/>
      <c r="D81" s="178"/>
      <c r="E81" s="178"/>
      <c r="F81" s="187"/>
      <c r="G81" s="188"/>
      <c r="H81" s="189"/>
      <c r="I81" s="188"/>
      <c r="J81" s="188"/>
      <c r="K81" s="188"/>
      <c r="L81" s="188"/>
      <c r="M81" s="188"/>
    </row>
    <row r="82" spans="1:256" x14ac:dyDescent="0.25">
      <c r="A82" s="191"/>
      <c r="B82" s="191"/>
      <c r="C82" s="191"/>
      <c r="D82" s="191"/>
      <c r="E82" s="191"/>
      <c r="F82" s="192"/>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pans="1:256" x14ac:dyDescent="0.25">
      <c r="A83" s="153" t="s">
        <v>315</v>
      </c>
      <c r="B83" s="153"/>
      <c r="C83" s="153"/>
      <c r="D83" s="125"/>
      <c r="E83" s="375">
        <v>5.7210863899999999E-2</v>
      </c>
      <c r="F83" s="190"/>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row>
    <row r="84" spans="1:256" x14ac:dyDescent="0.25">
      <c r="A84" s="153" t="s">
        <v>316</v>
      </c>
      <c r="B84" s="153"/>
      <c r="C84" s="153"/>
      <c r="D84" s="125"/>
      <c r="E84" s="375">
        <f>1-E83</f>
        <v>0.94278913610000004</v>
      </c>
      <c r="F84" s="190"/>
      <c r="G84" s="125"/>
      <c r="H84" s="125"/>
      <c r="I84" s="125"/>
      <c r="J84" s="125"/>
      <c r="K84" s="125"/>
      <c r="L84" s="125"/>
      <c r="M84" s="125"/>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c r="CH84" s="188"/>
      <c r="CI84" s="188"/>
      <c r="CJ84" s="188"/>
      <c r="CK84" s="188"/>
      <c r="CL84" s="188"/>
      <c r="CM84" s="188"/>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188"/>
      <c r="DM84" s="188"/>
      <c r="DN84" s="188"/>
      <c r="DO84" s="188"/>
      <c r="DP84" s="188"/>
      <c r="DQ84" s="188"/>
      <c r="DR84" s="188"/>
      <c r="DS84" s="188"/>
      <c r="DT84" s="188"/>
      <c r="DU84" s="188"/>
      <c r="DV84" s="188"/>
      <c r="DW84" s="188"/>
      <c r="DX84" s="188"/>
      <c r="DY84" s="188"/>
      <c r="DZ84" s="188"/>
      <c r="EA84" s="188"/>
      <c r="EB84" s="188"/>
      <c r="EC84" s="188"/>
      <c r="ED84" s="188"/>
      <c r="EE84" s="188"/>
      <c r="EF84" s="188"/>
      <c r="EG84" s="188"/>
      <c r="EH84" s="188"/>
      <c r="EI84" s="188"/>
      <c r="EJ84" s="188"/>
      <c r="EK84" s="188"/>
      <c r="EL84" s="188"/>
      <c r="EM84" s="188"/>
      <c r="EN84" s="188"/>
      <c r="EO84" s="188"/>
      <c r="EP84" s="188"/>
      <c r="EQ84" s="188"/>
      <c r="ER84" s="188"/>
      <c r="ES84" s="188"/>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188"/>
      <c r="FS84" s="188"/>
      <c r="FT84" s="188"/>
      <c r="FU84" s="188"/>
      <c r="FV84" s="188"/>
      <c r="FW84" s="188"/>
      <c r="FX84" s="188"/>
      <c r="FY84" s="188"/>
      <c r="FZ84" s="188"/>
      <c r="GA84" s="188"/>
      <c r="GB84" s="188"/>
      <c r="GC84" s="188"/>
      <c r="GD84" s="188"/>
      <c r="GE84" s="188"/>
      <c r="GF84" s="188"/>
      <c r="GG84" s="188"/>
      <c r="GH84" s="188"/>
      <c r="GI84" s="188"/>
      <c r="GJ84" s="188"/>
      <c r="GK84" s="188"/>
      <c r="GL84" s="188"/>
      <c r="GM84" s="188"/>
      <c r="GN84" s="188"/>
      <c r="GO84" s="188"/>
      <c r="GP84" s="188"/>
      <c r="GQ84" s="188"/>
      <c r="GR84" s="188"/>
      <c r="GS84" s="188"/>
      <c r="GT84" s="188"/>
      <c r="GU84" s="188"/>
      <c r="GV84" s="188"/>
      <c r="GW84" s="188"/>
      <c r="GX84" s="188"/>
      <c r="GY84" s="188"/>
      <c r="GZ84" s="188"/>
      <c r="HA84" s="188"/>
      <c r="HB84" s="188"/>
      <c r="HC84" s="188"/>
      <c r="HD84" s="188"/>
      <c r="HE84" s="188"/>
      <c r="HF84" s="188"/>
      <c r="HG84" s="188"/>
      <c r="HH84" s="188"/>
      <c r="HI84" s="188"/>
      <c r="HJ84" s="188"/>
      <c r="HK84" s="188"/>
      <c r="HL84" s="188"/>
      <c r="HM84" s="188"/>
      <c r="HN84" s="188"/>
      <c r="HO84" s="188"/>
      <c r="HP84" s="188"/>
      <c r="HQ84" s="188"/>
      <c r="HR84" s="188"/>
      <c r="HS84" s="188"/>
      <c r="HT84" s="188"/>
      <c r="HU84" s="188"/>
      <c r="HV84" s="188"/>
      <c r="HW84" s="188"/>
      <c r="HX84" s="188"/>
      <c r="HY84" s="188"/>
      <c r="HZ84" s="188"/>
      <c r="IA84" s="188"/>
      <c r="IB84" s="188"/>
      <c r="IC84" s="188"/>
      <c r="ID84" s="188"/>
      <c r="IE84" s="188"/>
      <c r="IF84" s="188"/>
      <c r="IG84" s="188"/>
      <c r="IH84" s="188"/>
      <c r="II84" s="188"/>
      <c r="IJ84" s="188"/>
      <c r="IK84" s="188"/>
      <c r="IL84" s="188"/>
      <c r="IM84" s="188"/>
      <c r="IN84" s="188"/>
      <c r="IO84" s="188"/>
      <c r="IP84" s="188"/>
      <c r="IQ84" s="188"/>
      <c r="IR84" s="188"/>
      <c r="IS84" s="188"/>
      <c r="IT84" s="188"/>
      <c r="IU84" s="188"/>
      <c r="IV84" s="188"/>
    </row>
    <row r="85" spans="1:256" ht="18.75" customHeight="1" x14ac:dyDescent="0.25">
      <c r="A85" s="153"/>
      <c r="B85" s="178"/>
      <c r="C85" s="178"/>
      <c r="D85" s="178"/>
      <c r="E85" s="366"/>
      <c r="F85" s="190"/>
      <c r="G85" s="125"/>
      <c r="H85" s="125"/>
      <c r="I85" s="125"/>
      <c r="J85" s="125"/>
      <c r="K85" s="125"/>
      <c r="L85" s="125"/>
      <c r="M85" s="125"/>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188"/>
      <c r="DX85" s="188"/>
      <c r="DY85" s="188"/>
      <c r="DZ85" s="188"/>
      <c r="EA85" s="188"/>
      <c r="EB85" s="188"/>
      <c r="EC85" s="188"/>
      <c r="ED85" s="188"/>
      <c r="EE85" s="188"/>
      <c r="EF85" s="188"/>
      <c r="EG85" s="188"/>
      <c r="EH85" s="188"/>
      <c r="EI85" s="188"/>
      <c r="EJ85" s="188"/>
      <c r="EK85" s="188"/>
      <c r="EL85" s="188"/>
      <c r="EM85" s="188"/>
      <c r="EN85" s="188"/>
      <c r="EO85" s="188"/>
      <c r="EP85" s="188"/>
      <c r="EQ85" s="188"/>
      <c r="ER85" s="188"/>
      <c r="ES85" s="188"/>
      <c r="ET85" s="188"/>
      <c r="EU85" s="188"/>
      <c r="EV85" s="188"/>
      <c r="EW85" s="188"/>
      <c r="EX85" s="188"/>
      <c r="EY85" s="188"/>
      <c r="EZ85" s="188"/>
      <c r="FA85" s="188"/>
      <c r="FB85" s="188"/>
      <c r="FC85" s="188"/>
      <c r="FD85" s="188"/>
      <c r="FE85" s="188"/>
      <c r="FF85" s="188"/>
      <c r="FG85" s="188"/>
      <c r="FH85" s="188"/>
      <c r="FI85" s="188"/>
      <c r="FJ85" s="188"/>
      <c r="FK85" s="188"/>
      <c r="FL85" s="188"/>
      <c r="FM85" s="188"/>
      <c r="FN85" s="188"/>
      <c r="FO85" s="188"/>
      <c r="FP85" s="188"/>
      <c r="FQ85" s="188"/>
      <c r="FR85" s="188"/>
      <c r="FS85" s="188"/>
      <c r="FT85" s="188"/>
      <c r="FU85" s="188"/>
      <c r="FV85" s="188"/>
      <c r="FW85" s="188"/>
      <c r="FX85" s="188"/>
      <c r="FY85" s="188"/>
      <c r="FZ85" s="188"/>
      <c r="GA85" s="188"/>
      <c r="GB85" s="188"/>
      <c r="GC85" s="188"/>
      <c r="GD85" s="188"/>
      <c r="GE85" s="188"/>
      <c r="GF85" s="188"/>
      <c r="GG85" s="188"/>
      <c r="GH85" s="188"/>
      <c r="GI85" s="188"/>
      <c r="GJ85" s="188"/>
      <c r="GK85" s="188"/>
      <c r="GL85" s="188"/>
      <c r="GM85" s="188"/>
      <c r="GN85" s="188"/>
      <c r="GO85" s="188"/>
      <c r="GP85" s="188"/>
      <c r="GQ85" s="188"/>
      <c r="GR85" s="188"/>
      <c r="GS85" s="188"/>
      <c r="GT85" s="188"/>
      <c r="GU85" s="188"/>
      <c r="GV85" s="188"/>
      <c r="GW85" s="188"/>
      <c r="GX85" s="188"/>
      <c r="GY85" s="188"/>
      <c r="GZ85" s="188"/>
      <c r="HA85" s="188"/>
      <c r="HB85" s="188"/>
      <c r="HC85" s="188"/>
      <c r="HD85" s="188"/>
      <c r="HE85" s="188"/>
      <c r="HF85" s="188"/>
      <c r="HG85" s="188"/>
      <c r="HH85" s="188"/>
      <c r="HI85" s="188"/>
      <c r="HJ85" s="188"/>
      <c r="HK85" s="188"/>
      <c r="HL85" s="188"/>
      <c r="HM85" s="188"/>
      <c r="HN85" s="188"/>
      <c r="HO85" s="188"/>
      <c r="HP85" s="188"/>
      <c r="HQ85" s="188"/>
      <c r="HR85" s="188"/>
      <c r="HS85" s="188"/>
      <c r="HT85" s="188"/>
      <c r="HU85" s="188"/>
      <c r="HV85" s="188"/>
      <c r="HW85" s="188"/>
      <c r="HX85" s="188"/>
      <c r="HY85" s="188"/>
      <c r="HZ85" s="188"/>
      <c r="IA85" s="188"/>
      <c r="IB85" s="188"/>
      <c r="IC85" s="188"/>
      <c r="ID85" s="188"/>
      <c r="IE85" s="188"/>
      <c r="IF85" s="188"/>
      <c r="IG85" s="188"/>
      <c r="IH85" s="188"/>
      <c r="II85" s="188"/>
      <c r="IJ85" s="188"/>
      <c r="IK85" s="188"/>
      <c r="IL85" s="188"/>
      <c r="IM85" s="188"/>
      <c r="IN85" s="188"/>
      <c r="IO85" s="188"/>
      <c r="IP85" s="188"/>
      <c r="IQ85" s="188"/>
      <c r="IR85" s="188"/>
      <c r="IS85" s="188"/>
      <c r="IT85" s="188"/>
      <c r="IU85" s="188"/>
      <c r="IV85" s="188"/>
    </row>
    <row r="86" spans="1:256" ht="42" customHeight="1" x14ac:dyDescent="0.25">
      <c r="A86" s="522" t="s">
        <v>215</v>
      </c>
      <c r="B86" s="522"/>
      <c r="C86" s="522"/>
      <c r="D86" s="522"/>
      <c r="E86" s="522"/>
      <c r="F86" s="522"/>
      <c r="G86" s="522"/>
      <c r="H86" s="522"/>
      <c r="I86" s="522"/>
      <c r="J86" s="522"/>
      <c r="K86" s="522"/>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7"/>
      <c r="B87" s="187" t="s">
        <v>202</v>
      </c>
      <c r="C87" s="284" t="s">
        <v>216</v>
      </c>
      <c r="D87" s="187"/>
      <c r="E87" s="187"/>
      <c r="F87" s="19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t="s">
        <v>217</v>
      </c>
      <c r="B88" s="183">
        <v>107.8</v>
      </c>
      <c r="C88" s="190">
        <f>B88/100</f>
        <v>1.0780000000000001</v>
      </c>
      <c r="D88" s="190"/>
      <c r="E88" s="190"/>
      <c r="F88" s="190"/>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x14ac:dyDescent="0.25">
      <c r="A89" s="183" t="s">
        <v>317</v>
      </c>
      <c r="B89" s="183">
        <v>105.3</v>
      </c>
      <c r="C89" s="190">
        <f>B89/100</f>
        <v>1.0529999999999999</v>
      </c>
      <c r="D89" s="190"/>
      <c r="E89" s="190"/>
      <c r="F89" s="183"/>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pans="1:256" x14ac:dyDescent="0.25">
      <c r="A90" s="183"/>
      <c r="B90" s="183"/>
      <c r="C90" s="190"/>
      <c r="D90" s="190"/>
      <c r="E90" s="190"/>
      <c r="F90" s="183"/>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c r="HA90" s="125"/>
      <c r="HB90" s="125"/>
      <c r="HC90" s="125"/>
      <c r="HD90" s="125"/>
      <c r="HE90" s="125"/>
      <c r="HF90" s="125"/>
      <c r="HG90" s="125"/>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c r="IG90" s="125"/>
      <c r="IH90" s="125"/>
      <c r="II90" s="125"/>
      <c r="IJ90" s="125"/>
      <c r="IK90" s="125"/>
      <c r="IL90" s="125"/>
      <c r="IM90" s="125"/>
      <c r="IN90" s="125"/>
      <c r="IO90" s="125"/>
      <c r="IP90" s="125"/>
      <c r="IQ90" s="125"/>
      <c r="IR90" s="125"/>
      <c r="IS90" s="125"/>
      <c r="IT90" s="125"/>
      <c r="IU90" s="125"/>
      <c r="IV90" s="125"/>
    </row>
    <row r="91" spans="1:256" ht="30.75" customHeight="1" x14ac:dyDescent="0.25">
      <c r="A91" s="153" t="s">
        <v>318</v>
      </c>
      <c r="B91" s="153"/>
      <c r="C91" s="153"/>
      <c r="D91" s="190"/>
      <c r="E91" s="190"/>
      <c r="F91" s="183"/>
      <c r="G91" s="171"/>
      <c r="H91" s="171"/>
      <c r="I91" s="171"/>
      <c r="J91" s="171"/>
      <c r="K91" s="171"/>
      <c r="L91" s="171"/>
      <c r="M91" s="125"/>
    </row>
    <row r="92" spans="1:256" x14ac:dyDescent="0.25">
      <c r="A92" s="180"/>
      <c r="B92" s="180"/>
      <c r="C92" s="193"/>
      <c r="D92" s="180"/>
      <c r="E92" s="190"/>
      <c r="F92" s="285"/>
      <c r="M92" s="125"/>
    </row>
    <row r="93" spans="1:256" ht="15" customHeight="1" x14ac:dyDescent="0.25">
      <c r="A93" s="180" t="s">
        <v>319</v>
      </c>
      <c r="B93" s="286" t="s">
        <v>320</v>
      </c>
      <c r="C93" s="193" t="s">
        <v>218</v>
      </c>
      <c r="D93" s="180">
        <f>ROUND(POWER(C88,1/12),4)</f>
        <v>1.0063</v>
      </c>
      <c r="E93" s="153"/>
      <c r="F93" s="285"/>
      <c r="G93" s="171"/>
      <c r="H93" s="171"/>
      <c r="I93" s="171"/>
      <c r="J93" s="171"/>
      <c r="K93" s="171"/>
      <c r="L93" s="171"/>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ht="18" x14ac:dyDescent="0.25">
      <c r="A94" s="180" t="s">
        <v>321</v>
      </c>
      <c r="B94" s="286" t="s">
        <v>322</v>
      </c>
      <c r="C94" s="193" t="s">
        <v>218</v>
      </c>
      <c r="D94" s="180">
        <f>ROUND(POWER(C89,1/12),4)</f>
        <v>1.0043</v>
      </c>
      <c r="E94" s="153"/>
      <c r="F94" s="64"/>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ht="18.75" customHeight="1" x14ac:dyDescent="0.25">
      <c r="A95" s="180"/>
      <c r="B95" s="286"/>
      <c r="C95" s="193"/>
      <c r="D95" s="180"/>
      <c r="E95" s="190"/>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x14ac:dyDescent="0.25">
      <c r="A96" s="183" t="s">
        <v>323</v>
      </c>
      <c r="B96" s="183"/>
      <c r="C96" s="183"/>
      <c r="D96" s="183"/>
      <c r="E96" s="183"/>
      <c r="F96" s="183"/>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x14ac:dyDescent="0.25">
      <c r="A97" s="183" t="s">
        <v>324</v>
      </c>
      <c r="B97" s="183"/>
      <c r="C97" s="183"/>
      <c r="D97" s="183"/>
      <c r="E97" s="183"/>
      <c r="F97" s="183"/>
      <c r="G97" s="125"/>
      <c r="H97" s="171"/>
      <c r="I97" s="171"/>
      <c r="J97" s="171"/>
      <c r="K97" s="171"/>
      <c r="L97" s="171"/>
      <c r="M97" s="171"/>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20.25" customHeight="1" x14ac:dyDescent="0.25">
      <c r="A98" s="194" t="s">
        <v>325</v>
      </c>
      <c r="B98" s="195"/>
      <c r="C98" s="195"/>
      <c r="D98" s="195"/>
      <c r="E98" s="183"/>
      <c r="F98" s="6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31.5" customHeight="1" x14ac:dyDescent="0.25">
      <c r="A99" s="524" t="s">
        <v>425</v>
      </c>
      <c r="B99" s="524"/>
      <c r="C99" s="524"/>
      <c r="D99" s="524"/>
      <c r="E99" s="304">
        <f>ROUND(POWER(D93,2),4)</f>
        <v>1.0125999999999999</v>
      </c>
      <c r="F99" s="64"/>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ht="36" customHeight="1" x14ac:dyDescent="0.25">
      <c r="A100" s="524" t="s">
        <v>326</v>
      </c>
      <c r="B100" s="524"/>
      <c r="C100" s="524"/>
      <c r="D100" s="524"/>
      <c r="E100" s="288"/>
      <c r="F100" s="64"/>
      <c r="H100" s="196"/>
      <c r="I100" s="196"/>
      <c r="J100" s="196"/>
      <c r="K100" s="196"/>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ht="15" customHeight="1" x14ac:dyDescent="0.25">
      <c r="A101" s="525" t="s">
        <v>421</v>
      </c>
      <c r="B101" s="525"/>
      <c r="C101" s="525"/>
      <c r="D101" s="525"/>
      <c r="E101" s="289">
        <f>(E99-1)/2+1</f>
        <v>1.0063</v>
      </c>
      <c r="F101" s="29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x14ac:dyDescent="0.25">
      <c r="A102" s="287"/>
      <c r="B102" s="287"/>
      <c r="C102" s="287"/>
      <c r="D102" s="287"/>
      <c r="E102" s="291"/>
      <c r="F102" s="290"/>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ht="15.75" customHeight="1" x14ac:dyDescent="0.25">
      <c r="A103" s="178" t="s">
        <v>327</v>
      </c>
      <c r="B103" s="183"/>
      <c r="C103" s="292"/>
      <c r="D103" s="293"/>
      <c r="E103" s="183"/>
      <c r="F103" s="153"/>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ht="55.5" customHeight="1" x14ac:dyDescent="0.25">
      <c r="A104" s="526" t="s">
        <v>422</v>
      </c>
      <c r="B104" s="526"/>
      <c r="C104" s="526"/>
      <c r="D104" s="526"/>
      <c r="E104" s="526"/>
      <c r="F104" s="526"/>
      <c r="G104" s="526"/>
      <c r="H104" s="526"/>
      <c r="I104" s="526"/>
      <c r="J104" s="526"/>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x14ac:dyDescent="0.25">
      <c r="A105" s="64"/>
      <c r="B105" s="125"/>
      <c r="C105" s="64"/>
      <c r="D105" s="64"/>
      <c r="E105" s="64"/>
      <c r="F105" s="125"/>
      <c r="G105" s="200"/>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ht="15.75" customHeight="1" x14ac:dyDescent="0.25">
      <c r="A106" s="178" t="s">
        <v>328</v>
      </c>
      <c r="B106" s="294" t="s">
        <v>420</v>
      </c>
      <c r="C106" s="125"/>
      <c r="D106" s="292" t="s">
        <v>218</v>
      </c>
      <c r="E106" s="295">
        <f>ROUND(E99*(POWER(D94,1)+POWER(D94,4))/2,4)</f>
        <v>1.0235000000000001</v>
      </c>
      <c r="F106" s="296"/>
      <c r="G106" s="200"/>
      <c r="L106" s="131"/>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pans="1:256" x14ac:dyDescent="0.25">
      <c r="A107" s="178"/>
      <c r="B107" s="294"/>
      <c r="C107" s="125"/>
      <c r="D107" s="292"/>
      <c r="E107" s="295"/>
      <c r="F107" s="296"/>
      <c r="G107" s="200"/>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c r="EO107" s="125"/>
      <c r="EP107" s="125"/>
      <c r="EQ107" s="125"/>
      <c r="ER107" s="125"/>
      <c r="ES107" s="125"/>
      <c r="ET107" s="125"/>
      <c r="EU107" s="125"/>
      <c r="EV107" s="125"/>
      <c r="EW107" s="125"/>
      <c r="EX107" s="125"/>
      <c r="EY107" s="125"/>
      <c r="EZ107" s="125"/>
      <c r="FA107" s="125"/>
      <c r="FB107" s="125"/>
      <c r="FC107" s="125"/>
      <c r="FD107" s="125"/>
      <c r="FE107" s="125"/>
      <c r="FF107" s="125"/>
      <c r="FG107" s="125"/>
      <c r="FH107" s="125"/>
      <c r="FI107" s="125"/>
      <c r="FJ107" s="125"/>
      <c r="FK107" s="125"/>
      <c r="FL107" s="125"/>
      <c r="FM107" s="125"/>
      <c r="FN107" s="125"/>
      <c r="FO107" s="125"/>
      <c r="FP107" s="125"/>
      <c r="FQ107" s="125"/>
      <c r="FR107" s="125"/>
      <c r="FS107" s="125"/>
      <c r="FT107" s="125"/>
      <c r="FU107" s="125"/>
      <c r="FV107" s="125"/>
      <c r="FW107" s="125"/>
      <c r="FX107" s="125"/>
      <c r="FY107" s="125"/>
      <c r="FZ107" s="125"/>
      <c r="GA107" s="125"/>
      <c r="GB107" s="125"/>
      <c r="GC107" s="125"/>
      <c r="GD107" s="125"/>
      <c r="GE107" s="125"/>
      <c r="GF107" s="125"/>
      <c r="GG107" s="125"/>
      <c r="GH107" s="125"/>
      <c r="GI107" s="125"/>
      <c r="GJ107" s="125"/>
      <c r="GK107" s="125"/>
      <c r="GL107" s="125"/>
      <c r="GM107" s="125"/>
      <c r="GN107" s="125"/>
      <c r="GO107" s="125"/>
      <c r="GP107" s="125"/>
      <c r="GQ107" s="125"/>
      <c r="GR107" s="125"/>
      <c r="GS107" s="125"/>
      <c r="GT107" s="125"/>
      <c r="GU107" s="125"/>
      <c r="GV107" s="125"/>
      <c r="GW107" s="125"/>
      <c r="GX107" s="125"/>
      <c r="GY107" s="125"/>
      <c r="GZ107" s="125"/>
      <c r="HA107" s="125"/>
      <c r="HB107" s="125"/>
      <c r="HC107" s="125"/>
      <c r="HD107" s="125"/>
      <c r="HE107" s="125"/>
      <c r="HF107" s="125"/>
      <c r="HG107" s="125"/>
      <c r="HH107" s="125"/>
      <c r="HI107" s="125"/>
      <c r="HJ107" s="125"/>
      <c r="HK107" s="125"/>
      <c r="HL107" s="125"/>
      <c r="HM107" s="125"/>
      <c r="HN107" s="125"/>
      <c r="HO107" s="125"/>
      <c r="HP107" s="125"/>
      <c r="HQ107" s="125"/>
      <c r="HR107" s="125"/>
      <c r="HS107" s="125"/>
      <c r="HT107" s="125"/>
      <c r="HU107" s="125"/>
      <c r="HV107" s="125"/>
      <c r="HW107" s="125"/>
      <c r="HX107" s="125"/>
      <c r="HY107" s="125"/>
      <c r="HZ107" s="125"/>
      <c r="IA107" s="125"/>
      <c r="IB107" s="125"/>
      <c r="IC107" s="125"/>
      <c r="ID107" s="125"/>
      <c r="IE107" s="125"/>
      <c r="IF107" s="125"/>
      <c r="IG107" s="125"/>
      <c r="IH107" s="125"/>
      <c r="II107" s="125"/>
      <c r="IJ107" s="125"/>
      <c r="IK107" s="125"/>
      <c r="IL107" s="125"/>
      <c r="IM107" s="125"/>
      <c r="IN107" s="125"/>
      <c r="IO107" s="125"/>
      <c r="IP107" s="125"/>
      <c r="IQ107" s="125"/>
      <c r="IR107" s="125"/>
      <c r="IS107" s="125"/>
      <c r="IT107" s="125"/>
      <c r="IU107" s="125"/>
      <c r="IV107" s="125"/>
    </row>
    <row r="108" spans="1:256" ht="9.75" customHeight="1" x14ac:dyDescent="0.25">
      <c r="A108" s="178"/>
      <c r="B108" s="183"/>
      <c r="C108" s="292"/>
      <c r="D108" s="183"/>
      <c r="E108" s="183"/>
      <c r="F108" s="297"/>
    </row>
    <row r="109" spans="1:256" ht="36" customHeight="1" x14ac:dyDescent="0.25">
      <c r="A109" s="524" t="s">
        <v>329</v>
      </c>
      <c r="B109" s="524"/>
      <c r="C109" s="524"/>
      <c r="D109" s="524"/>
      <c r="E109" s="524"/>
      <c r="F109" s="524"/>
    </row>
    <row r="110" spans="1:256" x14ac:dyDescent="0.25">
      <c r="A110" s="183"/>
      <c r="B110" s="125"/>
      <c r="C110" s="125"/>
      <c r="D110" s="125"/>
      <c r="E110" s="125"/>
      <c r="F110" s="297"/>
      <c r="G110" s="125"/>
      <c r="H110" s="125"/>
      <c r="I110" s="125"/>
      <c r="J110" s="125"/>
      <c r="K110" s="125"/>
      <c r="L110" s="125"/>
      <c r="M110" s="125"/>
    </row>
    <row r="111" spans="1:256" x14ac:dyDescent="0.25">
      <c r="A111" s="554" t="s">
        <v>426</v>
      </c>
      <c r="B111" s="554"/>
      <c r="C111" s="554"/>
      <c r="D111" s="554"/>
      <c r="E111" s="295">
        <f>ROUND((E83*E101+E84*E106),4)</f>
        <v>1.0225</v>
      </c>
      <c r="F111" s="297"/>
    </row>
    <row r="112" spans="1:256" x14ac:dyDescent="0.25">
      <c r="A112" s="364"/>
      <c r="B112" s="365"/>
      <c r="C112" s="365"/>
      <c r="D112" s="295"/>
      <c r="E112" s="183"/>
      <c r="F112" s="297"/>
    </row>
    <row r="113" spans="1:256" x14ac:dyDescent="0.25">
      <c r="A113" s="364" t="s">
        <v>311</v>
      </c>
      <c r="B113" s="365"/>
      <c r="C113" s="365"/>
      <c r="D113" s="387"/>
      <c r="E113" s="183"/>
      <c r="F113" s="297"/>
    </row>
    <row r="114" spans="1:256" x14ac:dyDescent="0.25">
      <c r="A114" s="366" t="s">
        <v>330</v>
      </c>
      <c r="B114" s="367" t="s">
        <v>417</v>
      </c>
      <c r="C114" s="365"/>
      <c r="D114" s="295"/>
      <c r="E114" s="183"/>
      <c r="F114" s="297"/>
    </row>
    <row r="115" spans="1:256" x14ac:dyDescent="0.25">
      <c r="A115" s="366" t="s">
        <v>331</v>
      </c>
      <c r="B115" s="367" t="s">
        <v>415</v>
      </c>
      <c r="C115" s="365"/>
      <c r="D115" s="295"/>
      <c r="E115" s="183"/>
      <c r="F115" s="297"/>
      <c r="J115" s="375"/>
    </row>
    <row r="116" spans="1:256" x14ac:dyDescent="0.25">
      <c r="A116" s="366" t="s">
        <v>198</v>
      </c>
      <c r="B116" s="368" t="s">
        <v>379</v>
      </c>
      <c r="C116" s="365"/>
      <c r="D116" s="295"/>
      <c r="E116" s="183"/>
      <c r="F116" s="297"/>
      <c r="J116" s="37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25"/>
      <c r="DG116" s="125"/>
      <c r="DH116" s="125"/>
      <c r="DI116" s="125"/>
      <c r="DJ116" s="125"/>
      <c r="DK116" s="125"/>
      <c r="DL116" s="125"/>
      <c r="DM116" s="125"/>
      <c r="DN116" s="125"/>
      <c r="DO116" s="125"/>
      <c r="DP116" s="125"/>
      <c r="DQ116" s="125"/>
      <c r="DR116" s="125"/>
      <c r="DS116" s="125"/>
      <c r="DT116" s="125"/>
      <c r="DU116" s="125"/>
      <c r="DV116" s="125"/>
      <c r="DW116" s="125"/>
      <c r="DX116" s="125"/>
      <c r="DY116" s="125"/>
      <c r="DZ116" s="125"/>
      <c r="EA116" s="125"/>
      <c r="EB116" s="125"/>
      <c r="EC116" s="125"/>
      <c r="ED116" s="125"/>
      <c r="EE116" s="125"/>
      <c r="EF116" s="125"/>
      <c r="EG116" s="125"/>
      <c r="EH116" s="125"/>
      <c r="EI116" s="125"/>
      <c r="EJ116" s="125"/>
      <c r="EK116" s="125"/>
      <c r="EL116" s="125"/>
      <c r="EM116" s="125"/>
      <c r="EN116" s="125"/>
      <c r="EO116" s="125"/>
      <c r="EP116" s="125"/>
      <c r="EQ116" s="125"/>
      <c r="ER116" s="125"/>
      <c r="ES116" s="125"/>
      <c r="ET116" s="125"/>
      <c r="EU116" s="125"/>
      <c r="EV116" s="125"/>
      <c r="EW116" s="125"/>
      <c r="EX116" s="125"/>
      <c r="EY116" s="125"/>
      <c r="EZ116" s="125"/>
      <c r="FA116" s="125"/>
      <c r="FB116" s="125"/>
      <c r="FC116" s="125"/>
      <c r="FD116" s="125"/>
      <c r="FE116" s="125"/>
      <c r="FF116" s="125"/>
      <c r="FG116" s="125"/>
      <c r="FH116" s="125"/>
      <c r="FI116" s="125"/>
      <c r="FJ116" s="125"/>
      <c r="FK116" s="125"/>
      <c r="FL116" s="125"/>
      <c r="FM116" s="125"/>
      <c r="FN116" s="125"/>
      <c r="FO116" s="125"/>
      <c r="FP116" s="125"/>
      <c r="FQ116" s="125"/>
      <c r="FR116" s="125"/>
      <c r="FS116" s="125"/>
      <c r="FT116" s="125"/>
      <c r="FU116" s="125"/>
      <c r="FV116" s="125"/>
      <c r="FW116" s="125"/>
      <c r="FX116" s="125"/>
      <c r="FY116" s="125"/>
      <c r="FZ116" s="125"/>
      <c r="GA116" s="125"/>
      <c r="GB116" s="125"/>
      <c r="GC116" s="125"/>
      <c r="GD116" s="125"/>
      <c r="GE116" s="125"/>
      <c r="GF116" s="125"/>
      <c r="GG116" s="125"/>
      <c r="GH116" s="125"/>
      <c r="GI116" s="125"/>
      <c r="GJ116" s="125"/>
      <c r="GK116" s="125"/>
      <c r="GL116" s="125"/>
      <c r="GM116" s="125"/>
      <c r="GN116" s="125"/>
      <c r="GO116" s="125"/>
      <c r="GP116" s="125"/>
      <c r="GQ116" s="125"/>
      <c r="GR116" s="125"/>
      <c r="GS116" s="125"/>
      <c r="GT116" s="125"/>
      <c r="GU116" s="125"/>
      <c r="GV116" s="125"/>
      <c r="GW116" s="125"/>
      <c r="GX116" s="125"/>
      <c r="GY116" s="125"/>
      <c r="GZ116" s="125"/>
      <c r="HA116" s="125"/>
      <c r="HB116" s="125"/>
      <c r="HC116" s="125"/>
      <c r="HD116" s="125"/>
      <c r="HE116" s="125"/>
      <c r="HF116" s="125"/>
      <c r="HG116" s="125"/>
      <c r="HH116" s="125"/>
      <c r="HI116" s="125"/>
      <c r="HJ116" s="125"/>
      <c r="HK116" s="125"/>
      <c r="HL116" s="125"/>
      <c r="HM116" s="125"/>
      <c r="HN116" s="125"/>
      <c r="HO116" s="125"/>
      <c r="HP116" s="125"/>
      <c r="HQ116" s="125"/>
      <c r="HR116" s="125"/>
      <c r="HS116" s="125"/>
      <c r="HT116" s="125"/>
      <c r="HU116" s="125"/>
      <c r="HV116" s="125"/>
      <c r="HW116" s="125"/>
      <c r="HX116" s="125"/>
      <c r="HY116" s="125"/>
      <c r="HZ116" s="125"/>
      <c r="IA116" s="125"/>
      <c r="IB116" s="125"/>
      <c r="IC116" s="125"/>
      <c r="ID116" s="125"/>
      <c r="IE116" s="125"/>
      <c r="IF116" s="125"/>
      <c r="IG116" s="125"/>
      <c r="IH116" s="125"/>
      <c r="II116" s="125"/>
      <c r="IJ116" s="125"/>
      <c r="IK116" s="125"/>
      <c r="IL116" s="125"/>
      <c r="IM116" s="125"/>
      <c r="IN116" s="125"/>
      <c r="IO116" s="125"/>
      <c r="IP116" s="125"/>
      <c r="IQ116" s="125"/>
      <c r="IR116" s="125"/>
      <c r="IS116" s="125"/>
      <c r="IT116" s="125"/>
      <c r="IU116" s="125"/>
      <c r="IV116" s="125"/>
    </row>
    <row r="117" spans="1:256" x14ac:dyDescent="0.25">
      <c r="A117" s="183" t="s">
        <v>199</v>
      </c>
      <c r="B117" s="181" t="s">
        <v>405</v>
      </c>
      <c r="C117" s="299"/>
      <c r="D117" s="295"/>
      <c r="E117" s="183"/>
      <c r="F117" s="297"/>
    </row>
    <row r="118" spans="1:256" x14ac:dyDescent="0.25">
      <c r="A118" s="183"/>
      <c r="B118" s="181"/>
      <c r="C118" s="299"/>
      <c r="D118" s="295"/>
      <c r="E118" s="183"/>
      <c r="F118" s="297"/>
    </row>
    <row r="119" spans="1:256" x14ac:dyDescent="0.25">
      <c r="A119" s="178" t="s">
        <v>332</v>
      </c>
      <c r="B119" s="181"/>
      <c r="C119" s="299"/>
      <c r="D119" s="295"/>
      <c r="E119" s="183"/>
      <c r="F119" s="297"/>
    </row>
    <row r="120" spans="1:256" x14ac:dyDescent="0.25">
      <c r="A120" s="178"/>
      <c r="B120" s="181"/>
      <c r="C120" s="299"/>
      <c r="D120" s="295"/>
      <c r="E120" s="183"/>
      <c r="F120" s="297"/>
    </row>
    <row r="121" spans="1:256" ht="53.25" customHeight="1" x14ac:dyDescent="0.25">
      <c r="A121" s="522" t="s">
        <v>423</v>
      </c>
      <c r="B121" s="522"/>
      <c r="C121" s="522"/>
      <c r="D121" s="522"/>
      <c r="E121" s="522"/>
      <c r="F121" s="522"/>
      <c r="G121" s="522"/>
      <c r="H121" s="522"/>
      <c r="I121" s="522"/>
      <c r="J121" s="522"/>
      <c r="K121" s="522"/>
    </row>
    <row r="122" spans="1:256" x14ac:dyDescent="0.25">
      <c r="A122" s="301" t="s">
        <v>333</v>
      </c>
      <c r="B122" s="301" t="s">
        <v>424</v>
      </c>
      <c r="C122" s="302">
        <f>ROUND((D93+POWER(D93,2))/2,4)</f>
        <v>1.0095000000000001</v>
      </c>
      <c r="D122" s="287"/>
      <c r="E122" s="287"/>
      <c r="F122" s="287"/>
    </row>
    <row r="123" spans="1:256" x14ac:dyDescent="0.25">
      <c r="A123" s="178"/>
      <c r="B123" s="293"/>
      <c r="C123" s="293"/>
      <c r="D123" s="295"/>
      <c r="E123" s="183"/>
      <c r="F123" s="297"/>
    </row>
    <row r="124" spans="1:256" ht="38.25" customHeight="1" x14ac:dyDescent="0.25">
      <c r="A124" s="522" t="s">
        <v>402</v>
      </c>
      <c r="B124" s="522"/>
      <c r="C124" s="522"/>
      <c r="D124" s="522"/>
      <c r="E124" s="522"/>
      <c r="F124" s="522"/>
      <c r="G124" s="522"/>
      <c r="H124" s="522"/>
      <c r="I124" s="522"/>
      <c r="J124" s="522"/>
      <c r="K124" s="522"/>
    </row>
    <row r="126" spans="1:256" x14ac:dyDescent="0.25">
      <c r="A126" s="183" t="s">
        <v>227</v>
      </c>
      <c r="B126" s="296"/>
      <c r="C126" s="296"/>
      <c r="D126" s="296"/>
    </row>
    <row r="127" spans="1:256" x14ac:dyDescent="0.25">
      <c r="A127" s="296" t="s">
        <v>349</v>
      </c>
      <c r="B127" s="296" t="s">
        <v>350</v>
      </c>
      <c r="C127" s="296"/>
      <c r="F127" s="296" t="s">
        <v>397</v>
      </c>
    </row>
    <row r="128" spans="1:256" x14ac:dyDescent="0.25">
      <c r="A128" s="125"/>
      <c r="B128" s="296"/>
      <c r="C128" s="296"/>
      <c r="D128" s="296"/>
    </row>
    <row r="129" spans="1:4" x14ac:dyDescent="0.25">
      <c r="A129" s="296"/>
      <c r="B129" s="296"/>
      <c r="C129" s="296"/>
      <c r="D129" s="296"/>
    </row>
    <row r="130" spans="1:4" x14ac:dyDescent="0.25">
      <c r="A130" s="296"/>
      <c r="B130" s="296"/>
      <c r="C130" s="296"/>
      <c r="D130" s="296"/>
    </row>
    <row r="131" spans="1:4" ht="15.75" x14ac:dyDescent="0.25">
      <c r="A131" s="523"/>
      <c r="B131" s="523"/>
      <c r="C131" s="315"/>
      <c r="D131" s="316"/>
    </row>
  </sheetData>
  <mergeCells count="43">
    <mergeCell ref="A7:F7"/>
    <mergeCell ref="D1:F1"/>
    <mergeCell ref="J1:K1"/>
    <mergeCell ref="A3:K3"/>
    <mergeCell ref="A4:K4"/>
    <mergeCell ref="A6:F6"/>
    <mergeCell ref="A42:F42"/>
    <mergeCell ref="A9:F9"/>
    <mergeCell ref="A10:F10"/>
    <mergeCell ref="A11:F11"/>
    <mergeCell ref="A12:K12"/>
    <mergeCell ref="A13:F13"/>
    <mergeCell ref="A15:A16"/>
    <mergeCell ref="B15:B16"/>
    <mergeCell ref="C15:C16"/>
    <mergeCell ref="D15:D16"/>
    <mergeCell ref="E15:E16"/>
    <mergeCell ref="F15:F16"/>
    <mergeCell ref="G15:H15"/>
    <mergeCell ref="I15:I16"/>
    <mergeCell ref="J15:K15"/>
    <mergeCell ref="A41:F41"/>
    <mergeCell ref="A86:K86"/>
    <mergeCell ref="A43:C43"/>
    <mergeCell ref="B49:C49"/>
    <mergeCell ref="A53:K53"/>
    <mergeCell ref="D60:E60"/>
    <mergeCell ref="D62:F62"/>
    <mergeCell ref="D68:F68"/>
    <mergeCell ref="D69:F69"/>
    <mergeCell ref="D70:F70"/>
    <mergeCell ref="D71:F71"/>
    <mergeCell ref="A76:E76"/>
    <mergeCell ref="A79:E79"/>
    <mergeCell ref="A121:K121"/>
    <mergeCell ref="A124:K124"/>
    <mergeCell ref="A131:B131"/>
    <mergeCell ref="A99:D99"/>
    <mergeCell ref="A100:D100"/>
    <mergeCell ref="A101:D101"/>
    <mergeCell ref="A104:J104"/>
    <mergeCell ref="A109:F109"/>
    <mergeCell ref="A111:D111"/>
  </mergeCells>
  <pageMargins left="0.7" right="0.7" top="0.75" bottom="0.75" header="0.3" footer="0.3"/>
  <pageSetup paperSize="9" scale="47" fitToHeight="0" orientation="portrait" r:id="rId1"/>
  <rowBreaks count="1" manualBreakCount="1">
    <brk id="86" max="10" man="1"/>
  </rowBreaks>
  <colBreaks count="1" manualBreakCount="1">
    <brk id="11" max="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view="pageBreakPreview" topLeftCell="A32" zoomScale="90" zoomScaleNormal="70" zoomScaleSheetLayoutView="90" workbookViewId="0">
      <selection activeCell="D57" sqref="D57"/>
    </sheetView>
  </sheetViews>
  <sheetFormatPr defaultRowHeight="15.75" x14ac:dyDescent="0.25"/>
  <cols>
    <col min="1" max="1" width="7.5703125" style="6" customWidth="1"/>
    <col min="2" max="2" width="70.42578125" style="6" customWidth="1"/>
    <col min="3" max="3" width="16" style="7" customWidth="1"/>
    <col min="4" max="4" width="15.85546875" style="7" customWidth="1"/>
    <col min="5" max="5" width="14.5703125" style="7" customWidth="1"/>
    <col min="6" max="6" width="18.7109375" style="7" customWidth="1"/>
    <col min="7" max="7" width="20" style="7" customWidth="1"/>
    <col min="8" max="8" width="19.42578125" style="9" customWidth="1"/>
    <col min="9" max="9" width="17.5703125" style="6" customWidth="1"/>
    <col min="10" max="10" width="14.42578125" style="6" customWidth="1"/>
    <col min="11" max="11" width="17.85546875" style="6" customWidth="1"/>
    <col min="12" max="12" width="13.28515625" style="6" bestFit="1" customWidth="1"/>
    <col min="13" max="13" width="11.5703125" style="6" bestFit="1" customWidth="1"/>
    <col min="14" max="14" width="11.28515625" style="6" bestFit="1" customWidth="1"/>
    <col min="15" max="16384" width="9.140625" style="6"/>
  </cols>
  <sheetData>
    <row r="1" spans="1:8" s="15" customFormat="1" ht="15.75" customHeight="1" x14ac:dyDescent="0.25">
      <c r="A1" s="492" t="s">
        <v>61</v>
      </c>
      <c r="B1" s="492"/>
      <c r="C1" s="492"/>
      <c r="D1" s="7"/>
      <c r="E1" s="7"/>
      <c r="F1" s="493" t="s">
        <v>58</v>
      </c>
      <c r="G1" s="493"/>
      <c r="H1" s="493"/>
    </row>
    <row r="2" spans="1:8" s="39" customFormat="1" ht="23.25" customHeight="1" x14ac:dyDescent="0.2">
      <c r="A2" s="492"/>
      <c r="B2" s="492"/>
      <c r="C2" s="492"/>
      <c r="D2" s="38"/>
      <c r="E2" s="38"/>
      <c r="F2" s="493"/>
      <c r="G2" s="493"/>
      <c r="H2" s="493"/>
    </row>
    <row r="3" spans="1:8" s="39" customFormat="1" ht="22.5" customHeight="1" x14ac:dyDescent="0.25">
      <c r="A3" s="492"/>
      <c r="B3" s="492"/>
      <c r="C3" s="492"/>
      <c r="D3" s="40"/>
      <c r="E3" s="40"/>
      <c r="F3" s="493"/>
      <c r="G3" s="493"/>
      <c r="H3" s="493"/>
    </row>
    <row r="4" spans="1:8" s="39" customFormat="1" ht="21" customHeight="1" x14ac:dyDescent="0.2">
      <c r="A4" s="492"/>
      <c r="B4" s="492"/>
      <c r="C4" s="492"/>
      <c r="D4" s="38"/>
      <c r="E4" s="38"/>
      <c r="F4" s="493"/>
      <c r="G4" s="493"/>
      <c r="H4" s="493"/>
    </row>
    <row r="5" spans="1:8" s="39" customFormat="1" ht="39.75" customHeight="1" x14ac:dyDescent="0.2">
      <c r="A5" s="492"/>
      <c r="B5" s="492"/>
      <c r="C5" s="492"/>
      <c r="D5" s="38"/>
      <c r="E5" s="38"/>
      <c r="F5" s="493"/>
      <c r="G5" s="493"/>
      <c r="H5" s="493"/>
    </row>
    <row r="6" spans="1:8" s="39" customFormat="1" ht="19.5" customHeight="1" x14ac:dyDescent="0.2">
      <c r="A6" s="41"/>
      <c r="B6" s="41"/>
      <c r="C6" s="41"/>
      <c r="D6" s="38"/>
      <c r="E6" s="38"/>
      <c r="F6" s="28"/>
      <c r="G6" s="28"/>
      <c r="H6" s="28"/>
    </row>
    <row r="7" spans="1:8" s="30" customFormat="1" ht="37.5" customHeight="1" x14ac:dyDescent="0.25">
      <c r="A7" s="494" t="s">
        <v>124</v>
      </c>
      <c r="B7" s="495"/>
      <c r="C7" s="495"/>
      <c r="D7" s="495"/>
      <c r="E7" s="495"/>
      <c r="F7" s="495"/>
      <c r="G7" s="495"/>
      <c r="H7" s="496"/>
    </row>
    <row r="8" spans="1:8" s="30" customFormat="1" ht="18" customHeight="1" x14ac:dyDescent="0.25">
      <c r="A8" s="29"/>
      <c r="B8" s="494"/>
      <c r="C8" s="494"/>
      <c r="D8" s="494"/>
      <c r="E8" s="494"/>
      <c r="F8" s="494"/>
      <c r="G8" s="494"/>
      <c r="H8" s="494"/>
    </row>
    <row r="9" spans="1:8" s="30" customFormat="1" ht="23.25" customHeight="1" x14ac:dyDescent="0.25">
      <c r="C9" s="32"/>
      <c r="D9" s="32"/>
      <c r="E9" s="32"/>
      <c r="F9" s="32"/>
      <c r="G9" s="91">
        <f>1.073</f>
        <v>1.073</v>
      </c>
      <c r="H9" s="26" t="s">
        <v>9</v>
      </c>
    </row>
    <row r="10" spans="1:8" s="30" customFormat="1" ht="113.25" customHeight="1" x14ac:dyDescent="0.25">
      <c r="A10" s="1" t="s">
        <v>0</v>
      </c>
      <c r="B10" s="2" t="s">
        <v>1</v>
      </c>
      <c r="C10" s="5" t="s">
        <v>137</v>
      </c>
      <c r="D10" s="5" t="s">
        <v>6</v>
      </c>
      <c r="E10" s="5" t="s">
        <v>10</v>
      </c>
      <c r="F10" s="5" t="s">
        <v>138</v>
      </c>
      <c r="G10" s="67" t="s">
        <v>139</v>
      </c>
      <c r="H10" s="67" t="s">
        <v>57</v>
      </c>
    </row>
    <row r="11" spans="1:8" s="30" customFormat="1" ht="18" customHeight="1" x14ac:dyDescent="0.25">
      <c r="A11" s="11">
        <v>1</v>
      </c>
      <c r="B11" s="11">
        <v>2</v>
      </c>
      <c r="C11" s="11">
        <v>3</v>
      </c>
      <c r="D11" s="11">
        <v>4</v>
      </c>
      <c r="E11" s="11">
        <v>5</v>
      </c>
      <c r="F11" s="11">
        <v>6</v>
      </c>
      <c r="G11" s="11">
        <v>7</v>
      </c>
      <c r="H11" s="11">
        <v>8</v>
      </c>
    </row>
    <row r="12" spans="1:8" s="30" customFormat="1" ht="22.5" customHeight="1" x14ac:dyDescent="0.25">
      <c r="A12" s="11"/>
      <c r="B12" s="20" t="s">
        <v>2</v>
      </c>
      <c r="C12" s="14"/>
      <c r="D12" s="14"/>
      <c r="E12" s="14"/>
      <c r="F12" s="14"/>
      <c r="G12" s="14"/>
      <c r="H12" s="31"/>
    </row>
    <row r="13" spans="1:8" s="30" customFormat="1" ht="24" customHeight="1" x14ac:dyDescent="0.25">
      <c r="A13" s="11">
        <v>1</v>
      </c>
      <c r="B13" s="10" t="s">
        <v>78</v>
      </c>
      <c r="C13" s="83">
        <v>17300.77</v>
      </c>
      <c r="D13" s="84"/>
      <c r="E13" s="84"/>
      <c r="F13" s="84"/>
      <c r="G13" s="84"/>
      <c r="H13" s="85"/>
    </row>
    <row r="14" spans="1:8" s="30" customFormat="1" ht="20.25" customHeight="1" x14ac:dyDescent="0.25">
      <c r="A14" s="11">
        <v>2</v>
      </c>
      <c r="B14" s="10" t="s">
        <v>125</v>
      </c>
      <c r="C14" s="83">
        <v>1578.85</v>
      </c>
      <c r="D14" s="48"/>
      <c r="E14" s="48"/>
      <c r="F14" s="48"/>
      <c r="G14" s="48"/>
      <c r="H14" s="49"/>
    </row>
    <row r="15" spans="1:8" s="30" customFormat="1" ht="21" customHeight="1" x14ac:dyDescent="0.25">
      <c r="A15" s="11">
        <v>3</v>
      </c>
      <c r="B15" s="10" t="s">
        <v>88</v>
      </c>
      <c r="C15" s="83">
        <v>1693.03</v>
      </c>
      <c r="D15" s="84"/>
      <c r="E15" s="84"/>
      <c r="F15" s="84"/>
      <c r="G15" s="84"/>
      <c r="H15" s="85"/>
    </row>
    <row r="16" spans="1:8" s="30" customFormat="1" ht="21.75" customHeight="1" x14ac:dyDescent="0.25">
      <c r="A16" s="11">
        <v>4</v>
      </c>
      <c r="B16" s="10" t="s">
        <v>134</v>
      </c>
      <c r="C16" s="83">
        <v>832.77</v>
      </c>
      <c r="D16" s="84"/>
      <c r="E16" s="84"/>
      <c r="F16" s="84"/>
      <c r="G16" s="84"/>
      <c r="H16" s="85"/>
    </row>
    <row r="17" spans="1:10" s="30" customFormat="1" ht="23.25" customHeight="1" x14ac:dyDescent="0.25">
      <c r="A17" s="11">
        <v>5</v>
      </c>
      <c r="B17" s="10" t="s">
        <v>133</v>
      </c>
      <c r="C17" s="83">
        <v>304.48</v>
      </c>
      <c r="D17" s="84"/>
      <c r="E17" s="84"/>
      <c r="F17" s="84"/>
      <c r="G17" s="84"/>
      <c r="H17" s="85"/>
    </row>
    <row r="18" spans="1:10" s="30" customFormat="1" ht="21.75" customHeight="1" x14ac:dyDescent="0.25">
      <c r="A18" s="11">
        <v>6</v>
      </c>
      <c r="B18" s="10" t="s">
        <v>96</v>
      </c>
      <c r="C18" s="83">
        <v>126.34</v>
      </c>
      <c r="D18" s="84"/>
      <c r="E18" s="84"/>
      <c r="F18" s="84"/>
      <c r="G18" s="84"/>
      <c r="H18" s="85"/>
    </row>
    <row r="19" spans="1:10" s="30" customFormat="1" x14ac:dyDescent="0.25">
      <c r="A19" s="43"/>
      <c r="B19" s="20" t="s">
        <v>60</v>
      </c>
      <c r="C19" s="50">
        <f>ROUND(SUM(C13:C18),2)</f>
        <v>21836.240000000002</v>
      </c>
      <c r="D19" s="50">
        <v>0</v>
      </c>
      <c r="E19" s="50">
        <v>0</v>
      </c>
      <c r="F19" s="50">
        <f t="shared" ref="F19:F24" si="0">C19-D19</f>
        <v>21836.240000000002</v>
      </c>
      <c r="G19" s="50">
        <f>ROUND(F19*G9,2)</f>
        <v>23430.29</v>
      </c>
      <c r="H19" s="51">
        <f>D19+G19</f>
        <v>23430.29</v>
      </c>
    </row>
    <row r="20" spans="1:10" s="30" customFormat="1" ht="30" customHeight="1" x14ac:dyDescent="0.25">
      <c r="A20" s="11">
        <v>7</v>
      </c>
      <c r="B20" s="12" t="s">
        <v>7</v>
      </c>
      <c r="C20" s="52">
        <f>ROUND(C19*2%,2)</f>
        <v>436.72</v>
      </c>
      <c r="D20" s="53">
        <f>(D19-D13)*2%</f>
        <v>0</v>
      </c>
      <c r="E20" s="53">
        <v>0</v>
      </c>
      <c r="F20" s="48">
        <f>C20-D20</f>
        <v>436.72</v>
      </c>
      <c r="G20" s="48">
        <f>G19*2%</f>
        <v>468.61</v>
      </c>
      <c r="H20" s="49">
        <f>D20+G20</f>
        <v>468.61</v>
      </c>
    </row>
    <row r="21" spans="1:10" x14ac:dyDescent="0.25">
      <c r="A21" s="43"/>
      <c r="B21" s="21" t="s">
        <v>12</v>
      </c>
      <c r="C21" s="50">
        <f>ROUND(C19+C20,2)</f>
        <v>22272.959999999999</v>
      </c>
      <c r="D21" s="54">
        <f>D19+D20</f>
        <v>0</v>
      </c>
      <c r="E21" s="54">
        <v>0</v>
      </c>
      <c r="F21" s="55">
        <f t="shared" si="0"/>
        <v>22272.959999999999</v>
      </c>
      <c r="G21" s="50">
        <f>G19+G20</f>
        <v>23898.9</v>
      </c>
      <c r="H21" s="51">
        <f>D21+G21</f>
        <v>23898.9</v>
      </c>
    </row>
    <row r="22" spans="1:10" ht="24" customHeight="1" x14ac:dyDescent="0.25">
      <c r="A22" s="45"/>
      <c r="B22" s="22" t="s">
        <v>27</v>
      </c>
      <c r="C22" s="56">
        <f>(C21)</f>
        <v>22272.959999999999</v>
      </c>
      <c r="D22" s="56">
        <f>D21</f>
        <v>0</v>
      </c>
      <c r="E22" s="56">
        <f>E21</f>
        <v>0</v>
      </c>
      <c r="F22" s="57">
        <f t="shared" si="0"/>
        <v>22272.959999999999</v>
      </c>
      <c r="G22" s="50">
        <f>G21</f>
        <v>23898.9</v>
      </c>
      <c r="H22" s="58">
        <f>D22+G22</f>
        <v>23898.9</v>
      </c>
    </row>
    <row r="23" spans="1:10" ht="25.5" customHeight="1" x14ac:dyDescent="0.25">
      <c r="A23" s="43"/>
      <c r="B23" s="12" t="s">
        <v>11</v>
      </c>
      <c r="C23" s="52">
        <f>ROUND(C22*20%,2)</f>
        <v>4454.59</v>
      </c>
      <c r="D23" s="53">
        <v>0</v>
      </c>
      <c r="E23" s="53">
        <v>0</v>
      </c>
      <c r="F23" s="48">
        <f t="shared" si="0"/>
        <v>4454.59</v>
      </c>
      <c r="G23" s="48">
        <f>ROUND(G22*20%,2)</f>
        <v>4779.78</v>
      </c>
      <c r="H23" s="49">
        <f>D23+G23</f>
        <v>4779.78</v>
      </c>
    </row>
    <row r="24" spans="1:10" s="18" customFormat="1" ht="23.25" customHeight="1" x14ac:dyDescent="0.25">
      <c r="A24" s="92"/>
      <c r="B24" s="23" t="s">
        <v>3</v>
      </c>
      <c r="C24" s="59">
        <f>C21+C23</f>
        <v>26727.55</v>
      </c>
      <c r="D24" s="59">
        <v>0</v>
      </c>
      <c r="E24" s="59">
        <v>0</v>
      </c>
      <c r="F24" s="59">
        <f t="shared" si="0"/>
        <v>26727.55</v>
      </c>
      <c r="G24" s="59">
        <f>G21+G23</f>
        <v>28678.68</v>
      </c>
      <c r="H24" s="59">
        <f>H21+H23</f>
        <v>28678.68</v>
      </c>
      <c r="I24" s="16"/>
      <c r="J24" s="9"/>
    </row>
    <row r="25" spans="1:10" ht="21.75" customHeight="1" x14ac:dyDescent="0.25">
      <c r="A25" s="43"/>
      <c r="B25" s="21" t="s">
        <v>4</v>
      </c>
      <c r="C25" s="14"/>
      <c r="D25" s="87"/>
      <c r="E25" s="87"/>
      <c r="F25" s="87"/>
      <c r="G25" s="86"/>
      <c r="H25" s="37"/>
    </row>
    <row r="26" spans="1:10" ht="21.75" customHeight="1" x14ac:dyDescent="0.25">
      <c r="A26" s="11">
        <v>1</v>
      </c>
      <c r="B26" s="10" t="s">
        <v>135</v>
      </c>
      <c r="C26" s="14">
        <v>467.3</v>
      </c>
      <c r="D26" s="79">
        <v>0</v>
      </c>
      <c r="E26" s="79">
        <f>C26</f>
        <v>467.3</v>
      </c>
      <c r="F26" s="79">
        <v>0</v>
      </c>
      <c r="G26" s="4">
        <v>0</v>
      </c>
      <c r="H26" s="27">
        <v>0</v>
      </c>
    </row>
    <row r="27" spans="1:10" ht="21.75" customHeight="1" x14ac:dyDescent="0.25">
      <c r="A27" s="11">
        <v>2</v>
      </c>
      <c r="B27" s="10" t="s">
        <v>127</v>
      </c>
      <c r="C27" s="83">
        <v>43.67</v>
      </c>
      <c r="D27" s="79">
        <v>0</v>
      </c>
      <c r="E27" s="79">
        <v>0</v>
      </c>
      <c r="F27" s="79">
        <f>C27</f>
        <v>43.67</v>
      </c>
      <c r="G27" s="4">
        <f>F27*G9</f>
        <v>46.86</v>
      </c>
      <c r="H27" s="27">
        <f>G27</f>
        <v>46.86</v>
      </c>
    </row>
    <row r="28" spans="1:10" ht="21.75" customHeight="1" x14ac:dyDescent="0.25">
      <c r="A28" s="11">
        <v>3</v>
      </c>
      <c r="B28" s="12" t="s">
        <v>126</v>
      </c>
      <c r="C28" s="79">
        <v>142.06</v>
      </c>
      <c r="D28" s="79">
        <f t="shared" ref="D28:D33" si="1">C28</f>
        <v>142.06</v>
      </c>
      <c r="E28" s="61">
        <v>0</v>
      </c>
      <c r="F28" s="61">
        <f>C28-D28</f>
        <v>0</v>
      </c>
      <c r="G28" s="48">
        <f>C28-D28</f>
        <v>0</v>
      </c>
      <c r="H28" s="49">
        <f>G28</f>
        <v>0</v>
      </c>
    </row>
    <row r="29" spans="1:10" ht="21.75" customHeight="1" x14ac:dyDescent="0.25">
      <c r="A29" s="11">
        <v>4</v>
      </c>
      <c r="B29" s="44" t="s">
        <v>140</v>
      </c>
      <c r="C29" s="83">
        <v>3300</v>
      </c>
      <c r="D29" s="4">
        <f t="shared" si="1"/>
        <v>3300</v>
      </c>
      <c r="E29" s="4">
        <v>0</v>
      </c>
      <c r="F29" s="4">
        <v>0</v>
      </c>
      <c r="G29" s="4">
        <v>0</v>
      </c>
      <c r="H29" s="27">
        <v>0</v>
      </c>
    </row>
    <row r="30" spans="1:10" ht="31.5" customHeight="1" x14ac:dyDescent="0.25">
      <c r="A30" s="11">
        <v>5</v>
      </c>
      <c r="B30" s="10" t="s">
        <v>128</v>
      </c>
      <c r="C30" s="83">
        <v>400</v>
      </c>
      <c r="D30" s="48">
        <f t="shared" si="1"/>
        <v>400</v>
      </c>
      <c r="E30" s="48">
        <v>0</v>
      </c>
      <c r="F30" s="48">
        <f>C30-D30-E30</f>
        <v>0</v>
      </c>
      <c r="G30" s="48">
        <f>ROUND(F30*1.084*1.073,2)</f>
        <v>0</v>
      </c>
      <c r="H30" s="49">
        <f t="shared" ref="H30:H39" si="2">G30</f>
        <v>0</v>
      </c>
    </row>
    <row r="31" spans="1:10" ht="21.75" customHeight="1" x14ac:dyDescent="0.25">
      <c r="A31" s="11">
        <v>6</v>
      </c>
      <c r="B31" s="10" t="s">
        <v>129</v>
      </c>
      <c r="C31" s="83">
        <v>268.89</v>
      </c>
      <c r="D31" s="48">
        <f t="shared" si="1"/>
        <v>268.89</v>
      </c>
      <c r="E31" s="48">
        <v>0</v>
      </c>
      <c r="F31" s="48">
        <f>C31-D31-E31</f>
        <v>0</v>
      </c>
      <c r="G31" s="48">
        <f>F31</f>
        <v>0</v>
      </c>
      <c r="H31" s="49">
        <f>G31</f>
        <v>0</v>
      </c>
    </row>
    <row r="32" spans="1:10" ht="26.25" customHeight="1" x14ac:dyDescent="0.25">
      <c r="A32" s="11">
        <v>7</v>
      </c>
      <c r="B32" s="10" t="s">
        <v>130</v>
      </c>
      <c r="C32" s="83">
        <v>82.63</v>
      </c>
      <c r="D32" s="48">
        <f t="shared" si="1"/>
        <v>82.63</v>
      </c>
      <c r="E32" s="48">
        <v>0</v>
      </c>
      <c r="F32" s="48">
        <v>0</v>
      </c>
      <c r="G32" s="48">
        <v>0</v>
      </c>
      <c r="H32" s="49">
        <v>0</v>
      </c>
    </row>
    <row r="33" spans="1:14" x14ac:dyDescent="0.25">
      <c r="A33" s="11">
        <v>8</v>
      </c>
      <c r="B33" s="10" t="s">
        <v>131</v>
      </c>
      <c r="C33" s="83">
        <v>87.46</v>
      </c>
      <c r="D33" s="48">
        <f t="shared" si="1"/>
        <v>87.46</v>
      </c>
      <c r="E33" s="48">
        <v>0</v>
      </c>
      <c r="F33" s="48">
        <v>0</v>
      </c>
      <c r="G33" s="48">
        <v>0</v>
      </c>
      <c r="H33" s="49">
        <v>0</v>
      </c>
      <c r="I33" s="16"/>
    </row>
    <row r="34" spans="1:14" ht="24" customHeight="1" x14ac:dyDescent="0.25">
      <c r="A34" s="11"/>
      <c r="B34" s="20" t="s">
        <v>141</v>
      </c>
      <c r="C34" s="3">
        <f>ROUND(SUM(C26:C33),2)</f>
        <v>4792.01</v>
      </c>
      <c r="D34" s="50">
        <f>SUM(D26:D33)</f>
        <v>4281.04</v>
      </c>
      <c r="E34" s="50">
        <f>SUM(E26:E33)</f>
        <v>467.3</v>
      </c>
      <c r="F34" s="50">
        <f>C34-D34-E34</f>
        <v>43.67</v>
      </c>
      <c r="G34" s="50">
        <f>SUM(G26:G33)</f>
        <v>46.86</v>
      </c>
      <c r="H34" s="51">
        <f>G34</f>
        <v>46.86</v>
      </c>
      <c r="I34" s="16"/>
      <c r="J34" s="16"/>
    </row>
    <row r="35" spans="1:14" x14ac:dyDescent="0.25">
      <c r="A35" s="11">
        <v>9</v>
      </c>
      <c r="B35" s="12" t="s">
        <v>132</v>
      </c>
      <c r="C35" s="83">
        <f>ROUND(C34*2%,2)</f>
        <v>95.84</v>
      </c>
      <c r="D35" s="83">
        <f>16/1.2</f>
        <v>13.33</v>
      </c>
      <c r="E35" s="83">
        <v>0</v>
      </c>
      <c r="F35" s="48">
        <f>C35-D35-E35</f>
        <v>82.51</v>
      </c>
      <c r="G35" s="48">
        <f>F35*G9</f>
        <v>88.53</v>
      </c>
      <c r="H35" s="49">
        <f t="shared" si="2"/>
        <v>88.53</v>
      </c>
      <c r="I35" s="16"/>
    </row>
    <row r="36" spans="1:14" x14ac:dyDescent="0.25">
      <c r="A36" s="44"/>
      <c r="B36" s="21" t="s">
        <v>12</v>
      </c>
      <c r="C36" s="89">
        <f>ROUND(SUM(C34:C35),2)</f>
        <v>4887.8500000000004</v>
      </c>
      <c r="D36" s="54">
        <f>D34+D35</f>
        <v>4294.37</v>
      </c>
      <c r="E36" s="54">
        <f>E34+E35</f>
        <v>467.3</v>
      </c>
      <c r="F36" s="50">
        <f>F34+F35</f>
        <v>126.18</v>
      </c>
      <c r="G36" s="50">
        <f>G34+G35</f>
        <v>135.38999999999999</v>
      </c>
      <c r="H36" s="51">
        <f t="shared" si="2"/>
        <v>135.38999999999999</v>
      </c>
      <c r="I36" s="16"/>
      <c r="J36" s="9"/>
    </row>
    <row r="37" spans="1:14" x14ac:dyDescent="0.25">
      <c r="A37" s="46"/>
      <c r="B37" s="22" t="s">
        <v>136</v>
      </c>
      <c r="C37" s="13">
        <f>ROUND((C36),2)</f>
        <v>4887.8500000000004</v>
      </c>
      <c r="D37" s="57">
        <f>D36</f>
        <v>4294.37</v>
      </c>
      <c r="E37" s="57">
        <f>E36</f>
        <v>467.3</v>
      </c>
      <c r="F37" s="57">
        <f>F36</f>
        <v>126.18</v>
      </c>
      <c r="G37" s="56">
        <f>G36</f>
        <v>135.38999999999999</v>
      </c>
      <c r="H37" s="58">
        <f t="shared" si="2"/>
        <v>135.38999999999999</v>
      </c>
      <c r="I37" s="16"/>
      <c r="J37" s="9"/>
    </row>
    <row r="38" spans="1:14" x14ac:dyDescent="0.25">
      <c r="A38" s="43"/>
      <c r="B38" s="12" t="s">
        <v>11</v>
      </c>
      <c r="C38" s="83">
        <f>ROUND(C37*20%,2)</f>
        <v>977.57</v>
      </c>
      <c r="D38" s="52">
        <f>D37*0.2</f>
        <v>858.87</v>
      </c>
      <c r="E38" s="48">
        <f>E37*0.2</f>
        <v>93.46</v>
      </c>
      <c r="F38" s="48">
        <f>F37*0.2</f>
        <v>25.24</v>
      </c>
      <c r="G38" s="48">
        <f>G37*0.2</f>
        <v>27.08</v>
      </c>
      <c r="H38" s="49">
        <f t="shared" si="2"/>
        <v>27.08</v>
      </c>
      <c r="I38" s="16"/>
      <c r="J38" s="9"/>
    </row>
    <row r="39" spans="1:14" x14ac:dyDescent="0.25">
      <c r="A39" s="47"/>
      <c r="B39" s="23" t="s">
        <v>5</v>
      </c>
      <c r="C39" s="90">
        <f>C36+C38</f>
        <v>5865.42</v>
      </c>
      <c r="D39" s="59">
        <f>D36+D38</f>
        <v>5153.24</v>
      </c>
      <c r="E39" s="59">
        <f>E36+E38</f>
        <v>560.76</v>
      </c>
      <c r="F39" s="59">
        <f>F38+F36</f>
        <v>151.41999999999999</v>
      </c>
      <c r="G39" s="59">
        <f>G38+G36</f>
        <v>162.47</v>
      </c>
      <c r="H39" s="60">
        <f t="shared" si="2"/>
        <v>162.47</v>
      </c>
    </row>
    <row r="40" spans="1:14" ht="19.5" customHeight="1" x14ac:dyDescent="0.25">
      <c r="A40" s="47"/>
      <c r="B40" s="23" t="s">
        <v>8</v>
      </c>
      <c r="C40" s="90">
        <f>C24+C39</f>
        <v>32592.97</v>
      </c>
      <c r="D40" s="59">
        <f>D24+D39</f>
        <v>5153.24</v>
      </c>
      <c r="E40" s="59">
        <f>E39</f>
        <v>560.76</v>
      </c>
      <c r="F40" s="59">
        <f>F24+F39</f>
        <v>26878.97</v>
      </c>
      <c r="G40" s="59">
        <f>G24+G39</f>
        <v>28841.15</v>
      </c>
      <c r="H40" s="60">
        <f>H24+H39</f>
        <v>28841.15</v>
      </c>
      <c r="I40" s="16"/>
    </row>
    <row r="41" spans="1:14" ht="24" customHeight="1" x14ac:dyDescent="0.25">
      <c r="A41" s="8"/>
      <c r="B41" s="8"/>
      <c r="C41" s="80"/>
      <c r="D41" s="88"/>
      <c r="E41" s="88"/>
      <c r="F41" s="88"/>
      <c r="G41" s="88"/>
      <c r="H41" s="88"/>
      <c r="I41" s="16"/>
    </row>
    <row r="42" spans="1:14" ht="23.25" customHeight="1" x14ac:dyDescent="0.25">
      <c r="A42" s="497" t="s">
        <v>55</v>
      </c>
      <c r="B42" s="498"/>
      <c r="C42" s="498"/>
      <c r="D42" s="498"/>
      <c r="E42" s="498"/>
      <c r="F42" s="498"/>
      <c r="G42" s="498"/>
      <c r="H42" s="498"/>
      <c r="I42" s="16"/>
      <c r="J42" s="16"/>
    </row>
    <row r="43" spans="1:14" ht="27.75" customHeight="1" x14ac:dyDescent="0.25">
      <c r="A43" s="35"/>
      <c r="B43" s="36"/>
      <c r="C43" s="65" t="s">
        <v>35</v>
      </c>
      <c r="D43" s="36"/>
      <c r="E43" s="72"/>
      <c r="F43" s="36"/>
      <c r="G43" s="36"/>
      <c r="H43" s="65" t="s">
        <v>56</v>
      </c>
      <c r="I43" s="16"/>
      <c r="L43" s="16"/>
      <c r="N43" s="16"/>
    </row>
    <row r="44" spans="1:14" s="18" customFormat="1" ht="22.5" customHeight="1" x14ac:dyDescent="0.25">
      <c r="A44" s="35"/>
      <c r="B44" s="66" t="s">
        <v>15</v>
      </c>
      <c r="C44" s="81">
        <f>D40</f>
        <v>5153.24</v>
      </c>
      <c r="D44" s="77" t="s">
        <v>16</v>
      </c>
      <c r="E44" s="78">
        <f>E40</f>
        <v>560.76</v>
      </c>
      <c r="F44" s="64"/>
      <c r="G44" s="65">
        <f>ROUND(E44*G9,2)</f>
        <v>601.70000000000005</v>
      </c>
      <c r="H44" s="81">
        <f>D39</f>
        <v>5153.24</v>
      </c>
      <c r="I44" s="17"/>
      <c r="L44" s="17"/>
    </row>
    <row r="45" spans="1:14" ht="21" customHeight="1" x14ac:dyDescent="0.25">
      <c r="A45" s="35"/>
      <c r="B45" s="66" t="s">
        <v>17</v>
      </c>
      <c r="C45" s="81">
        <f>C24+C27*1.2+(C35-D35)*1.2</f>
        <v>26878.97</v>
      </c>
      <c r="D45" s="64"/>
      <c r="E45" s="65"/>
      <c r="F45" s="64"/>
      <c r="G45" s="64"/>
      <c r="H45" s="81">
        <f>G40</f>
        <v>28841.15</v>
      </c>
      <c r="I45" s="9"/>
      <c r="L45" s="16"/>
    </row>
    <row r="46" spans="1:14" ht="22.5" customHeight="1" x14ac:dyDescent="0.25">
      <c r="A46" s="35"/>
      <c r="B46" s="66" t="s">
        <v>36</v>
      </c>
      <c r="C46" s="113">
        <f>C45+E44</f>
        <v>27439.73</v>
      </c>
      <c r="D46" s="64"/>
      <c r="E46" s="64"/>
      <c r="F46" s="64"/>
      <c r="G46" s="64"/>
      <c r="H46" s="81">
        <f>H45+G44</f>
        <v>29442.85</v>
      </c>
      <c r="I46" s="9"/>
      <c r="J46" s="16"/>
      <c r="L46" s="16"/>
    </row>
    <row r="47" spans="1:14" ht="18.75" customHeight="1" x14ac:dyDescent="0.25">
      <c r="A47" s="35"/>
      <c r="B47" s="66" t="s">
        <v>18</v>
      </c>
      <c r="C47" s="110">
        <f>C44+C46</f>
        <v>32592.97</v>
      </c>
      <c r="D47" s="111"/>
      <c r="E47" s="111"/>
      <c r="F47" s="111"/>
      <c r="G47" s="111"/>
      <c r="H47" s="112">
        <f>H44+H46</f>
        <v>34596.089999999997</v>
      </c>
      <c r="L47" s="16"/>
    </row>
    <row r="48" spans="1:14" ht="15.75" customHeight="1" x14ac:dyDescent="0.25">
      <c r="A48" s="35"/>
      <c r="B48" s="74"/>
      <c r="C48" s="75"/>
      <c r="D48" s="76"/>
      <c r="E48" s="76"/>
      <c r="F48" s="76"/>
      <c r="G48" s="76"/>
      <c r="H48" s="75">
        <f>H47-G44</f>
        <v>33994.39</v>
      </c>
      <c r="L48" s="16"/>
    </row>
    <row r="49" spans="1:13" ht="18.75" customHeight="1" x14ac:dyDescent="0.25">
      <c r="A49" s="499" t="s">
        <v>142</v>
      </c>
      <c r="B49" s="499"/>
      <c r="C49" s="499"/>
      <c r="D49" s="499"/>
      <c r="E49" s="499"/>
      <c r="F49" s="499"/>
      <c r="G49" s="499"/>
      <c r="H49" s="82"/>
    </row>
    <row r="50" spans="1:13" ht="18.75" customHeight="1" x14ac:dyDescent="0.25">
      <c r="A50" s="499"/>
      <c r="B50" s="499"/>
      <c r="C50" s="499"/>
      <c r="D50" s="499"/>
      <c r="E50" s="499"/>
      <c r="F50" s="499"/>
      <c r="G50" s="499"/>
      <c r="H50" s="82"/>
    </row>
    <row r="51" spans="1:13" s="30" customFormat="1" x14ac:dyDescent="0.25">
      <c r="A51" s="499" t="s">
        <v>143</v>
      </c>
      <c r="B51" s="499"/>
      <c r="C51" s="499"/>
      <c r="D51" s="499"/>
      <c r="E51" s="499"/>
      <c r="F51" s="499"/>
      <c r="G51" s="499"/>
      <c r="H51" s="93"/>
      <c r="J51" s="81"/>
      <c r="L51" s="33"/>
      <c r="M51" s="33"/>
    </row>
    <row r="52" spans="1:13" s="30" customFormat="1" x14ac:dyDescent="0.25">
      <c r="A52" s="93"/>
      <c r="B52" s="93"/>
      <c r="C52" s="93"/>
      <c r="D52" s="93"/>
      <c r="E52" s="93"/>
      <c r="F52" s="93"/>
      <c r="G52" s="93"/>
      <c r="H52" s="93"/>
      <c r="J52" s="81"/>
      <c r="L52" s="33"/>
      <c r="M52" s="33"/>
    </row>
    <row r="53" spans="1:13" s="30" customFormat="1" ht="24" customHeight="1" x14ac:dyDescent="0.25">
      <c r="A53" s="109"/>
      <c r="B53" s="109"/>
      <c r="C53" s="109"/>
      <c r="D53" s="109"/>
      <c r="E53" s="109"/>
      <c r="F53" s="109"/>
      <c r="G53" s="109"/>
      <c r="H53" s="109"/>
      <c r="J53" s="33"/>
      <c r="L53" s="33"/>
      <c r="M53" s="33"/>
    </row>
    <row r="54" spans="1:13" s="30" customFormat="1" ht="17.25" customHeight="1" x14ac:dyDescent="0.25">
      <c r="A54" s="500" t="s">
        <v>13</v>
      </c>
      <c r="B54" s="501"/>
      <c r="C54" s="501"/>
      <c r="D54" s="24"/>
      <c r="E54" s="24"/>
      <c r="F54" s="24"/>
      <c r="G54" s="62"/>
      <c r="H54" s="62" t="s">
        <v>14</v>
      </c>
    </row>
    <row r="55" spans="1:13" s="30" customFormat="1" ht="15" customHeight="1" x14ac:dyDescent="0.25">
      <c r="A55" s="69"/>
      <c r="B55" s="70"/>
      <c r="C55" s="70"/>
      <c r="D55" s="24"/>
      <c r="E55" s="24"/>
      <c r="F55" s="24"/>
      <c r="G55" s="62"/>
      <c r="H55" s="62"/>
      <c r="I55" s="16"/>
      <c r="J55" s="16"/>
    </row>
    <row r="56" spans="1:13" s="30" customFormat="1" ht="17.25" customHeight="1" x14ac:dyDescent="0.25">
      <c r="A56" s="502" t="s">
        <v>28</v>
      </c>
      <c r="B56" s="502"/>
      <c r="C56" s="502"/>
      <c r="D56" s="24"/>
      <c r="E56" s="24"/>
      <c r="F56" s="24"/>
      <c r="G56" s="62"/>
      <c r="H56" s="62" t="s">
        <v>29</v>
      </c>
      <c r="I56" s="16"/>
      <c r="J56" s="6"/>
    </row>
    <row r="57" spans="1:13" s="30" customFormat="1" ht="18.75" customHeight="1" x14ac:dyDescent="0.25">
      <c r="A57" s="71"/>
      <c r="B57" s="71"/>
      <c r="C57" s="71"/>
      <c r="D57" s="24"/>
      <c r="E57" s="24"/>
      <c r="F57" s="24"/>
      <c r="G57" s="62"/>
      <c r="H57" s="62"/>
      <c r="M57" s="33"/>
    </row>
    <row r="58" spans="1:13" s="30" customFormat="1" ht="24" customHeight="1" x14ac:dyDescent="0.25">
      <c r="A58" s="503"/>
      <c r="B58" s="503"/>
      <c r="C58" s="42"/>
      <c r="D58" s="42"/>
      <c r="E58" s="42"/>
      <c r="F58" s="42"/>
      <c r="G58" s="42"/>
      <c r="H58" s="25"/>
    </row>
    <row r="59" spans="1:13" s="30" customFormat="1" x14ac:dyDescent="0.25">
      <c r="A59" s="490" t="s">
        <v>59</v>
      </c>
      <c r="B59" s="491"/>
      <c r="C59" s="25"/>
      <c r="D59" s="25"/>
      <c r="E59" s="25"/>
      <c r="F59" s="25"/>
      <c r="G59" s="25"/>
      <c r="H59" s="25"/>
    </row>
    <row r="60" spans="1:13" s="30" customFormat="1" ht="12" customHeight="1" x14ac:dyDescent="0.25">
      <c r="A60" s="6"/>
      <c r="B60" s="19"/>
      <c r="C60" s="9"/>
      <c r="D60" s="9"/>
      <c r="E60" s="9"/>
      <c r="F60" s="9"/>
      <c r="G60" s="9"/>
      <c r="H60" s="63"/>
    </row>
    <row r="61" spans="1:13" s="30" customFormat="1" ht="30" customHeight="1" x14ac:dyDescent="0.25">
      <c r="A61" s="6"/>
      <c r="B61" s="6"/>
      <c r="C61" s="9"/>
      <c r="D61" s="9"/>
      <c r="E61" s="9"/>
      <c r="F61" s="9"/>
      <c r="G61" s="9"/>
      <c r="H61" s="9"/>
    </row>
    <row r="62" spans="1:13" s="34" customFormat="1" ht="18.75" customHeight="1" x14ac:dyDescent="0.25">
      <c r="A62" s="6"/>
      <c r="B62" s="6"/>
      <c r="C62" s="7"/>
      <c r="D62" s="7"/>
      <c r="E62" s="7"/>
      <c r="F62" s="7"/>
      <c r="G62" s="7"/>
      <c r="H62" s="9"/>
    </row>
    <row r="63" spans="1:13" s="34" customFormat="1" ht="18.75" customHeight="1" x14ac:dyDescent="0.25">
      <c r="A63" s="6"/>
      <c r="B63" s="6"/>
      <c r="C63" s="7"/>
      <c r="D63" s="7"/>
      <c r="E63" s="7"/>
      <c r="F63" s="7"/>
      <c r="G63" s="7"/>
      <c r="H63" s="9"/>
    </row>
    <row r="64" spans="1:13" s="34" customFormat="1" ht="18.75" customHeight="1" x14ac:dyDescent="0.25">
      <c r="A64" s="6"/>
      <c r="B64" s="6"/>
      <c r="C64" s="7"/>
      <c r="D64" s="7"/>
      <c r="E64" s="7"/>
      <c r="F64" s="7"/>
      <c r="G64" s="7"/>
      <c r="H64" s="9"/>
    </row>
    <row r="65" spans="1:15" s="34" customFormat="1" ht="18.75" customHeight="1" x14ac:dyDescent="0.25">
      <c r="A65" s="6"/>
      <c r="B65" s="6"/>
      <c r="C65" s="7"/>
      <c r="D65" s="7"/>
      <c r="E65" s="7"/>
      <c r="F65" s="7"/>
      <c r="G65" s="7"/>
      <c r="H65" s="9"/>
    </row>
    <row r="66" spans="1:15" s="30" customFormat="1" ht="17.25" customHeight="1" x14ac:dyDescent="0.25">
      <c r="A66" s="6"/>
      <c r="B66" s="6"/>
      <c r="C66" s="7"/>
      <c r="D66" s="7"/>
      <c r="E66" s="7"/>
      <c r="F66" s="7"/>
      <c r="G66" s="7"/>
      <c r="H66" s="9"/>
    </row>
    <row r="67" spans="1:15" s="30" customFormat="1" ht="38.25" customHeight="1" x14ac:dyDescent="0.25">
      <c r="A67" s="6"/>
      <c r="B67" s="6"/>
      <c r="C67" s="7"/>
      <c r="D67" s="7"/>
      <c r="E67" s="7"/>
      <c r="F67" s="7"/>
      <c r="G67" s="7"/>
      <c r="H67" s="9"/>
      <c r="L67" s="33"/>
    </row>
    <row r="68" spans="1:15" ht="36" customHeight="1" x14ac:dyDescent="0.25"/>
    <row r="69" spans="1:15" s="9" customFormat="1" ht="36" customHeight="1" x14ac:dyDescent="0.25">
      <c r="A69" s="6"/>
      <c r="B69" s="6"/>
      <c r="C69" s="7"/>
      <c r="D69" s="7"/>
      <c r="E69" s="7"/>
      <c r="F69" s="7"/>
      <c r="G69" s="7"/>
      <c r="I69" s="6"/>
      <c r="J69" s="6"/>
      <c r="K69" s="6"/>
      <c r="L69" s="6"/>
      <c r="M69" s="6"/>
      <c r="N69" s="6"/>
      <c r="O69" s="6"/>
    </row>
  </sheetData>
  <mergeCells count="12">
    <mergeCell ref="A59:B59"/>
    <mergeCell ref="A1:C5"/>
    <mergeCell ref="F1:H5"/>
    <mergeCell ref="A7:H7"/>
    <mergeCell ref="B8:H8"/>
    <mergeCell ref="A42:H42"/>
    <mergeCell ref="A50:G50"/>
    <mergeCell ref="A49:G49"/>
    <mergeCell ref="A51:G51"/>
    <mergeCell ref="A54:C54"/>
    <mergeCell ref="A56:C56"/>
    <mergeCell ref="A58:B58"/>
  </mergeCells>
  <pageMargins left="0.7" right="0.7" top="0.75" bottom="0.75" header="0.3" footer="0.3"/>
  <pageSetup paperSize="9" scale="4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3"/>
  <sheetViews>
    <sheetView workbookViewId="0">
      <selection activeCell="A10" sqref="A10"/>
    </sheetView>
  </sheetViews>
  <sheetFormatPr defaultRowHeight="15" x14ac:dyDescent="0.25"/>
  <cols>
    <col min="1" max="1" width="94" style="122" customWidth="1"/>
    <col min="2" max="2" width="29.5703125" style="122" customWidth="1"/>
    <col min="3" max="3" width="19.5703125" style="122" hidden="1" customWidth="1"/>
    <col min="4" max="4" width="20.5703125" style="122" hidden="1" customWidth="1"/>
    <col min="5" max="5" width="32" style="122" customWidth="1"/>
    <col min="6" max="6" width="16.7109375" style="122" bestFit="1" customWidth="1"/>
    <col min="7" max="7" width="18.85546875" style="122" customWidth="1"/>
    <col min="8" max="8" width="16.5703125" style="122" bestFit="1" customWidth="1"/>
    <col min="9" max="9" width="15.42578125" style="122" bestFit="1" customWidth="1"/>
    <col min="10" max="16384" width="9.140625" style="122"/>
  </cols>
  <sheetData>
    <row r="1" spans="1:8" s="125" customFormat="1" ht="15.75" x14ac:dyDescent="0.25">
      <c r="A1" s="564"/>
      <c r="B1" s="564"/>
      <c r="C1" s="565" t="s">
        <v>403</v>
      </c>
      <c r="D1" s="565"/>
    </row>
    <row r="2" spans="1:8" s="125" customFormat="1" ht="15.75" x14ac:dyDescent="0.25">
      <c r="A2" s="397"/>
      <c r="B2" s="397"/>
    </row>
    <row r="3" spans="1:8" s="125" customFormat="1" ht="15.75" x14ac:dyDescent="0.25">
      <c r="A3" s="566" t="s">
        <v>493</v>
      </c>
      <c r="B3" s="566"/>
      <c r="C3" s="566"/>
      <c r="D3" s="566"/>
    </row>
    <row r="4" spans="1:8" s="125" customFormat="1" ht="15.75" x14ac:dyDescent="0.25">
      <c r="A4" s="567" t="s">
        <v>494</v>
      </c>
      <c r="B4" s="567"/>
      <c r="C4" s="567"/>
      <c r="D4" s="567"/>
    </row>
    <row r="5" spans="1:8" s="125" customFormat="1" ht="15.75" x14ac:dyDescent="0.25">
      <c r="A5" s="467"/>
      <c r="B5" s="467"/>
    </row>
    <row r="6" spans="1:8" s="125" customFormat="1" x14ac:dyDescent="0.25">
      <c r="A6" s="153" t="s">
        <v>181</v>
      </c>
      <c r="B6" s="153"/>
      <c r="D6" s="400" t="s">
        <v>182</v>
      </c>
    </row>
    <row r="7" spans="1:8" ht="15.75" customHeight="1" x14ac:dyDescent="0.25">
      <c r="A7" s="573" t="s">
        <v>183</v>
      </c>
      <c r="B7" s="573" t="s">
        <v>495</v>
      </c>
      <c r="C7" s="575" t="s">
        <v>187</v>
      </c>
      <c r="D7" s="575"/>
      <c r="E7" s="131"/>
    </row>
    <row r="8" spans="1:8" ht="15" customHeight="1" x14ac:dyDescent="0.25">
      <c r="A8" s="574"/>
      <c r="B8" s="574"/>
      <c r="C8" s="132">
        <v>2026</v>
      </c>
      <c r="D8" s="132">
        <v>2027</v>
      </c>
    </row>
    <row r="9" spans="1:8" x14ac:dyDescent="0.25">
      <c r="A9" s="132">
        <v>1</v>
      </c>
      <c r="B9" s="132">
        <v>2</v>
      </c>
      <c r="C9" s="132">
        <v>7</v>
      </c>
      <c r="D9" s="132">
        <v>8</v>
      </c>
    </row>
    <row r="10" spans="1:8" ht="63" customHeight="1" x14ac:dyDescent="0.25">
      <c r="A10" s="424" t="s">
        <v>501</v>
      </c>
      <c r="B10" s="425">
        <v>273309.84000000003</v>
      </c>
      <c r="C10" s="135"/>
      <c r="D10" s="135"/>
      <c r="E10" s="140"/>
      <c r="F10" s="137"/>
      <c r="G10" s="389"/>
      <c r="H10" s="138"/>
    </row>
    <row r="11" spans="1:8" ht="63" customHeight="1" x14ac:dyDescent="0.25">
      <c r="A11" s="424" t="s">
        <v>500</v>
      </c>
      <c r="B11" s="425">
        <v>112027.51</v>
      </c>
      <c r="C11" s="135"/>
      <c r="D11" s="135"/>
      <c r="E11" s="140"/>
      <c r="F11" s="137"/>
      <c r="G11" s="389"/>
      <c r="H11" s="138"/>
    </row>
    <row r="12" spans="1:8" ht="63" customHeight="1" x14ac:dyDescent="0.25">
      <c r="A12" s="424" t="s">
        <v>502</v>
      </c>
      <c r="B12" s="425">
        <v>69738.34</v>
      </c>
      <c r="C12" s="135"/>
      <c r="D12" s="135"/>
      <c r="E12" s="140"/>
      <c r="F12" s="137"/>
      <c r="G12" s="389"/>
      <c r="H12" s="138"/>
    </row>
    <row r="13" spans="1:8" ht="63" customHeight="1" x14ac:dyDescent="0.25">
      <c r="A13" s="424" t="s">
        <v>503</v>
      </c>
      <c r="B13" s="425">
        <v>16349.01</v>
      </c>
      <c r="C13" s="135"/>
      <c r="D13" s="135"/>
      <c r="E13" s="140"/>
      <c r="F13" s="137"/>
      <c r="G13" s="389"/>
      <c r="H13" s="138"/>
    </row>
    <row r="14" spans="1:8" ht="63" customHeight="1" x14ac:dyDescent="0.25">
      <c r="A14" s="424" t="s">
        <v>504</v>
      </c>
      <c r="B14" s="425">
        <v>5407.08</v>
      </c>
      <c r="C14" s="135"/>
      <c r="D14" s="135"/>
      <c r="E14" s="140"/>
      <c r="F14" s="137"/>
      <c r="G14" s="389"/>
      <c r="H14" s="138"/>
    </row>
    <row r="15" spans="1:8" ht="15.75" x14ac:dyDescent="0.25">
      <c r="A15" s="427" t="s">
        <v>346</v>
      </c>
      <c r="B15" s="428">
        <f>SUM(B10:B14)</f>
        <v>476831.78</v>
      </c>
      <c r="C15" s="135"/>
      <c r="D15" s="275"/>
      <c r="E15" s="137"/>
      <c r="F15" s="137"/>
      <c r="G15" s="137"/>
      <c r="H15" s="138"/>
    </row>
    <row r="16" spans="1:8" ht="31.5" x14ac:dyDescent="0.25">
      <c r="A16" s="424" t="s">
        <v>476</v>
      </c>
      <c r="B16" s="599">
        <f>359598.99/B15</f>
        <v>0.75414224697999999</v>
      </c>
      <c r="C16"/>
      <c r="D16"/>
    </row>
    <row r="17" spans="1:4" ht="47.25" x14ac:dyDescent="0.25">
      <c r="A17" s="598" t="s">
        <v>477</v>
      </c>
      <c r="B17" s="428" t="s">
        <v>505</v>
      </c>
      <c r="C17" s="596" t="e">
        <f>#REF!</f>
        <v>#REF!</v>
      </c>
      <c r="D17"/>
    </row>
    <row r="18" spans="1:4" x14ac:dyDescent="0.25">
      <c r="A18"/>
      <c r="B18" s="595"/>
      <c r="C18"/>
      <c r="D18"/>
    </row>
    <row r="19" spans="1:4" x14ac:dyDescent="0.25">
      <c r="A19"/>
      <c r="B19"/>
      <c r="C19"/>
      <c r="D19"/>
    </row>
    <row r="20" spans="1:4" x14ac:dyDescent="0.25">
      <c r="A20"/>
      <c r="B20"/>
      <c r="C20"/>
      <c r="D20"/>
    </row>
    <row r="21" spans="1:4" x14ac:dyDescent="0.25">
      <c r="A21"/>
      <c r="B21"/>
      <c r="C21"/>
      <c r="D21"/>
    </row>
    <row r="22" spans="1:4" x14ac:dyDescent="0.25">
      <c r="A22"/>
      <c r="B22"/>
      <c r="C22"/>
      <c r="D22"/>
    </row>
    <row r="23" spans="1:4" x14ac:dyDescent="0.25">
      <c r="A23"/>
      <c r="B23"/>
      <c r="C23"/>
      <c r="D23"/>
    </row>
  </sheetData>
  <mergeCells count="7">
    <mergeCell ref="C7:D7"/>
    <mergeCell ref="A7:A8"/>
    <mergeCell ref="B7:B8"/>
    <mergeCell ref="A1:B1"/>
    <mergeCell ref="C1:D1"/>
    <mergeCell ref="A3:D3"/>
    <mergeCell ref="A4:D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9"/>
  <sheetViews>
    <sheetView view="pageBreakPreview" topLeftCell="A4" zoomScale="115" zoomScaleNormal="100" zoomScaleSheetLayoutView="115" workbookViewId="0">
      <selection activeCell="A5" sqref="A5"/>
    </sheetView>
  </sheetViews>
  <sheetFormatPr defaultRowHeight="15" x14ac:dyDescent="0.25"/>
  <cols>
    <col min="1" max="1" width="44.140625" style="122" customWidth="1"/>
    <col min="2" max="2" width="21.28515625" style="122" customWidth="1"/>
    <col min="3" max="3" width="15.7109375" style="122" customWidth="1"/>
    <col min="4" max="4" width="25.140625" style="122" customWidth="1"/>
    <col min="5" max="5" width="34.140625" style="122" customWidth="1"/>
    <col min="6" max="6" width="23.140625" style="122" customWidth="1"/>
    <col min="7" max="7" width="19.5703125" style="122" hidden="1" customWidth="1"/>
    <col min="8" max="8" width="20.5703125" style="122" hidden="1" customWidth="1"/>
    <col min="9" max="9" width="24" style="122" customWidth="1"/>
    <col min="10" max="10" width="32" style="122" customWidth="1"/>
    <col min="11" max="11" width="16.7109375" style="122" bestFit="1" customWidth="1"/>
    <col min="12" max="12" width="18.85546875" style="122" customWidth="1"/>
    <col min="13" max="13" width="16.5703125" style="122" bestFit="1" customWidth="1"/>
    <col min="14" max="14" width="15.42578125" style="122" bestFit="1" customWidth="1"/>
    <col min="15" max="16384" width="9.140625" style="122"/>
  </cols>
  <sheetData>
    <row r="1" spans="1:10" s="125" customFormat="1" ht="15.75" x14ac:dyDescent="0.25">
      <c r="B1" s="396"/>
      <c r="C1" s="396"/>
      <c r="D1" s="564" t="s">
        <v>486</v>
      </c>
      <c r="E1" s="564"/>
      <c r="F1" s="564"/>
      <c r="G1" s="565" t="s">
        <v>403</v>
      </c>
      <c r="H1" s="565"/>
    </row>
    <row r="2" spans="1:10" s="125" customFormat="1" ht="15.75" customHeight="1" x14ac:dyDescent="0.25">
      <c r="A2" s="397"/>
      <c r="B2" s="397"/>
      <c r="C2" s="397"/>
      <c r="D2" s="397"/>
      <c r="E2" s="397"/>
      <c r="F2" s="397"/>
    </row>
    <row r="3" spans="1:10" s="125" customFormat="1" ht="15.75" x14ac:dyDescent="0.25">
      <c r="A3" s="566" t="s">
        <v>467</v>
      </c>
      <c r="B3" s="566"/>
      <c r="C3" s="566"/>
      <c r="D3" s="566"/>
      <c r="E3" s="566"/>
      <c r="F3" s="566"/>
      <c r="G3" s="566"/>
      <c r="H3" s="566"/>
    </row>
    <row r="4" spans="1:10" s="125" customFormat="1" ht="15.75" x14ac:dyDescent="0.25">
      <c r="A4" s="567" t="s">
        <v>506</v>
      </c>
      <c r="B4" s="567"/>
      <c r="C4" s="567"/>
      <c r="D4" s="567"/>
      <c r="E4" s="567"/>
      <c r="F4" s="567"/>
      <c r="G4" s="567"/>
      <c r="H4" s="567"/>
    </row>
    <row r="5" spans="1:10" s="125" customFormat="1" ht="15.75" x14ac:dyDescent="0.25">
      <c r="A5" s="447"/>
      <c r="B5" s="447"/>
      <c r="C5" s="447"/>
      <c r="D5" s="447"/>
      <c r="E5" s="447"/>
      <c r="F5" s="447"/>
    </row>
    <row r="6" spans="1:10" s="125" customFormat="1" ht="15.75" x14ac:dyDescent="0.25">
      <c r="A6" s="568" t="s">
        <v>446</v>
      </c>
      <c r="B6" s="569"/>
      <c r="C6" s="569"/>
      <c r="D6" s="569"/>
      <c r="E6" s="569"/>
      <c r="F6" s="569"/>
      <c r="G6" s="563"/>
      <c r="H6" s="563"/>
    </row>
    <row r="7" spans="1:10" s="125" customFormat="1" ht="15.75" x14ac:dyDescent="0.25">
      <c r="A7" s="568" t="s">
        <v>445</v>
      </c>
      <c r="B7" s="569"/>
      <c r="C7" s="569"/>
      <c r="D7" s="569"/>
      <c r="E7" s="569"/>
      <c r="F7" s="569"/>
    </row>
    <row r="8" spans="1:10" s="125" customFormat="1" ht="15.75" x14ac:dyDescent="0.25">
      <c r="A8" s="568" t="s">
        <v>451</v>
      </c>
      <c r="B8" s="569"/>
      <c r="C8" s="569"/>
      <c r="D8" s="569"/>
      <c r="E8" s="569"/>
      <c r="F8" s="569"/>
      <c r="G8" s="570"/>
      <c r="H8" s="570"/>
    </row>
    <row r="9" spans="1:10" s="125" customFormat="1" ht="15.75" x14ac:dyDescent="0.25">
      <c r="A9" s="568" t="s">
        <v>452</v>
      </c>
      <c r="B9" s="569"/>
      <c r="C9" s="569"/>
      <c r="D9" s="569"/>
      <c r="E9" s="569"/>
      <c r="F9" s="569"/>
    </row>
    <row r="10" spans="1:10" s="125" customFormat="1" ht="15.75" x14ac:dyDescent="0.25">
      <c r="A10" s="560"/>
      <c r="B10" s="561"/>
      <c r="C10" s="561"/>
      <c r="D10" s="561"/>
      <c r="E10" s="561"/>
      <c r="F10" s="561"/>
    </row>
    <row r="11" spans="1:10" s="125" customFormat="1" ht="42" customHeight="1" x14ac:dyDescent="0.25">
      <c r="A11" s="571"/>
      <c r="B11" s="571"/>
      <c r="C11" s="571"/>
      <c r="D11" s="571"/>
      <c r="E11" s="571"/>
      <c r="F11" s="571"/>
    </row>
    <row r="12" spans="1:10" s="125" customFormat="1" ht="15.75" x14ac:dyDescent="0.25">
      <c r="A12" s="571" t="s">
        <v>447</v>
      </c>
      <c r="B12" s="571"/>
      <c r="C12" s="571"/>
      <c r="D12" s="571"/>
      <c r="E12" s="571"/>
      <c r="F12" s="571"/>
    </row>
    <row r="13" spans="1:10" s="125" customFormat="1" ht="77.25" customHeight="1" x14ac:dyDescent="0.25">
      <c r="A13" s="540" t="s">
        <v>468</v>
      </c>
      <c r="B13" s="540"/>
      <c r="C13" s="540"/>
      <c r="D13" s="540"/>
      <c r="E13" s="540"/>
      <c r="F13" s="540"/>
      <c r="G13" s="563"/>
      <c r="H13" s="563"/>
      <c r="J13" s="128"/>
    </row>
    <row r="14" spans="1:10" s="125" customFormat="1" x14ac:dyDescent="0.25">
      <c r="A14" s="153" t="s">
        <v>181</v>
      </c>
      <c r="B14" s="153"/>
      <c r="C14" s="153"/>
      <c r="D14" s="153"/>
      <c r="E14" s="153"/>
      <c r="F14" s="400" t="s">
        <v>182</v>
      </c>
      <c r="H14" s="400" t="s">
        <v>182</v>
      </c>
    </row>
    <row r="15" spans="1:10" ht="18" customHeight="1" x14ac:dyDescent="0.25">
      <c r="A15" s="573" t="s">
        <v>183</v>
      </c>
      <c r="B15" s="573" t="s">
        <v>461</v>
      </c>
      <c r="C15" s="573" t="s">
        <v>184</v>
      </c>
      <c r="D15" s="573" t="s">
        <v>469</v>
      </c>
      <c r="E15" s="573" t="s">
        <v>185</v>
      </c>
      <c r="F15" s="573" t="s">
        <v>186</v>
      </c>
      <c r="G15" s="575" t="s">
        <v>187</v>
      </c>
      <c r="H15" s="575"/>
      <c r="J15" s="131"/>
    </row>
    <row r="16" spans="1:10" ht="77.25" customHeight="1" x14ac:dyDescent="0.25">
      <c r="A16" s="574"/>
      <c r="B16" s="574"/>
      <c r="C16" s="574"/>
      <c r="D16" s="574" t="s">
        <v>189</v>
      </c>
      <c r="E16" s="574"/>
      <c r="F16" s="574"/>
      <c r="G16" s="132">
        <v>2026</v>
      </c>
      <c r="H16" s="132">
        <v>2027</v>
      </c>
      <c r="I16" s="390"/>
    </row>
    <row r="17" spans="1:13" x14ac:dyDescent="0.25">
      <c r="A17" s="132">
        <v>1</v>
      </c>
      <c r="B17" s="132">
        <v>2</v>
      </c>
      <c r="C17" s="132">
        <v>3</v>
      </c>
      <c r="D17" s="132">
        <v>4</v>
      </c>
      <c r="E17" s="132">
        <v>5</v>
      </c>
      <c r="F17" s="132">
        <v>6</v>
      </c>
      <c r="G17" s="132">
        <v>7</v>
      </c>
      <c r="H17" s="132">
        <v>8</v>
      </c>
      <c r="I17" s="391"/>
    </row>
    <row r="18" spans="1:13" ht="69" customHeight="1" x14ac:dyDescent="0.25">
      <c r="A18" s="424" t="s">
        <v>457</v>
      </c>
      <c r="B18" s="425">
        <f>F28</f>
        <v>207461.19</v>
      </c>
      <c r="C18" s="426">
        <f>E48</f>
        <v>1.0701000000000001</v>
      </c>
      <c r="D18" s="425">
        <f>B18*C18</f>
        <v>222004.22</v>
      </c>
      <c r="E18" s="426">
        <v>1.0091000000000001</v>
      </c>
      <c r="F18" s="425">
        <f>D18*E18</f>
        <v>224024.46</v>
      </c>
      <c r="G18" s="135"/>
      <c r="H18" s="135"/>
      <c r="I18" s="140"/>
      <c r="J18" s="140"/>
      <c r="K18" s="137"/>
      <c r="L18" s="389"/>
      <c r="M18" s="138"/>
    </row>
    <row r="19" spans="1:13" ht="15.75" x14ac:dyDescent="0.25">
      <c r="A19" s="427" t="s">
        <v>346</v>
      </c>
      <c r="B19" s="428">
        <f>B18</f>
        <v>207461.19</v>
      </c>
      <c r="C19" s="426">
        <f>E48</f>
        <v>1.0701000000000001</v>
      </c>
      <c r="D19" s="429">
        <f>B19*C19</f>
        <v>222004.22</v>
      </c>
      <c r="E19" s="426">
        <v>1.0091000000000001</v>
      </c>
      <c r="F19" s="429">
        <f>D19*E19</f>
        <v>224024.46</v>
      </c>
      <c r="G19" s="135"/>
      <c r="H19" s="275"/>
      <c r="I19" s="140"/>
      <c r="J19" s="137"/>
      <c r="K19" s="137"/>
      <c r="L19" s="137"/>
      <c r="M19" s="138"/>
    </row>
    <row r="20" spans="1:13" ht="15.75" x14ac:dyDescent="0.25">
      <c r="A20" s="427" t="s">
        <v>428</v>
      </c>
      <c r="B20" s="428">
        <f>SUM(B19:B19)</f>
        <v>207461.19</v>
      </c>
      <c r="C20" s="426"/>
      <c r="D20" s="429">
        <f>D19</f>
        <v>222004.22</v>
      </c>
      <c r="E20" s="426"/>
      <c r="F20" s="429">
        <f>F19</f>
        <v>224024.46</v>
      </c>
      <c r="G20" s="135"/>
      <c r="H20" s="275"/>
      <c r="I20" s="140"/>
      <c r="J20" s="137"/>
      <c r="K20" s="137"/>
      <c r="L20" s="137"/>
      <c r="M20" s="138"/>
    </row>
    <row r="21" spans="1:13" s="125" customFormat="1" ht="18.75" customHeight="1" x14ac:dyDescent="0.25">
      <c r="A21" s="430" t="s">
        <v>449</v>
      </c>
      <c r="B21" s="431">
        <f>B20*0.2</f>
        <v>41492.239999999998</v>
      </c>
      <c r="C21" s="426"/>
      <c r="D21" s="425">
        <f>D20*0.2</f>
        <v>44400.84</v>
      </c>
      <c r="E21" s="426"/>
      <c r="F21" s="425">
        <f>F20*0.2</f>
        <v>44804.89</v>
      </c>
      <c r="G21" s="135"/>
      <c r="H21" s="275"/>
      <c r="I21" s="421"/>
      <c r="J21" s="155"/>
      <c r="K21" s="155"/>
      <c r="L21" s="155"/>
      <c r="M21" s="128"/>
    </row>
    <row r="22" spans="1:13" s="125" customFormat="1" ht="63.75" customHeight="1" x14ac:dyDescent="0.25">
      <c r="A22" s="424" t="s">
        <v>440</v>
      </c>
      <c r="B22" s="431">
        <f>ROUND(B20*0.22,2)</f>
        <v>45641.46</v>
      </c>
      <c r="C22" s="426"/>
      <c r="D22" s="425">
        <f>ROUND(D20*0.22,2)</f>
        <v>48840.93</v>
      </c>
      <c r="E22" s="426"/>
      <c r="F22" s="425">
        <f>ROUND(F20*0.22,2)</f>
        <v>49285.38</v>
      </c>
      <c r="G22" s="135"/>
      <c r="H22" s="135"/>
      <c r="I22" s="421"/>
      <c r="J22" s="421"/>
      <c r="K22" s="421"/>
      <c r="L22" s="155"/>
      <c r="M22" s="128"/>
    </row>
    <row r="23" spans="1:13" s="404" customFormat="1" ht="18" customHeight="1" x14ac:dyDescent="0.25">
      <c r="A23" s="432" t="s">
        <v>429</v>
      </c>
      <c r="B23" s="433">
        <f>B20+B22</f>
        <v>253102.65</v>
      </c>
      <c r="C23" s="434"/>
      <c r="D23" s="433">
        <f>D20+D22</f>
        <v>270845.15000000002</v>
      </c>
      <c r="E23" s="434"/>
      <c r="F23" s="433">
        <f>F20+F22</f>
        <v>273309.84000000003</v>
      </c>
      <c r="G23" s="414"/>
      <c r="H23" s="408"/>
      <c r="J23" s="403"/>
      <c r="K23" s="403"/>
      <c r="M23" s="403"/>
    </row>
    <row r="24" spans="1:13" s="402" customFormat="1" ht="20.25" customHeight="1" x14ac:dyDescent="0.25">
      <c r="A24" s="435" t="s">
        <v>496</v>
      </c>
      <c r="B24" s="436">
        <f>B23</f>
        <v>253102.65</v>
      </c>
      <c r="C24" s="437"/>
      <c r="D24" s="436">
        <f>D23</f>
        <v>270845.15000000002</v>
      </c>
      <c r="E24" s="437"/>
      <c r="F24" s="436">
        <f>F23</f>
        <v>273309.84000000003</v>
      </c>
      <c r="G24" s="401"/>
      <c r="H24" s="401"/>
      <c r="I24" s="436">
        <f>F24+'П  2 КР- П 7'!F24</f>
        <v>385337.35</v>
      </c>
      <c r="J24" s="415"/>
      <c r="K24" s="415"/>
      <c r="M24" s="415"/>
    </row>
    <row r="25" spans="1:13" s="406" customFormat="1" ht="16.5" customHeight="1" x14ac:dyDescent="0.25">
      <c r="A25" s="183" t="s">
        <v>455</v>
      </c>
      <c r="B25" s="410"/>
      <c r="C25" s="411"/>
      <c r="D25" s="410"/>
      <c r="E25" s="411"/>
      <c r="F25" s="410"/>
      <c r="G25" s="410"/>
      <c r="H25" s="410"/>
      <c r="I25" s="412"/>
      <c r="J25" s="412"/>
      <c r="K25" s="407"/>
      <c r="L25" s="407"/>
      <c r="M25" s="413"/>
    </row>
    <row r="26" spans="1:13" s="406" customFormat="1" ht="17.25" customHeight="1" x14ac:dyDescent="0.25">
      <c r="A26" s="183"/>
      <c r="B26" s="410"/>
      <c r="C26" s="411"/>
      <c r="D26" s="410"/>
      <c r="E26" s="411"/>
      <c r="F26" s="410"/>
      <c r="G26" s="410"/>
      <c r="H26" s="410"/>
      <c r="I26" s="412"/>
      <c r="J26" s="412"/>
      <c r="K26" s="407"/>
      <c r="L26" s="407"/>
      <c r="M26" s="413"/>
    </row>
    <row r="27" spans="1:13" s="406" customFormat="1" ht="19.5" customHeight="1" x14ac:dyDescent="0.25">
      <c r="A27" s="183" t="s">
        <v>456</v>
      </c>
      <c r="B27" s="410"/>
      <c r="C27" s="411"/>
      <c r="D27" s="410"/>
      <c r="E27" s="411"/>
      <c r="F27" s="410"/>
      <c r="G27" s="410"/>
      <c r="H27" s="410"/>
      <c r="I27" s="412"/>
      <c r="J27" s="412"/>
      <c r="K27" s="407"/>
      <c r="L27" s="407"/>
      <c r="M27" s="413"/>
    </row>
    <row r="28" spans="1:13" s="406" customFormat="1" ht="18.75" customHeight="1" x14ac:dyDescent="0.25">
      <c r="A28" s="183" t="s">
        <v>457</v>
      </c>
      <c r="B28" s="410"/>
      <c r="C28" s="411"/>
      <c r="D28" s="410"/>
      <c r="E28" s="411"/>
      <c r="F28" s="410">
        <f>9694448.36*2.14%</f>
        <v>207461.19</v>
      </c>
      <c r="G28" s="410"/>
      <c r="H28" s="410"/>
      <c r="I28" s="412"/>
      <c r="J28" s="412"/>
      <c r="K28" s="407"/>
      <c r="L28" s="407"/>
      <c r="M28" s="413"/>
    </row>
    <row r="29" spans="1:13" x14ac:dyDescent="0.25">
      <c r="A29" s="183" t="s">
        <v>437</v>
      </c>
      <c r="B29" s="153" t="s">
        <v>441</v>
      </c>
      <c r="C29" s="422"/>
      <c r="D29" s="416"/>
      <c r="F29" s="129"/>
      <c r="I29" s="140" t="s">
        <v>455</v>
      </c>
      <c r="J29" s="137"/>
      <c r="K29" s="137"/>
      <c r="L29" s="137"/>
    </row>
    <row r="30" spans="1:13" x14ac:dyDescent="0.25">
      <c r="A30" s="183" t="s">
        <v>439</v>
      </c>
      <c r="B30" s="263" t="s">
        <v>443</v>
      </c>
      <c r="C30" s="153"/>
      <c r="D30" s="416"/>
      <c r="E30" s="156"/>
      <c r="F30" s="129"/>
      <c r="J30" s="138"/>
      <c r="K30" s="131"/>
    </row>
    <row r="31" spans="1:13" x14ac:dyDescent="0.25">
      <c r="A31" s="183" t="s">
        <v>438</v>
      </c>
      <c r="B31" s="263" t="s">
        <v>450</v>
      </c>
      <c r="C31" s="153" t="s">
        <v>197</v>
      </c>
      <c r="D31" s="416"/>
      <c r="E31" s="156"/>
      <c r="F31" s="129"/>
      <c r="I31" s="122" t="s">
        <v>456</v>
      </c>
      <c r="K31" s="138"/>
    </row>
    <row r="32" spans="1:13" ht="16.5" customHeight="1" x14ac:dyDescent="0.25">
      <c r="A32" s="180" t="s">
        <v>198</v>
      </c>
      <c r="B32" s="170" t="s">
        <v>454</v>
      </c>
      <c r="C32" s="170"/>
      <c r="D32" s="417"/>
      <c r="E32" s="129"/>
      <c r="F32" s="392"/>
      <c r="G32" s="392"/>
      <c r="H32" s="392"/>
      <c r="I32" s="143" t="s">
        <v>457</v>
      </c>
    </row>
    <row r="33" spans="1:10" ht="15.75" customHeight="1" x14ac:dyDescent="0.25">
      <c r="A33" s="180" t="s">
        <v>199</v>
      </c>
      <c r="B33" s="446" t="s">
        <v>466</v>
      </c>
      <c r="C33" s="395"/>
      <c r="D33" s="417"/>
      <c r="E33" s="129"/>
      <c r="F33" s="392"/>
    </row>
    <row r="34" spans="1:10" ht="15.75" customHeight="1" x14ac:dyDescent="0.25">
      <c r="A34" s="393"/>
      <c r="B34" s="441"/>
      <c r="C34" s="395"/>
      <c r="D34" s="129"/>
      <c r="E34" s="129"/>
      <c r="F34" s="392"/>
    </row>
    <row r="35" spans="1:10" s="125" customFormat="1" ht="30" customHeight="1" x14ac:dyDescent="0.25">
      <c r="A35" s="528" t="s">
        <v>427</v>
      </c>
      <c r="B35" s="528"/>
      <c r="C35" s="528"/>
      <c r="D35" s="528"/>
      <c r="E35" s="528"/>
      <c r="F35" s="528"/>
      <c r="G35" s="528"/>
      <c r="H35" s="528"/>
    </row>
    <row r="36" spans="1:10" s="125" customFormat="1" ht="17.25" customHeight="1" x14ac:dyDescent="0.25">
      <c r="A36" s="443"/>
      <c r="B36" s="443"/>
      <c r="C36" s="443"/>
      <c r="D36" s="443"/>
      <c r="E36" s="443"/>
      <c r="F36" s="153"/>
    </row>
    <row r="37" spans="1:10" s="125" customFormat="1" ht="18.75" customHeight="1" x14ac:dyDescent="0.25">
      <c r="A37" s="399" t="s">
        <v>201</v>
      </c>
      <c r="B37" s="399" t="s">
        <v>202</v>
      </c>
      <c r="C37" s="399" t="s">
        <v>203</v>
      </c>
      <c r="D37" s="444"/>
      <c r="E37" s="443"/>
      <c r="F37" s="175"/>
    </row>
    <row r="38" spans="1:10" s="125" customFormat="1" ht="15" customHeight="1" x14ac:dyDescent="0.25">
      <c r="A38" s="179" t="s">
        <v>406</v>
      </c>
      <c r="B38" s="268">
        <v>100.18</v>
      </c>
      <c r="C38" s="266">
        <f>B38/100</f>
        <v>1.0018</v>
      </c>
      <c r="D38" s="529"/>
      <c r="E38" s="572"/>
      <c r="F38" s="572"/>
    </row>
    <row r="39" spans="1:10" s="125" customFormat="1" ht="15" customHeight="1" x14ac:dyDescent="0.25">
      <c r="A39" s="179" t="s">
        <v>434</v>
      </c>
      <c r="B39" s="268">
        <v>100.67</v>
      </c>
      <c r="C39" s="266">
        <f>B39/100</f>
        <v>1.0066999999999999</v>
      </c>
      <c r="D39" s="529"/>
      <c r="E39" s="572"/>
      <c r="F39" s="572"/>
    </row>
    <row r="40" spans="1:10" s="125" customFormat="1" ht="15" customHeight="1" x14ac:dyDescent="0.25">
      <c r="A40" s="179" t="s">
        <v>435</v>
      </c>
      <c r="B40" s="268">
        <v>100.1</v>
      </c>
      <c r="C40" s="266">
        <f t="shared" ref="C40:C45" si="0">B40/100</f>
        <v>1.0009999999999999</v>
      </c>
      <c r="D40" s="529"/>
      <c r="E40" s="572"/>
      <c r="F40" s="572"/>
    </row>
    <row r="41" spans="1:10" s="125" customFormat="1" ht="15" customHeight="1" x14ac:dyDescent="0.25">
      <c r="A41" s="179" t="s">
        <v>436</v>
      </c>
      <c r="B41" s="268">
        <v>100.72</v>
      </c>
      <c r="C41" s="266">
        <f t="shared" si="0"/>
        <v>1.0072000000000001</v>
      </c>
    </row>
    <row r="42" spans="1:10" s="125" customFormat="1" ht="15" customHeight="1" x14ac:dyDescent="0.25">
      <c r="A42" s="179" t="s">
        <v>442</v>
      </c>
      <c r="B42" s="268">
        <v>100.08</v>
      </c>
      <c r="C42" s="266">
        <f t="shared" si="0"/>
        <v>1.0007999999999999</v>
      </c>
    </row>
    <row r="43" spans="1:10" ht="15" customHeight="1" x14ac:dyDescent="0.25">
      <c r="A43" s="179" t="s">
        <v>460</v>
      </c>
      <c r="B43" s="268">
        <v>101.69</v>
      </c>
      <c r="C43" s="266">
        <f t="shared" si="0"/>
        <v>1.0168999999999999</v>
      </c>
      <c r="D43" s="529"/>
      <c r="E43" s="572"/>
      <c r="F43" s="572"/>
    </row>
    <row r="44" spans="1:10" ht="15" customHeight="1" x14ac:dyDescent="0.25">
      <c r="A44" s="179" t="s">
        <v>462</v>
      </c>
      <c r="B44" s="453">
        <v>101.69</v>
      </c>
      <c r="C44" s="266">
        <f t="shared" si="0"/>
        <v>1.0168999999999999</v>
      </c>
      <c r="D44" s="455" t="s">
        <v>211</v>
      </c>
      <c r="E44" s="450"/>
      <c r="F44" s="450"/>
    </row>
    <row r="45" spans="1:10" ht="15" customHeight="1" x14ac:dyDescent="0.25">
      <c r="A45" s="179" t="s">
        <v>463</v>
      </c>
      <c r="B45" s="453">
        <v>101.69</v>
      </c>
      <c r="C45" s="266">
        <f t="shared" si="0"/>
        <v>1.0168999999999999</v>
      </c>
      <c r="D45" s="455" t="s">
        <v>211</v>
      </c>
      <c r="E45" s="451"/>
      <c r="F45" s="451"/>
    </row>
    <row r="46" spans="1:10" ht="15" customHeight="1" x14ac:dyDescent="0.25">
      <c r="A46" s="452"/>
      <c r="B46" s="453"/>
      <c r="C46" s="454"/>
      <c r="D46" s="448"/>
      <c r="E46" s="448"/>
      <c r="F46" s="448"/>
    </row>
    <row r="47" spans="1:10" s="125" customFormat="1" ht="18.75" customHeight="1" x14ac:dyDescent="0.25">
      <c r="A47" s="297" t="s">
        <v>213</v>
      </c>
      <c r="B47" s="440"/>
      <c r="C47" s="296">
        <f>PRODUCT(C38:C46)</f>
        <v>1.07007182500209</v>
      </c>
      <c r="D47" s="296"/>
      <c r="E47" s="296"/>
      <c r="F47" s="188"/>
    </row>
    <row r="48" spans="1:10" s="125" customFormat="1" ht="18.75" customHeight="1" x14ac:dyDescent="0.25">
      <c r="A48" s="576" t="s">
        <v>465</v>
      </c>
      <c r="B48" s="576"/>
      <c r="C48" s="576"/>
      <c r="D48" s="576"/>
      <c r="E48" s="295">
        <v>1.0701000000000001</v>
      </c>
      <c r="J48" s="269"/>
    </row>
    <row r="49" spans="1:10" x14ac:dyDescent="0.25">
      <c r="A49" s="419"/>
      <c r="B49" s="419"/>
      <c r="C49" s="419"/>
      <c r="D49" s="419"/>
      <c r="E49" s="419"/>
      <c r="F49" s="418"/>
      <c r="G49" s="394"/>
      <c r="H49" s="394"/>
    </row>
    <row r="50" spans="1:10" s="125" customFormat="1" ht="32.25" customHeight="1" x14ac:dyDescent="0.25">
      <c r="A50" s="522" t="s">
        <v>430</v>
      </c>
      <c r="B50" s="522"/>
      <c r="C50" s="522"/>
      <c r="D50" s="522"/>
      <c r="E50" s="522"/>
      <c r="F50" s="522"/>
      <c r="G50" s="522"/>
      <c r="H50" s="522"/>
    </row>
    <row r="51" spans="1:10" s="125" customFormat="1" x14ac:dyDescent="0.25">
      <c r="A51" s="442"/>
      <c r="B51" s="442" t="s">
        <v>202</v>
      </c>
      <c r="C51" s="284" t="s">
        <v>216</v>
      </c>
      <c r="D51" s="442"/>
      <c r="E51" s="442"/>
      <c r="F51" s="183"/>
      <c r="G51" s="171"/>
      <c r="H51" s="171"/>
    </row>
    <row r="52" spans="1:10" s="125" customFormat="1" x14ac:dyDescent="0.25">
      <c r="A52" s="183" t="s">
        <v>317</v>
      </c>
      <c r="B52" s="183">
        <v>105.5</v>
      </c>
      <c r="C52" s="190">
        <f>B52/100</f>
        <v>1.0549999999999999</v>
      </c>
      <c r="D52" s="190"/>
      <c r="E52" s="190"/>
      <c r="F52" s="285"/>
    </row>
    <row r="53" spans="1:10" s="125" customFormat="1" x14ac:dyDescent="0.25">
      <c r="A53" s="183"/>
      <c r="B53" s="183"/>
      <c r="C53" s="190"/>
      <c r="D53" s="190"/>
      <c r="E53" s="190"/>
      <c r="F53" s="445"/>
    </row>
    <row r="54" spans="1:10" s="125" customFormat="1" ht="18.75" customHeight="1" x14ac:dyDescent="0.25">
      <c r="A54" s="296" t="s">
        <v>318</v>
      </c>
      <c r="B54" s="296"/>
      <c r="C54" s="296"/>
      <c r="D54" s="193"/>
      <c r="E54" s="193"/>
      <c r="F54" s="180"/>
      <c r="I54" s="171"/>
    </row>
    <row r="55" spans="1:10" s="125" customFormat="1" x14ac:dyDescent="0.25">
      <c r="A55" s="180"/>
      <c r="B55" s="180"/>
      <c r="C55" s="193"/>
      <c r="D55" s="180"/>
      <c r="E55" s="190"/>
      <c r="F55" s="183"/>
    </row>
    <row r="56" spans="1:10" s="125" customFormat="1" ht="15" customHeight="1" x14ac:dyDescent="0.25">
      <c r="A56" s="180" t="s">
        <v>432</v>
      </c>
      <c r="B56" s="286" t="s">
        <v>433</v>
      </c>
      <c r="C56" s="193" t="s">
        <v>218</v>
      </c>
      <c r="D56" s="180">
        <f>ROUND(POWER(C52,1/12),4)</f>
        <v>1.0044999999999999</v>
      </c>
      <c r="E56" s="153"/>
      <c r="F56" s="183"/>
      <c r="G56" s="171"/>
      <c r="H56" s="171"/>
      <c r="I56" s="171"/>
    </row>
    <row r="57" spans="1:10" s="125" customFormat="1" ht="18" customHeight="1" x14ac:dyDescent="0.25">
      <c r="A57" s="180"/>
      <c r="B57" s="286"/>
      <c r="C57" s="193"/>
      <c r="D57" s="180"/>
      <c r="E57" s="423"/>
      <c r="F57" s="445"/>
    </row>
    <row r="58" spans="1:10" s="405" customFormat="1" ht="20.25" customHeight="1" x14ac:dyDescent="0.25">
      <c r="A58" s="577" t="s">
        <v>431</v>
      </c>
      <c r="B58" s="578"/>
      <c r="C58" s="579"/>
      <c r="D58" s="580"/>
      <c r="E58" s="581"/>
      <c r="F58" s="582"/>
      <c r="G58"/>
      <c r="H58"/>
      <c r="I58"/>
      <c r="J58" s="122"/>
    </row>
    <row r="59" spans="1:10" s="125" customFormat="1" x14ac:dyDescent="0.25">
      <c r="A59" s="583" t="s">
        <v>473</v>
      </c>
      <c r="B59"/>
      <c r="C59" s="584"/>
      <c r="D59" s="584"/>
      <c r="E59" s="584">
        <v>1.0091000000000001</v>
      </c>
      <c r="F59" s="585">
        <f>POWER(1.0045,2)</f>
        <v>1.0090202500000001</v>
      </c>
      <c r="G59"/>
      <c r="H59"/>
      <c r="I59"/>
    </row>
    <row r="60" spans="1:10" x14ac:dyDescent="0.25">
      <c r="A60" s="586" t="s">
        <v>480</v>
      </c>
      <c r="B60"/>
      <c r="C60" s="587"/>
      <c r="D60" s="587"/>
      <c r="E60" s="587">
        <v>1.0091000000000001</v>
      </c>
      <c r="F60" s="585">
        <f>POWER(1.0045,2)</f>
        <v>1.0090202500000001</v>
      </c>
      <c r="G60" t="s">
        <v>474</v>
      </c>
      <c r="H60"/>
      <c r="I60"/>
    </row>
    <row r="61" spans="1:10" x14ac:dyDescent="0.25">
      <c r="A61" s="588" t="s">
        <v>479</v>
      </c>
      <c r="B61" s="589"/>
      <c r="C61" s="589"/>
      <c r="D61" s="589"/>
      <c r="E61" s="590">
        <f>(E59+E60)/2</f>
        <v>1.0091000000000001</v>
      </c>
      <c r="F61"/>
      <c r="G61" t="s">
        <v>475</v>
      </c>
      <c r="H61"/>
      <c r="I61"/>
    </row>
    <row r="62" spans="1:10" x14ac:dyDescent="0.25">
      <c r="A62" s="591" t="s">
        <v>476</v>
      </c>
      <c r="B62" s="592"/>
      <c r="C62" s="592"/>
      <c r="D62" s="592"/>
      <c r="E62" s="593"/>
      <c r="F62" s="594"/>
      <c r="G62"/>
      <c r="H62"/>
      <c r="I62"/>
    </row>
    <row r="63" spans="1:10" x14ac:dyDescent="0.25">
      <c r="A63" s="591" t="s">
        <v>477</v>
      </c>
      <c r="B63" s="595"/>
      <c r="C63" s="595"/>
      <c r="D63" s="595"/>
      <c r="E63" s="595"/>
      <c r="F63" s="595"/>
      <c r="G63" s="596">
        <f>F38</f>
        <v>0</v>
      </c>
      <c r="H63"/>
      <c r="I63"/>
    </row>
    <row r="64" spans="1:10" x14ac:dyDescent="0.25">
      <c r="A64"/>
      <c r="B64" s="595"/>
      <c r="C64" s="595"/>
      <c r="D64" s="595"/>
      <c r="E64" s="595"/>
      <c r="F64" s="595"/>
      <c r="G64"/>
      <c r="H64"/>
      <c r="I64"/>
    </row>
    <row r="65" spans="1:9" x14ac:dyDescent="0.25">
      <c r="A65"/>
      <c r="B65"/>
      <c r="C65"/>
      <c r="D65"/>
      <c r="E65"/>
      <c r="F65"/>
      <c r="G65"/>
      <c r="H65"/>
      <c r="I65"/>
    </row>
    <row r="66" spans="1:9" x14ac:dyDescent="0.25">
      <c r="A66"/>
      <c r="B66"/>
      <c r="C66"/>
      <c r="D66"/>
      <c r="E66"/>
      <c r="F66"/>
      <c r="G66"/>
      <c r="H66"/>
      <c r="I66"/>
    </row>
    <row r="67" spans="1:9" x14ac:dyDescent="0.25">
      <c r="A67"/>
      <c r="B67"/>
      <c r="C67"/>
      <c r="D67"/>
      <c r="E67"/>
      <c r="F67"/>
      <c r="G67"/>
      <c r="H67"/>
      <c r="I67"/>
    </row>
    <row r="68" spans="1:9" x14ac:dyDescent="0.25">
      <c r="A68"/>
      <c r="B68"/>
      <c r="C68"/>
      <c r="D68"/>
      <c r="E68"/>
      <c r="F68"/>
      <c r="G68"/>
      <c r="H68"/>
      <c r="I68"/>
    </row>
    <row r="69" spans="1:9" x14ac:dyDescent="0.25">
      <c r="A69"/>
      <c r="B69"/>
      <c r="C69"/>
      <c r="D69"/>
      <c r="E69"/>
      <c r="F69"/>
      <c r="G69"/>
      <c r="H69"/>
      <c r="I69"/>
    </row>
  </sheetData>
  <mergeCells count="26">
    <mergeCell ref="A48:D48"/>
    <mergeCell ref="A50:H50"/>
    <mergeCell ref="G15:H15"/>
    <mergeCell ref="A35:H35"/>
    <mergeCell ref="D38:F38"/>
    <mergeCell ref="D39:F39"/>
    <mergeCell ref="D40:F40"/>
    <mergeCell ref="D43:F43"/>
    <mergeCell ref="A15:A16"/>
    <mergeCell ref="B15:B16"/>
    <mergeCell ref="C15:C16"/>
    <mergeCell ref="D15:D16"/>
    <mergeCell ref="E15:E16"/>
    <mergeCell ref="F15:F16"/>
    <mergeCell ref="A13:H13"/>
    <mergeCell ref="D1:F1"/>
    <mergeCell ref="G1:H1"/>
    <mergeCell ref="A3:H3"/>
    <mergeCell ref="A4:H4"/>
    <mergeCell ref="A6:H6"/>
    <mergeCell ref="A7:F7"/>
    <mergeCell ref="A8:H8"/>
    <mergeCell ref="A9:F9"/>
    <mergeCell ref="A10:F10"/>
    <mergeCell ref="A11:F11"/>
    <mergeCell ref="A12:F12"/>
  </mergeCells>
  <pageMargins left="0.7" right="0.7" top="0.75" bottom="0.75" header="0.3" footer="0.3"/>
  <pageSetup paperSize="9" scale="54" fitToHeight="0" orientation="portrait" r:id="rId1"/>
  <rowBreaks count="1" manualBreakCount="1">
    <brk id="49" max="6" man="1"/>
  </rowBreaks>
  <colBreaks count="1" manualBreakCount="1">
    <brk id="8" max="84"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68"/>
  <sheetViews>
    <sheetView view="pageBreakPreview" zoomScale="70" zoomScaleNormal="100" zoomScaleSheetLayoutView="70" workbookViewId="0">
      <selection activeCell="F24" sqref="F24"/>
    </sheetView>
  </sheetViews>
  <sheetFormatPr defaultRowHeight="15" x14ac:dyDescent="0.25"/>
  <cols>
    <col min="1" max="1" width="44.140625" style="122" customWidth="1"/>
    <col min="2" max="2" width="21.28515625" style="122" customWidth="1"/>
    <col min="3" max="3" width="15.7109375" style="122" customWidth="1"/>
    <col min="4" max="4" width="25.140625" style="122" customWidth="1"/>
    <col min="5" max="5" width="16.42578125" style="122" customWidth="1"/>
    <col min="6" max="6" width="23.140625" style="122" customWidth="1"/>
    <col min="7" max="7" width="19.5703125" style="122" hidden="1" customWidth="1"/>
    <col min="8" max="8" width="20.5703125" style="122" hidden="1" customWidth="1"/>
    <col min="9" max="16384" width="9.140625" style="122"/>
  </cols>
  <sheetData>
    <row r="1" spans="1:8" s="125" customFormat="1" ht="15.75" customHeight="1" x14ac:dyDescent="0.25">
      <c r="B1" s="396"/>
      <c r="C1" s="396"/>
      <c r="D1" s="564" t="s">
        <v>487</v>
      </c>
      <c r="E1" s="564"/>
      <c r="F1" s="564"/>
      <c r="G1" s="565" t="s">
        <v>403</v>
      </c>
      <c r="H1" s="565"/>
    </row>
    <row r="2" spans="1:8" s="125" customFormat="1" ht="15.75" customHeight="1" x14ac:dyDescent="0.25">
      <c r="A2" s="397"/>
      <c r="B2" s="397"/>
      <c r="C2" s="397"/>
      <c r="D2" s="397"/>
      <c r="E2" s="397"/>
      <c r="F2" s="397"/>
    </row>
    <row r="3" spans="1:8" s="125" customFormat="1" ht="15.75" x14ac:dyDescent="0.25">
      <c r="A3" s="566" t="s">
        <v>467</v>
      </c>
      <c r="B3" s="566"/>
      <c r="C3" s="566"/>
      <c r="D3" s="566"/>
      <c r="E3" s="566"/>
      <c r="F3" s="566"/>
      <c r="G3" s="566"/>
      <c r="H3" s="566"/>
    </row>
    <row r="4" spans="1:8" s="125" customFormat="1" ht="15.75" x14ac:dyDescent="0.25">
      <c r="A4" s="567" t="s">
        <v>178</v>
      </c>
      <c r="B4" s="567"/>
      <c r="C4" s="567"/>
      <c r="D4" s="567"/>
      <c r="E4" s="567"/>
      <c r="F4" s="567"/>
      <c r="G4" s="567"/>
      <c r="H4" s="567"/>
    </row>
    <row r="5" spans="1:8" s="125" customFormat="1" ht="15.75" x14ac:dyDescent="0.25">
      <c r="A5" s="398"/>
      <c r="B5" s="398"/>
      <c r="C5" s="398"/>
      <c r="D5" s="398"/>
      <c r="E5" s="398"/>
      <c r="F5" s="398"/>
    </row>
    <row r="6" spans="1:8" s="125" customFormat="1" ht="15.75" x14ac:dyDescent="0.25">
      <c r="A6" s="568" t="s">
        <v>446</v>
      </c>
      <c r="B6" s="569"/>
      <c r="C6" s="569"/>
      <c r="D6" s="569"/>
      <c r="E6" s="569"/>
      <c r="F6" s="569"/>
      <c r="G6" s="563"/>
      <c r="H6" s="563"/>
    </row>
    <row r="7" spans="1:8" s="125" customFormat="1" ht="15.75" x14ac:dyDescent="0.25">
      <c r="A7" s="568" t="s">
        <v>445</v>
      </c>
      <c r="B7" s="569"/>
      <c r="C7" s="569"/>
      <c r="D7" s="569"/>
      <c r="E7" s="569"/>
      <c r="F7" s="569"/>
    </row>
    <row r="8" spans="1:8" s="125" customFormat="1" ht="15.75" x14ac:dyDescent="0.25">
      <c r="A8" s="568" t="s">
        <v>451</v>
      </c>
      <c r="B8" s="569"/>
      <c r="C8" s="569"/>
      <c r="D8" s="569"/>
      <c r="E8" s="569"/>
      <c r="F8" s="569"/>
      <c r="G8" s="570"/>
      <c r="H8" s="570"/>
    </row>
    <row r="9" spans="1:8" s="125" customFormat="1" ht="15.75" x14ac:dyDescent="0.25">
      <c r="A9" s="568" t="s">
        <v>452</v>
      </c>
      <c r="B9" s="569"/>
      <c r="C9" s="569"/>
      <c r="D9" s="569"/>
      <c r="E9" s="569"/>
      <c r="F9" s="569"/>
    </row>
    <row r="10" spans="1:8" s="125" customFormat="1" ht="15.75" x14ac:dyDescent="0.25">
      <c r="A10" s="560"/>
      <c r="B10" s="561"/>
      <c r="C10" s="561"/>
      <c r="D10" s="561"/>
      <c r="E10" s="561"/>
      <c r="F10" s="561"/>
    </row>
    <row r="11" spans="1:8" s="125" customFormat="1" ht="42" customHeight="1" x14ac:dyDescent="0.25">
      <c r="A11" s="571"/>
      <c r="B11" s="571"/>
      <c r="C11" s="571"/>
      <c r="D11" s="571"/>
      <c r="E11" s="571"/>
      <c r="F11" s="571"/>
    </row>
    <row r="12" spans="1:8" s="125" customFormat="1" ht="15.75" x14ac:dyDescent="0.25">
      <c r="A12" s="571" t="s">
        <v>447</v>
      </c>
      <c r="B12" s="571"/>
      <c r="C12" s="571"/>
      <c r="D12" s="571"/>
      <c r="E12" s="571"/>
      <c r="F12" s="571"/>
    </row>
    <row r="13" spans="1:8" s="125" customFormat="1" ht="77.25" customHeight="1" x14ac:dyDescent="0.25">
      <c r="A13" s="540" t="s">
        <v>470</v>
      </c>
      <c r="B13" s="540"/>
      <c r="C13" s="540"/>
      <c r="D13" s="540"/>
      <c r="E13" s="540"/>
      <c r="F13" s="540"/>
      <c r="G13" s="563"/>
      <c r="H13" s="563"/>
    </row>
    <row r="14" spans="1:8" s="125" customFormat="1" x14ac:dyDescent="0.25">
      <c r="A14" s="153" t="s">
        <v>181</v>
      </c>
      <c r="B14" s="153"/>
      <c r="C14" s="153"/>
      <c r="D14" s="153"/>
      <c r="E14" s="153"/>
      <c r="F14" s="400" t="s">
        <v>182</v>
      </c>
      <c r="H14" s="400" t="s">
        <v>182</v>
      </c>
    </row>
    <row r="15" spans="1:8" ht="18" customHeight="1" x14ac:dyDescent="0.25">
      <c r="A15" s="573" t="s">
        <v>183</v>
      </c>
      <c r="B15" s="573" t="s">
        <v>444</v>
      </c>
      <c r="C15" s="573" t="s">
        <v>184</v>
      </c>
      <c r="D15" s="573" t="s">
        <v>469</v>
      </c>
      <c r="E15" s="573" t="s">
        <v>185</v>
      </c>
      <c r="F15" s="573" t="s">
        <v>186</v>
      </c>
      <c r="G15" s="575" t="s">
        <v>187</v>
      </c>
      <c r="H15" s="575"/>
    </row>
    <row r="16" spans="1:8" ht="77.25" customHeight="1" x14ac:dyDescent="0.25">
      <c r="A16" s="574"/>
      <c r="B16" s="574"/>
      <c r="C16" s="574"/>
      <c r="D16" s="574" t="s">
        <v>189</v>
      </c>
      <c r="E16" s="574"/>
      <c r="F16" s="574"/>
      <c r="G16" s="132">
        <v>2026</v>
      </c>
      <c r="H16" s="132">
        <v>2027</v>
      </c>
    </row>
    <row r="17" spans="1:8" x14ac:dyDescent="0.25">
      <c r="A17" s="132">
        <v>1</v>
      </c>
      <c r="B17" s="132">
        <v>2</v>
      </c>
      <c r="C17" s="132">
        <v>3</v>
      </c>
      <c r="D17" s="132">
        <v>4</v>
      </c>
      <c r="E17" s="132">
        <v>5</v>
      </c>
      <c r="F17" s="132">
        <v>6</v>
      </c>
      <c r="G17" s="132">
        <v>7</v>
      </c>
      <c r="H17" s="132">
        <v>8</v>
      </c>
    </row>
    <row r="18" spans="1:8" ht="95.25" customHeight="1" x14ac:dyDescent="0.25">
      <c r="A18" s="424" t="s">
        <v>459</v>
      </c>
      <c r="B18" s="425">
        <v>83969.5</v>
      </c>
      <c r="C18" s="426">
        <f>E52</f>
        <v>1.0837000000000001</v>
      </c>
      <c r="D18" s="425">
        <f>B18*C18</f>
        <v>90997.75</v>
      </c>
      <c r="E18" s="426">
        <v>1.0091000000000001</v>
      </c>
      <c r="F18" s="425">
        <f>D18*E18</f>
        <v>91825.83</v>
      </c>
      <c r="G18" s="135"/>
      <c r="H18" s="135"/>
    </row>
    <row r="19" spans="1:8" ht="15.75" x14ac:dyDescent="0.25">
      <c r="A19" s="427" t="s">
        <v>346</v>
      </c>
      <c r="B19" s="428">
        <f>B18</f>
        <v>83969.5</v>
      </c>
      <c r="C19" s="426">
        <f>E52</f>
        <v>1.0837000000000001</v>
      </c>
      <c r="D19" s="429">
        <f>B19*C19</f>
        <v>90997.75</v>
      </c>
      <c r="E19" s="426">
        <v>1.0091000000000001</v>
      </c>
      <c r="F19" s="429">
        <f>D19*E19</f>
        <v>91825.83</v>
      </c>
      <c r="G19" s="135"/>
      <c r="H19" s="275"/>
    </row>
    <row r="20" spans="1:8" ht="15.75" x14ac:dyDescent="0.25">
      <c r="A20" s="427" t="s">
        <v>428</v>
      </c>
      <c r="B20" s="428">
        <f>SUM(B19:B19)</f>
        <v>83969.5</v>
      </c>
      <c r="C20" s="426"/>
      <c r="D20" s="429">
        <f>D19</f>
        <v>90997.75</v>
      </c>
      <c r="E20" s="426"/>
      <c r="F20" s="429">
        <f>F19</f>
        <v>91825.83</v>
      </c>
      <c r="G20" s="135"/>
      <c r="H20" s="275"/>
    </row>
    <row r="21" spans="1:8" s="125" customFormat="1" ht="18.75" customHeight="1" x14ac:dyDescent="0.25">
      <c r="A21" s="430" t="s">
        <v>449</v>
      </c>
      <c r="B21" s="431">
        <f>B20*0.2</f>
        <v>16793.900000000001</v>
      </c>
      <c r="C21" s="426"/>
      <c r="D21" s="425">
        <f>D20*0.2</f>
        <v>18199.55</v>
      </c>
      <c r="E21" s="426"/>
      <c r="F21" s="425">
        <f>F20*0.2</f>
        <v>18365.169999999998</v>
      </c>
      <c r="G21" s="135"/>
      <c r="H21" s="275"/>
    </row>
    <row r="22" spans="1:8" s="125" customFormat="1" ht="63.75" customHeight="1" x14ac:dyDescent="0.25">
      <c r="A22" s="424" t="s">
        <v>440</v>
      </c>
      <c r="B22" s="431">
        <f>ROUND(B20*0.22,2)</f>
        <v>18473.29</v>
      </c>
      <c r="C22" s="426"/>
      <c r="D22" s="425">
        <f>ROUND(D20*0.22,2)</f>
        <v>20019.509999999998</v>
      </c>
      <c r="E22" s="426"/>
      <c r="F22" s="425">
        <f>ROUND(F20*0.22,2)</f>
        <v>20201.68</v>
      </c>
      <c r="G22" s="135"/>
      <c r="H22" s="135"/>
    </row>
    <row r="23" spans="1:8" s="404" customFormat="1" ht="18" customHeight="1" x14ac:dyDescent="0.25">
      <c r="A23" s="432" t="s">
        <v>429</v>
      </c>
      <c r="B23" s="433">
        <f>B20+B22</f>
        <v>102442.79</v>
      </c>
      <c r="C23" s="434"/>
      <c r="D23" s="433">
        <f>D20+D22</f>
        <v>111017.26</v>
      </c>
      <c r="E23" s="434"/>
      <c r="F23" s="433">
        <f>F20+F22</f>
        <v>112027.51</v>
      </c>
      <c r="G23" s="414"/>
      <c r="H23" s="408"/>
    </row>
    <row r="24" spans="1:8" s="402" customFormat="1" ht="20.25" customHeight="1" x14ac:dyDescent="0.25">
      <c r="A24" s="435" t="s">
        <v>310</v>
      </c>
      <c r="B24" s="436">
        <f>B23</f>
        <v>102442.79</v>
      </c>
      <c r="C24" s="437"/>
      <c r="D24" s="436">
        <f>D23</f>
        <v>111017.26</v>
      </c>
      <c r="E24" s="437"/>
      <c r="F24" s="436">
        <f>F23</f>
        <v>112027.51</v>
      </c>
      <c r="G24" s="401"/>
      <c r="H24" s="401"/>
    </row>
    <row r="25" spans="1:8" s="406" customFormat="1" ht="11.25" customHeight="1" x14ac:dyDescent="0.25">
      <c r="A25" s="409"/>
      <c r="B25" s="410"/>
      <c r="C25" s="411"/>
      <c r="D25" s="410"/>
      <c r="E25" s="411"/>
      <c r="F25" s="410"/>
      <c r="G25" s="410"/>
      <c r="H25" s="410"/>
    </row>
    <row r="26" spans="1:8" s="406" customFormat="1" ht="11.25" customHeight="1" x14ac:dyDescent="0.25">
      <c r="A26" s="409"/>
      <c r="B26" s="410"/>
      <c r="C26" s="411"/>
      <c r="D26" s="410"/>
      <c r="E26" s="411"/>
      <c r="F26" s="410"/>
      <c r="G26" s="410"/>
      <c r="H26" s="410"/>
    </row>
    <row r="27" spans="1:8" s="406" customFormat="1" ht="20.25" customHeight="1" x14ac:dyDescent="0.25">
      <c r="A27" s="449" t="s">
        <v>458</v>
      </c>
      <c r="B27" s="410"/>
      <c r="C27" s="411"/>
      <c r="D27" s="410"/>
      <c r="E27" s="411"/>
      <c r="F27" s="410"/>
      <c r="G27" s="410"/>
      <c r="H27" s="410"/>
    </row>
    <row r="28" spans="1:8" s="406" customFormat="1" ht="19.5" customHeight="1" x14ac:dyDescent="0.25">
      <c r="A28" s="449" t="s">
        <v>456</v>
      </c>
      <c r="B28" s="410"/>
      <c r="C28" s="411"/>
      <c r="D28" s="410"/>
      <c r="E28" s="411"/>
      <c r="F28" s="410"/>
      <c r="G28" s="410"/>
      <c r="H28" s="410"/>
    </row>
    <row r="29" spans="1:8" s="406" customFormat="1" ht="18.75" customHeight="1" x14ac:dyDescent="0.25">
      <c r="A29" s="449" t="s">
        <v>459</v>
      </c>
      <c r="B29" s="410"/>
      <c r="C29" s="411"/>
      <c r="D29" s="410"/>
      <c r="E29" s="411"/>
      <c r="F29" s="410"/>
      <c r="G29" s="410"/>
      <c r="H29" s="410"/>
    </row>
    <row r="30" spans="1:8" s="406" customFormat="1" ht="11.25" customHeight="1" x14ac:dyDescent="0.25">
      <c r="A30" s="409"/>
      <c r="B30" s="410"/>
      <c r="C30" s="411"/>
      <c r="D30" s="410"/>
      <c r="E30" s="411"/>
      <c r="F30" s="410"/>
      <c r="G30" s="410"/>
      <c r="H30" s="410"/>
    </row>
    <row r="31" spans="1:8" x14ac:dyDescent="0.25">
      <c r="A31" s="183" t="s">
        <v>437</v>
      </c>
      <c r="B31" s="153" t="s">
        <v>441</v>
      </c>
      <c r="C31" s="422"/>
      <c r="D31" s="416"/>
      <c r="F31" s="129"/>
    </row>
    <row r="32" spans="1:8" x14ac:dyDescent="0.25">
      <c r="A32" s="183" t="s">
        <v>439</v>
      </c>
      <c r="B32" s="263" t="s">
        <v>443</v>
      </c>
      <c r="C32" s="153"/>
      <c r="D32" s="416"/>
      <c r="E32" s="156"/>
      <c r="F32" s="129"/>
    </row>
    <row r="33" spans="1:8" x14ac:dyDescent="0.25">
      <c r="A33" s="183" t="s">
        <v>438</v>
      </c>
      <c r="B33" s="263" t="s">
        <v>450</v>
      </c>
      <c r="C33" s="153" t="s">
        <v>197</v>
      </c>
      <c r="D33" s="416"/>
      <c r="E33" s="156"/>
      <c r="F33" s="129"/>
    </row>
    <row r="34" spans="1:8" ht="16.5" customHeight="1" x14ac:dyDescent="0.25">
      <c r="A34" s="180" t="s">
        <v>198</v>
      </c>
      <c r="B34" s="170" t="s">
        <v>448</v>
      </c>
      <c r="C34" s="170"/>
      <c r="D34" s="417"/>
      <c r="E34" s="129"/>
      <c r="F34" s="392"/>
      <c r="G34" s="392"/>
      <c r="H34" s="392"/>
    </row>
    <row r="35" spans="1:8" ht="15.75" customHeight="1" x14ac:dyDescent="0.25">
      <c r="A35" s="180" t="s">
        <v>199</v>
      </c>
      <c r="B35" s="173" t="s">
        <v>471</v>
      </c>
      <c r="C35" s="395"/>
      <c r="D35" s="417"/>
      <c r="E35" s="129"/>
      <c r="F35" s="392"/>
    </row>
    <row r="36" spans="1:8" ht="15.75" customHeight="1" x14ac:dyDescent="0.25">
      <c r="A36" s="393"/>
      <c r="B36" s="420"/>
      <c r="C36" s="395"/>
      <c r="D36" s="129"/>
      <c r="E36" s="129"/>
      <c r="F36" s="392"/>
    </row>
    <row r="37" spans="1:8" s="125" customFormat="1" ht="30" customHeight="1" x14ac:dyDescent="0.25">
      <c r="A37" s="528" t="s">
        <v>427</v>
      </c>
      <c r="B37" s="528"/>
      <c r="C37" s="528"/>
      <c r="D37" s="528"/>
      <c r="E37" s="528"/>
      <c r="F37" s="528"/>
      <c r="G37" s="528"/>
      <c r="H37" s="528"/>
    </row>
    <row r="38" spans="1:8" s="125" customFormat="1" ht="17.25" customHeight="1" x14ac:dyDescent="0.25">
      <c r="A38" s="166"/>
      <c r="B38" s="166"/>
      <c r="C38" s="166"/>
      <c r="D38" s="166"/>
      <c r="E38" s="166"/>
      <c r="F38" s="153"/>
    </row>
    <row r="39" spans="1:8" s="125" customFormat="1" ht="18.75" customHeight="1" x14ac:dyDescent="0.25">
      <c r="A39" s="399" t="s">
        <v>201</v>
      </c>
      <c r="B39" s="399" t="s">
        <v>202</v>
      </c>
      <c r="C39" s="399" t="s">
        <v>203</v>
      </c>
      <c r="D39" s="168"/>
      <c r="E39" s="166"/>
      <c r="F39" s="175"/>
    </row>
    <row r="40" spans="1:8" s="125" customFormat="1" ht="18.75" customHeight="1" x14ac:dyDescent="0.25">
      <c r="A40" s="264" t="s">
        <v>290</v>
      </c>
      <c r="B40" s="268">
        <v>100.18</v>
      </c>
      <c r="C40" s="266">
        <v>1.0018</v>
      </c>
      <c r="D40" s="438"/>
      <c r="E40" s="439"/>
      <c r="F40" s="175"/>
    </row>
    <row r="41" spans="1:8" s="125" customFormat="1" ht="18.75" customHeight="1" x14ac:dyDescent="0.25">
      <c r="A41" s="264" t="s">
        <v>291</v>
      </c>
      <c r="B41" s="268">
        <v>99.81</v>
      </c>
      <c r="C41" s="266">
        <v>0.99809999999999999</v>
      </c>
      <c r="D41" s="438"/>
      <c r="E41" s="439"/>
      <c r="F41" s="175"/>
    </row>
    <row r="42" spans="1:8" s="125" customFormat="1" ht="18.75" customHeight="1" x14ac:dyDescent="0.25">
      <c r="A42" s="179" t="s">
        <v>292</v>
      </c>
      <c r="B42" s="268">
        <v>101.28</v>
      </c>
      <c r="C42" s="266">
        <v>1.0127999999999999</v>
      </c>
      <c r="D42" s="438"/>
      <c r="E42" s="439"/>
      <c r="F42" s="175"/>
    </row>
    <row r="43" spans="1:8" s="125" customFormat="1" ht="15" customHeight="1" x14ac:dyDescent="0.25">
      <c r="A43" s="179" t="s">
        <v>406</v>
      </c>
      <c r="B43" s="268">
        <v>100.18</v>
      </c>
      <c r="C43" s="266">
        <v>1.0018</v>
      </c>
      <c r="D43" s="529"/>
      <c r="E43" s="572"/>
      <c r="F43" s="572"/>
    </row>
    <row r="44" spans="1:8" s="125" customFormat="1" ht="15" customHeight="1" x14ac:dyDescent="0.25">
      <c r="A44" s="179" t="s">
        <v>434</v>
      </c>
      <c r="B44" s="268">
        <v>100.67</v>
      </c>
      <c r="C44" s="266">
        <v>1.0066999999999999</v>
      </c>
      <c r="D44" s="529"/>
      <c r="E44" s="572"/>
      <c r="F44" s="572"/>
    </row>
    <row r="45" spans="1:8" s="125" customFormat="1" ht="15" customHeight="1" x14ac:dyDescent="0.25">
      <c r="A45" s="179" t="s">
        <v>435</v>
      </c>
      <c r="B45" s="268">
        <v>100.1</v>
      </c>
      <c r="C45" s="266">
        <v>1.0009999999999999</v>
      </c>
      <c r="D45" s="529"/>
      <c r="E45" s="572"/>
      <c r="F45" s="572"/>
    </row>
    <row r="46" spans="1:8" s="125" customFormat="1" ht="15" customHeight="1" x14ac:dyDescent="0.25">
      <c r="A46" s="179" t="s">
        <v>436</v>
      </c>
      <c r="B46" s="268">
        <v>100.72</v>
      </c>
      <c r="C46" s="266">
        <f t="shared" ref="C46:C50" si="0">B46/100</f>
        <v>1.0072000000000001</v>
      </c>
    </row>
    <row r="47" spans="1:8" s="125" customFormat="1" ht="15" customHeight="1" x14ac:dyDescent="0.25">
      <c r="A47" s="179" t="s">
        <v>442</v>
      </c>
      <c r="B47" s="268">
        <v>100.08</v>
      </c>
      <c r="C47" s="266">
        <f t="shared" si="0"/>
        <v>1.0007999999999999</v>
      </c>
    </row>
    <row r="48" spans="1:8" ht="15" customHeight="1" x14ac:dyDescent="0.25">
      <c r="A48" s="179" t="s">
        <v>460</v>
      </c>
      <c r="B48" s="268">
        <v>101.69</v>
      </c>
      <c r="C48" s="266">
        <f t="shared" si="0"/>
        <v>1.0168999999999999</v>
      </c>
      <c r="D48" s="529"/>
      <c r="E48" s="572"/>
      <c r="F48" s="572"/>
    </row>
    <row r="49" spans="1:8" ht="15" customHeight="1" x14ac:dyDescent="0.25">
      <c r="A49" s="179" t="s">
        <v>462</v>
      </c>
      <c r="B49" s="453">
        <v>101.69</v>
      </c>
      <c r="C49" s="266">
        <f t="shared" si="0"/>
        <v>1.0168999999999999</v>
      </c>
      <c r="D49" s="455" t="s">
        <v>211</v>
      </c>
      <c r="E49" s="450"/>
      <c r="F49" s="450"/>
    </row>
    <row r="50" spans="1:8" ht="15" customHeight="1" x14ac:dyDescent="0.25">
      <c r="A50" s="179" t="s">
        <v>463</v>
      </c>
      <c r="B50" s="453">
        <v>101.69</v>
      </c>
      <c r="C50" s="266">
        <f t="shared" si="0"/>
        <v>1.0168999999999999</v>
      </c>
      <c r="D50" s="455" t="s">
        <v>211</v>
      </c>
      <c r="E50" s="451"/>
      <c r="F50" s="451"/>
    </row>
    <row r="51" spans="1:8" s="125" customFormat="1" ht="18.75" customHeight="1" x14ac:dyDescent="0.25">
      <c r="A51" s="297" t="s">
        <v>213</v>
      </c>
      <c r="B51" s="147"/>
      <c r="C51" s="296">
        <f>PRODUCT(C40:C50)</f>
        <v>1.0836566609985701</v>
      </c>
      <c r="D51" s="296"/>
      <c r="E51" s="296"/>
      <c r="F51" s="188"/>
    </row>
    <row r="52" spans="1:8" s="125" customFormat="1" ht="18.75" customHeight="1" x14ac:dyDescent="0.25">
      <c r="A52" s="576" t="s">
        <v>464</v>
      </c>
      <c r="B52" s="576"/>
      <c r="C52" s="576"/>
      <c r="D52" s="576"/>
      <c r="E52" s="295">
        <v>1.0837000000000001</v>
      </c>
    </row>
    <row r="53" spans="1:8" x14ac:dyDescent="0.25">
      <c r="A53" s="419"/>
      <c r="B53" s="419"/>
      <c r="C53" s="419"/>
      <c r="D53" s="419"/>
      <c r="E53" s="419"/>
      <c r="F53" s="418"/>
      <c r="G53" s="394"/>
      <c r="H53" s="394"/>
    </row>
    <row r="54" spans="1:8" s="125" customFormat="1" ht="32.25" customHeight="1" x14ac:dyDescent="0.25">
      <c r="A54" s="522" t="s">
        <v>430</v>
      </c>
      <c r="B54" s="522"/>
      <c r="C54" s="522"/>
      <c r="D54" s="522"/>
      <c r="E54" s="522"/>
      <c r="F54" s="522"/>
      <c r="G54" s="522"/>
      <c r="H54" s="522"/>
    </row>
    <row r="55" spans="1:8" s="125" customFormat="1" x14ac:dyDescent="0.25">
      <c r="A55" s="187"/>
      <c r="B55" s="187" t="s">
        <v>202</v>
      </c>
      <c r="C55" s="284" t="s">
        <v>216</v>
      </c>
      <c r="D55" s="187"/>
      <c r="E55" s="187"/>
      <c r="F55" s="183"/>
      <c r="G55" s="171"/>
      <c r="H55" s="171"/>
    </row>
    <row r="56" spans="1:8" s="125" customFormat="1" x14ac:dyDescent="0.25">
      <c r="A56" s="183" t="s">
        <v>317</v>
      </c>
      <c r="B56" s="183">
        <v>105.5</v>
      </c>
      <c r="C56" s="190">
        <f>B56/100</f>
        <v>1.0549999999999999</v>
      </c>
      <c r="D56" s="190"/>
      <c r="E56" s="190"/>
      <c r="F56" s="285"/>
    </row>
    <row r="57" spans="1:8" s="125" customFormat="1" x14ac:dyDescent="0.25">
      <c r="A57" s="183"/>
      <c r="B57" s="183"/>
      <c r="C57" s="190"/>
      <c r="D57" s="190"/>
      <c r="E57" s="190"/>
      <c r="F57" s="64"/>
    </row>
    <row r="58" spans="1:8" s="125" customFormat="1" ht="18.75" customHeight="1" x14ac:dyDescent="0.25">
      <c r="A58" s="296" t="s">
        <v>318</v>
      </c>
      <c r="B58" s="296"/>
      <c r="C58" s="296"/>
      <c r="D58" s="193"/>
      <c r="E58" s="193"/>
      <c r="F58" s="180"/>
    </row>
    <row r="59" spans="1:8" s="125" customFormat="1" x14ac:dyDescent="0.25">
      <c r="A59" s="180"/>
      <c r="B59" s="180"/>
      <c r="C59" s="193"/>
      <c r="D59" s="180"/>
      <c r="E59" s="190"/>
      <c r="F59" s="183"/>
    </row>
    <row r="60" spans="1:8" s="125" customFormat="1" ht="15" customHeight="1" x14ac:dyDescent="0.25">
      <c r="A60" s="180" t="s">
        <v>432</v>
      </c>
      <c r="B60" s="286" t="s">
        <v>433</v>
      </c>
      <c r="C60" s="193" t="s">
        <v>218</v>
      </c>
      <c r="D60" s="180">
        <f>ROUND(POWER(C56,1/12),4)</f>
        <v>1.0044999999999999</v>
      </c>
      <c r="E60" s="153"/>
      <c r="F60" s="183"/>
      <c r="G60" s="171"/>
      <c r="H60" s="171"/>
    </row>
    <row r="61" spans="1:8" s="125" customFormat="1" ht="18" customHeight="1" x14ac:dyDescent="0.25">
      <c r="A61" s="180"/>
      <c r="B61" s="286"/>
      <c r="C61" s="193"/>
      <c r="D61" s="180"/>
      <c r="E61" s="423"/>
      <c r="F61" s="64"/>
    </row>
    <row r="62" spans="1:8" x14ac:dyDescent="0.25">
      <c r="A62" s="577" t="s">
        <v>431</v>
      </c>
      <c r="B62" s="578"/>
      <c r="C62" s="579"/>
      <c r="D62" s="580"/>
      <c r="E62" s="581"/>
      <c r="F62" s="582"/>
    </row>
    <row r="63" spans="1:8" s="125" customFormat="1" x14ac:dyDescent="0.25">
      <c r="A63" s="583" t="s">
        <v>473</v>
      </c>
      <c r="B63"/>
      <c r="C63" s="584"/>
      <c r="D63" s="584"/>
      <c r="E63" s="584">
        <v>1.0091000000000001</v>
      </c>
      <c r="F63" s="585">
        <f>POWER(1.0045,2)</f>
        <v>1.0090202500000001</v>
      </c>
    </row>
    <row r="64" spans="1:8" s="125" customFormat="1" x14ac:dyDescent="0.25">
      <c r="A64" s="586" t="s">
        <v>480</v>
      </c>
      <c r="B64"/>
      <c r="C64" s="587"/>
      <c r="D64" s="587"/>
      <c r="E64" s="587">
        <v>1.0091000000000001</v>
      </c>
      <c r="F64" s="585">
        <f>POWER(1.0045,2)</f>
        <v>1.0090202500000001</v>
      </c>
    </row>
    <row r="65" spans="1:6" s="125" customFormat="1" x14ac:dyDescent="0.25">
      <c r="A65" s="588" t="s">
        <v>479</v>
      </c>
      <c r="B65" s="589"/>
      <c r="C65" s="589"/>
      <c r="D65" s="589"/>
      <c r="E65" s="590">
        <f>(E63+E64)/2</f>
        <v>1.0091000000000001</v>
      </c>
      <c r="F65"/>
    </row>
    <row r="66" spans="1:6" x14ac:dyDescent="0.25">
      <c r="A66" s="591" t="s">
        <v>476</v>
      </c>
      <c r="B66" s="592"/>
      <c r="C66" s="592"/>
      <c r="D66" s="592"/>
      <c r="E66" s="593"/>
      <c r="F66" s="594"/>
    </row>
    <row r="67" spans="1:6" x14ac:dyDescent="0.25">
      <c r="A67" s="591" t="s">
        <v>477</v>
      </c>
      <c r="B67" s="595"/>
      <c r="C67" s="595"/>
      <c r="D67" s="595"/>
      <c r="E67" s="595"/>
      <c r="F67" s="595"/>
    </row>
    <row r="68" spans="1:6" x14ac:dyDescent="0.25">
      <c r="A68"/>
      <c r="B68" s="595"/>
      <c r="C68" s="595"/>
      <c r="D68" s="595"/>
      <c r="E68" s="595"/>
      <c r="F68" s="595"/>
    </row>
  </sheetData>
  <mergeCells count="26">
    <mergeCell ref="D44:F44"/>
    <mergeCell ref="D45:F45"/>
    <mergeCell ref="A54:H54"/>
    <mergeCell ref="A52:D52"/>
    <mergeCell ref="D48:F48"/>
    <mergeCell ref="A37:H37"/>
    <mergeCell ref="D43:F43"/>
    <mergeCell ref="A13:H13"/>
    <mergeCell ref="A15:A16"/>
    <mergeCell ref="B15:B16"/>
    <mergeCell ref="C15:C16"/>
    <mergeCell ref="D15:D16"/>
    <mergeCell ref="E15:E16"/>
    <mergeCell ref="F15:F16"/>
    <mergeCell ref="G15:H15"/>
    <mergeCell ref="A7:F7"/>
    <mergeCell ref="A9:F9"/>
    <mergeCell ref="A10:F10"/>
    <mergeCell ref="A11:F11"/>
    <mergeCell ref="A12:F12"/>
    <mergeCell ref="A8:H8"/>
    <mergeCell ref="D1:F1"/>
    <mergeCell ref="G1:H1"/>
    <mergeCell ref="A3:H3"/>
    <mergeCell ref="A4:H4"/>
    <mergeCell ref="A6:H6"/>
  </mergeCells>
  <pageMargins left="0.7" right="0.7" top="0.75" bottom="0.75" header="0.3" footer="0.3"/>
  <pageSetup paperSize="9" scale="61" fitToHeight="0" orientation="portrait" r:id="rId1"/>
  <rowBreaks count="1" manualBreakCount="1">
    <brk id="53"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B13" sqref="B13:B14"/>
    </sheetView>
  </sheetViews>
  <sheetFormatPr defaultRowHeight="15" x14ac:dyDescent="0.25"/>
  <cols>
    <col min="1" max="1" width="44.140625" style="122" customWidth="1"/>
    <col min="2" max="2" width="21.28515625" style="122" customWidth="1"/>
    <col min="3" max="3" width="15.7109375" style="122" customWidth="1"/>
    <col min="4" max="4" width="25.140625" style="122" customWidth="1"/>
    <col min="5" max="5" width="16.42578125" style="122" customWidth="1"/>
    <col min="6" max="6" width="23.140625" style="122" customWidth="1"/>
    <col min="7" max="7" width="19.5703125" style="122" hidden="1" customWidth="1"/>
    <col min="8" max="8" width="20.5703125" style="122" hidden="1" customWidth="1"/>
    <col min="9" max="9" width="16.5703125" style="122" bestFit="1" customWidth="1"/>
    <col min="10" max="10" width="15.42578125" style="122" bestFit="1" customWidth="1"/>
    <col min="11" max="16384" width="9.140625" style="122"/>
  </cols>
  <sheetData>
    <row r="1" spans="1:9" s="125" customFormat="1" ht="15.75" x14ac:dyDescent="0.25">
      <c r="B1" s="396"/>
      <c r="C1" s="396"/>
      <c r="D1" s="564" t="s">
        <v>488</v>
      </c>
      <c r="E1" s="564"/>
      <c r="F1" s="564"/>
      <c r="G1" s="565" t="s">
        <v>403</v>
      </c>
      <c r="H1" s="565"/>
    </row>
    <row r="2" spans="1:9" s="125" customFormat="1" ht="15.75" x14ac:dyDescent="0.25">
      <c r="A2" s="397"/>
      <c r="B2" s="397"/>
      <c r="C2" s="397"/>
      <c r="D2" s="397"/>
      <c r="E2" s="397"/>
      <c r="F2" s="397"/>
    </row>
    <row r="3" spans="1:9" s="125" customFormat="1" ht="15.75" x14ac:dyDescent="0.25">
      <c r="A3" s="566" t="s">
        <v>467</v>
      </c>
      <c r="B3" s="566"/>
      <c r="C3" s="566"/>
      <c r="D3" s="566"/>
      <c r="E3" s="566"/>
      <c r="F3" s="566"/>
      <c r="G3" s="566"/>
      <c r="H3" s="566"/>
    </row>
    <row r="4" spans="1:9" s="125" customFormat="1" ht="15.75" x14ac:dyDescent="0.25">
      <c r="A4" s="567" t="s">
        <v>178</v>
      </c>
      <c r="B4" s="567"/>
      <c r="C4" s="567"/>
      <c r="D4" s="567"/>
      <c r="E4" s="567"/>
      <c r="F4" s="567"/>
      <c r="G4" s="567"/>
      <c r="H4" s="567"/>
    </row>
    <row r="5" spans="1:9" s="125" customFormat="1" ht="15.75" x14ac:dyDescent="0.25">
      <c r="A5" s="459"/>
      <c r="B5" s="459"/>
      <c r="C5" s="459"/>
      <c r="D5" s="459"/>
      <c r="E5" s="459"/>
      <c r="F5" s="459"/>
    </row>
    <row r="6" spans="1:9" s="125" customFormat="1" ht="15.75" x14ac:dyDescent="0.25">
      <c r="A6" s="568" t="s">
        <v>472</v>
      </c>
      <c r="B6" s="569"/>
      <c r="C6" s="569"/>
      <c r="D6" s="569"/>
      <c r="E6" s="569"/>
      <c r="F6" s="569"/>
      <c r="G6" s="563"/>
      <c r="H6" s="563"/>
    </row>
    <row r="7" spans="1:9" s="125" customFormat="1" ht="15.75" x14ac:dyDescent="0.25">
      <c r="A7" s="568" t="s">
        <v>445</v>
      </c>
      <c r="B7" s="569"/>
      <c r="C7" s="569"/>
      <c r="D7" s="569"/>
      <c r="E7" s="569"/>
      <c r="F7" s="569"/>
    </row>
    <row r="8" spans="1:9" s="125" customFormat="1" ht="15.75" x14ac:dyDescent="0.25">
      <c r="A8" s="560"/>
      <c r="B8" s="561"/>
      <c r="C8" s="561"/>
      <c r="D8" s="561"/>
      <c r="E8" s="561"/>
      <c r="F8" s="561"/>
    </row>
    <row r="9" spans="1:9" s="125" customFormat="1" ht="15.75" x14ac:dyDescent="0.25">
      <c r="A9" s="571"/>
      <c r="B9" s="571"/>
      <c r="C9" s="571"/>
      <c r="D9" s="571"/>
      <c r="E9" s="571"/>
      <c r="F9" s="571"/>
    </row>
    <row r="10" spans="1:9" s="125" customFormat="1" ht="15.75" x14ac:dyDescent="0.25">
      <c r="A10" s="571" t="s">
        <v>447</v>
      </c>
      <c r="B10" s="571"/>
      <c r="C10" s="571"/>
      <c r="D10" s="571"/>
      <c r="E10" s="571"/>
      <c r="F10" s="571"/>
    </row>
    <row r="11" spans="1:9" s="125" customFormat="1" ht="15.75" x14ac:dyDescent="0.25">
      <c r="A11" s="540" t="s">
        <v>470</v>
      </c>
      <c r="B11" s="540"/>
      <c r="C11" s="540"/>
      <c r="D11" s="540"/>
      <c r="E11" s="540"/>
      <c r="F11" s="540"/>
      <c r="G11" s="563"/>
      <c r="H11" s="563"/>
    </row>
    <row r="12" spans="1:9" s="125" customFormat="1" x14ac:dyDescent="0.25">
      <c r="A12" s="153" t="s">
        <v>181</v>
      </c>
      <c r="B12" s="153"/>
      <c r="C12" s="153"/>
      <c r="D12" s="153"/>
      <c r="E12" s="153"/>
      <c r="F12" s="400" t="s">
        <v>182</v>
      </c>
      <c r="H12" s="400" t="s">
        <v>182</v>
      </c>
    </row>
    <row r="13" spans="1:9" ht="15.75" x14ac:dyDescent="0.25">
      <c r="A13" s="573" t="s">
        <v>183</v>
      </c>
      <c r="B13" s="573" t="s">
        <v>507</v>
      </c>
      <c r="C13" s="573" t="s">
        <v>184</v>
      </c>
      <c r="D13" s="573" t="s">
        <v>469</v>
      </c>
      <c r="E13" s="573" t="s">
        <v>185</v>
      </c>
      <c r="F13" s="573" t="s">
        <v>497</v>
      </c>
      <c r="G13" s="575" t="s">
        <v>187</v>
      </c>
      <c r="H13" s="575"/>
    </row>
    <row r="14" spans="1:9" ht="85.5" customHeight="1" x14ac:dyDescent="0.25">
      <c r="A14" s="574"/>
      <c r="B14" s="574"/>
      <c r="C14" s="574"/>
      <c r="D14" s="574" t="s">
        <v>189</v>
      </c>
      <c r="E14" s="574"/>
      <c r="F14" s="574"/>
      <c r="G14" s="132">
        <v>2026</v>
      </c>
      <c r="H14" s="132">
        <v>2027</v>
      </c>
    </row>
    <row r="15" spans="1:9" x14ac:dyDescent="0.25">
      <c r="A15" s="132">
        <v>1</v>
      </c>
      <c r="B15" s="132">
        <v>2</v>
      </c>
      <c r="C15" s="132">
        <v>3</v>
      </c>
      <c r="D15" s="132">
        <v>4</v>
      </c>
      <c r="E15" s="132">
        <v>5</v>
      </c>
      <c r="F15" s="132">
        <v>6</v>
      </c>
      <c r="G15" s="132">
        <v>7</v>
      </c>
      <c r="H15" s="132">
        <v>8</v>
      </c>
    </row>
    <row r="16" spans="1:9" ht="63" x14ac:dyDescent="0.25">
      <c r="A16" s="424" t="s">
        <v>499</v>
      </c>
      <c r="B16" s="425">
        <v>56776.49</v>
      </c>
      <c r="C16" s="426">
        <v>1</v>
      </c>
      <c r="D16" s="425">
        <f>B16*C16</f>
        <v>56776.49</v>
      </c>
      <c r="E16" s="426">
        <v>1.0067999999999999</v>
      </c>
      <c r="F16" s="425">
        <f>D16*E16</f>
        <v>57162.57</v>
      </c>
      <c r="G16" s="135"/>
      <c r="H16" s="135"/>
      <c r="I16" s="138"/>
    </row>
    <row r="17" spans="1:9" ht="15.75" x14ac:dyDescent="0.25">
      <c r="A17" s="427" t="s">
        <v>346</v>
      </c>
      <c r="B17" s="428">
        <f>B16</f>
        <v>56776.49</v>
      </c>
      <c r="C17" s="426">
        <v>1</v>
      </c>
      <c r="D17" s="429">
        <f>B17*C17</f>
        <v>56776.49</v>
      </c>
      <c r="E17" s="426">
        <v>1.0067999999999999</v>
      </c>
      <c r="F17" s="429">
        <f>D17*E17</f>
        <v>57162.57</v>
      </c>
      <c r="G17" s="135"/>
      <c r="H17" s="275"/>
      <c r="I17" s="138"/>
    </row>
    <row r="18" spans="1:9" ht="15.75" x14ac:dyDescent="0.25">
      <c r="A18" s="427" t="s">
        <v>428</v>
      </c>
      <c r="B18" s="428">
        <f>SUM(B17:B17)</f>
        <v>56776.49</v>
      </c>
      <c r="C18" s="426"/>
      <c r="D18" s="429">
        <f>D17</f>
        <v>56776.49</v>
      </c>
      <c r="E18" s="426"/>
      <c r="F18" s="429">
        <f>F17</f>
        <v>57162.57</v>
      </c>
      <c r="G18" s="135"/>
      <c r="H18" s="275"/>
      <c r="I18" s="138"/>
    </row>
    <row r="19" spans="1:9" s="125" customFormat="1" ht="63" x14ac:dyDescent="0.25">
      <c r="A19" s="424" t="s">
        <v>440</v>
      </c>
      <c r="B19" s="431">
        <f>ROUND(B18*0.22,2)</f>
        <v>12490.83</v>
      </c>
      <c r="C19" s="426"/>
      <c r="D19" s="425">
        <f>ROUND(D18*0.22,2)</f>
        <v>12490.83</v>
      </c>
      <c r="E19" s="426"/>
      <c r="F19" s="425">
        <f>ROUND(F18*0.22,2)</f>
        <v>12575.77</v>
      </c>
      <c r="G19" s="135"/>
      <c r="H19" s="135"/>
      <c r="I19" s="128"/>
    </row>
    <row r="20" spans="1:9" s="404" customFormat="1" ht="15.75" x14ac:dyDescent="0.25">
      <c r="A20" s="432" t="s">
        <v>429</v>
      </c>
      <c r="B20" s="433">
        <f>B18+B19</f>
        <v>69267.320000000007</v>
      </c>
      <c r="C20" s="434"/>
      <c r="D20" s="433">
        <f>D18+D19</f>
        <v>69267.320000000007</v>
      </c>
      <c r="E20" s="434"/>
      <c r="F20" s="433">
        <f>F18+F19</f>
        <v>69738.34</v>
      </c>
      <c r="G20" s="414"/>
      <c r="H20" s="408"/>
      <c r="I20" s="403"/>
    </row>
    <row r="21" spans="1:9" s="402" customFormat="1" ht="15.75" x14ac:dyDescent="0.25">
      <c r="A21" s="435" t="s">
        <v>496</v>
      </c>
      <c r="B21" s="436">
        <f>B20</f>
        <v>69267.320000000007</v>
      </c>
      <c r="C21" s="437"/>
      <c r="D21" s="436">
        <f>D20</f>
        <v>69267.320000000007</v>
      </c>
      <c r="E21" s="437"/>
      <c r="F21" s="436">
        <f>F20</f>
        <v>69738.34</v>
      </c>
      <c r="G21" s="401"/>
      <c r="H21" s="401"/>
      <c r="I21" s="415"/>
    </row>
    <row r="22" spans="1:9" s="406" customFormat="1" ht="15.75" x14ac:dyDescent="0.25">
      <c r="A22" s="409"/>
      <c r="B22" s="410"/>
      <c r="C22" s="411"/>
      <c r="D22" s="410"/>
      <c r="E22" s="411"/>
      <c r="F22" s="410"/>
      <c r="G22" s="410"/>
      <c r="H22" s="410"/>
      <c r="I22" s="413"/>
    </row>
    <row r="23" spans="1:9" s="406" customFormat="1" ht="15.75" x14ac:dyDescent="0.25">
      <c r="A23" s="409"/>
      <c r="B23" s="410"/>
      <c r="C23" s="411"/>
      <c r="D23" s="410"/>
      <c r="E23" s="411"/>
      <c r="F23" s="410"/>
      <c r="G23" s="410"/>
      <c r="H23" s="410"/>
      <c r="I23" s="413"/>
    </row>
    <row r="24" spans="1:9" s="406" customFormat="1" ht="15.75" x14ac:dyDescent="0.25">
      <c r="A24" s="449" t="s">
        <v>484</v>
      </c>
      <c r="B24" s="410"/>
      <c r="C24" s="411"/>
      <c r="D24" s="410"/>
      <c r="E24" s="411"/>
      <c r="F24" s="410">
        <v>2653106.81</v>
      </c>
      <c r="G24" s="410"/>
      <c r="H24" s="410"/>
      <c r="I24" s="413"/>
    </row>
    <row r="25" spans="1:9" s="406" customFormat="1" ht="15.75" x14ac:dyDescent="0.25">
      <c r="A25" s="449" t="s">
        <v>456</v>
      </c>
      <c r="B25" s="410"/>
      <c r="C25" s="411"/>
      <c r="D25" s="410"/>
      <c r="E25" s="411"/>
      <c r="F25" s="410"/>
      <c r="G25" s="410"/>
      <c r="H25" s="410"/>
      <c r="I25" s="413"/>
    </row>
    <row r="26" spans="1:9" s="406" customFormat="1" ht="15.75" x14ac:dyDescent="0.25">
      <c r="A26" s="449" t="s">
        <v>485</v>
      </c>
      <c r="B26" s="410"/>
      <c r="C26" s="411"/>
      <c r="D26" s="410"/>
      <c r="E26" s="411"/>
      <c r="F26" s="410">
        <f>F24*0.0214</f>
        <v>56776.49</v>
      </c>
      <c r="G26" s="410"/>
      <c r="H26" s="410"/>
      <c r="I26" s="413"/>
    </row>
    <row r="27" spans="1:9" s="406" customFormat="1" ht="15.75" x14ac:dyDescent="0.25">
      <c r="A27" s="409"/>
      <c r="B27" s="410"/>
      <c r="C27" s="411"/>
      <c r="D27" s="410"/>
      <c r="E27" s="411"/>
      <c r="F27" s="410"/>
      <c r="G27" s="410"/>
      <c r="H27" s="410"/>
      <c r="I27" s="413"/>
    </row>
    <row r="28" spans="1:9" x14ac:dyDescent="0.25">
      <c r="A28" s="183" t="s">
        <v>437</v>
      </c>
      <c r="B28" s="153" t="s">
        <v>441</v>
      </c>
      <c r="C28" s="422"/>
      <c r="D28" s="416"/>
      <c r="F28" s="129"/>
    </row>
    <row r="29" spans="1:9" x14ac:dyDescent="0.25">
      <c r="A29" s="183" t="s">
        <v>439</v>
      </c>
      <c r="B29" s="263" t="s">
        <v>443</v>
      </c>
      <c r="C29" s="153"/>
      <c r="D29" s="416"/>
      <c r="E29" s="156"/>
      <c r="F29" s="129"/>
    </row>
    <row r="30" spans="1:9" x14ac:dyDescent="0.25">
      <c r="A30" s="183" t="s">
        <v>438</v>
      </c>
      <c r="B30" s="263" t="s">
        <v>453</v>
      </c>
      <c r="C30" s="153" t="s">
        <v>197</v>
      </c>
      <c r="D30" s="416"/>
      <c r="E30" s="156"/>
      <c r="F30" s="129"/>
    </row>
    <row r="31" spans="1:9" x14ac:dyDescent="0.25">
      <c r="A31" s="180" t="s">
        <v>198</v>
      </c>
      <c r="B31" s="170" t="s">
        <v>481</v>
      </c>
      <c r="C31" s="170"/>
      <c r="D31" s="417"/>
      <c r="E31" s="129"/>
      <c r="F31" s="392"/>
      <c r="G31" s="392"/>
      <c r="H31" s="392"/>
    </row>
    <row r="32" spans="1:9" x14ac:dyDescent="0.25">
      <c r="A32" s="180" t="s">
        <v>199</v>
      </c>
      <c r="B32" s="461" t="s">
        <v>471</v>
      </c>
      <c r="C32" s="395"/>
      <c r="D32" s="417"/>
      <c r="E32" s="129"/>
      <c r="F32" s="392"/>
    </row>
    <row r="33" spans="1:8" x14ac:dyDescent="0.25">
      <c r="A33" s="393"/>
      <c r="B33" s="458"/>
      <c r="C33" s="395"/>
      <c r="D33" s="129"/>
      <c r="E33" s="129"/>
      <c r="F33" s="392"/>
    </row>
    <row r="34" spans="1:8" s="125" customFormat="1" x14ac:dyDescent="0.25">
      <c r="A34" s="528" t="s">
        <v>427</v>
      </c>
      <c r="B34" s="528"/>
      <c r="C34" s="528"/>
      <c r="D34" s="528"/>
      <c r="E34" s="528"/>
      <c r="F34" s="528"/>
      <c r="G34" s="528"/>
      <c r="H34" s="528"/>
    </row>
    <row r="35" spans="1:8" x14ac:dyDescent="0.25">
      <c r="A35" s="597" t="s">
        <v>482</v>
      </c>
      <c r="B35" s="453"/>
      <c r="C35" s="266"/>
      <c r="D35" s="455"/>
      <c r="E35" s="460"/>
      <c r="F35" s="460"/>
    </row>
    <row r="36" spans="1:8" x14ac:dyDescent="0.25">
      <c r="A36" s="419"/>
      <c r="B36" s="419"/>
      <c r="C36" s="419"/>
      <c r="D36" s="419"/>
      <c r="E36" s="419"/>
      <c r="F36" s="418"/>
      <c r="G36" s="394"/>
      <c r="H36" s="394"/>
    </row>
    <row r="37" spans="1:8" s="125" customFormat="1" x14ac:dyDescent="0.25">
      <c r="A37" s="522" t="s">
        <v>430</v>
      </c>
      <c r="B37" s="522"/>
      <c r="C37" s="522"/>
      <c r="D37" s="522"/>
      <c r="E37" s="522"/>
      <c r="F37" s="522"/>
      <c r="G37" s="522"/>
      <c r="H37" s="522"/>
    </row>
    <row r="38" spans="1:8" s="125" customFormat="1" x14ac:dyDescent="0.25">
      <c r="A38" s="456"/>
      <c r="B38" s="456" t="s">
        <v>202</v>
      </c>
      <c r="C38" s="284" t="s">
        <v>216</v>
      </c>
      <c r="D38" s="456"/>
      <c r="E38" s="456"/>
      <c r="F38" s="183"/>
      <c r="G38" s="171"/>
      <c r="H38" s="171"/>
    </row>
    <row r="39" spans="1:8" s="125" customFormat="1" x14ac:dyDescent="0.25">
      <c r="A39" s="183" t="s">
        <v>317</v>
      </c>
      <c r="B39" s="183">
        <v>105.5</v>
      </c>
      <c r="C39" s="190">
        <f>B39/100</f>
        <v>1.0549999999999999</v>
      </c>
      <c r="D39" s="190"/>
      <c r="E39" s="190"/>
      <c r="F39" s="285"/>
    </row>
    <row r="40" spans="1:8" s="125" customFormat="1" x14ac:dyDescent="0.25">
      <c r="A40" s="183"/>
      <c r="B40" s="183"/>
      <c r="C40" s="190"/>
      <c r="D40" s="190"/>
      <c r="E40" s="190"/>
      <c r="F40" s="457"/>
    </row>
    <row r="41" spans="1:8" s="125" customFormat="1" x14ac:dyDescent="0.25">
      <c r="A41" s="296" t="s">
        <v>318</v>
      </c>
      <c r="B41" s="296"/>
      <c r="C41" s="296"/>
      <c r="D41" s="193"/>
      <c r="E41" s="193"/>
      <c r="F41" s="180"/>
    </row>
    <row r="42" spans="1:8" s="125" customFormat="1" x14ac:dyDescent="0.25">
      <c r="A42" s="180"/>
      <c r="B42" s="180"/>
      <c r="C42" s="193"/>
      <c r="D42" s="180"/>
      <c r="E42" s="190"/>
      <c r="F42" s="183"/>
    </row>
    <row r="43" spans="1:8" s="125" customFormat="1" ht="18" x14ac:dyDescent="0.25">
      <c r="A43" s="180" t="s">
        <v>432</v>
      </c>
      <c r="B43" s="286" t="s">
        <v>433</v>
      </c>
      <c r="C43" s="193" t="s">
        <v>218</v>
      </c>
      <c r="D43" s="180">
        <f>ROUND(POWER(C39,1/12),4)</f>
        <v>1.0044999999999999</v>
      </c>
      <c r="E43" s="153"/>
      <c r="F43" s="183"/>
      <c r="G43" s="171"/>
      <c r="H43" s="171"/>
    </row>
    <row r="44" spans="1:8" s="125" customFormat="1" x14ac:dyDescent="0.25">
      <c r="A44" s="180"/>
      <c r="B44" s="286"/>
      <c r="C44" s="193"/>
      <c r="D44" s="180"/>
      <c r="E44" s="423"/>
      <c r="F44" s="457"/>
    </row>
    <row r="45" spans="1:8" s="125" customFormat="1" x14ac:dyDescent="0.25">
      <c r="A45" s="183"/>
      <c r="B45" s="296"/>
      <c r="C45" s="296"/>
      <c r="F45" s="296"/>
    </row>
    <row r="46" spans="1:8" s="125" customFormat="1" x14ac:dyDescent="0.25">
      <c r="A46" s="577" t="s">
        <v>431</v>
      </c>
      <c r="B46" s="578"/>
      <c r="C46" s="579"/>
      <c r="D46" s="580"/>
      <c r="E46" s="581"/>
      <c r="F46" s="582"/>
    </row>
    <row r="47" spans="1:8" s="125" customFormat="1" x14ac:dyDescent="0.25">
      <c r="A47" s="583" t="s">
        <v>473</v>
      </c>
      <c r="B47"/>
      <c r="C47" s="584"/>
      <c r="D47" s="584"/>
      <c r="E47" s="584">
        <v>1.0091000000000001</v>
      </c>
      <c r="F47" s="585">
        <f>POWER(1.0045,2)</f>
        <v>1.0090202500000001</v>
      </c>
    </row>
    <row r="48" spans="1:8" x14ac:dyDescent="0.25">
      <c r="A48" s="586" t="s">
        <v>478</v>
      </c>
      <c r="B48"/>
      <c r="C48" s="587"/>
      <c r="D48" s="587"/>
      <c r="E48" s="587">
        <v>1.0044999999999999</v>
      </c>
      <c r="F48" s="585">
        <f>POWER(1.0045,1)</f>
        <v>1.0044999999999999</v>
      </c>
    </row>
    <row r="49" spans="1:6" x14ac:dyDescent="0.25">
      <c r="A49" s="588" t="s">
        <v>479</v>
      </c>
      <c r="B49" s="589"/>
      <c r="C49" s="589"/>
      <c r="D49" s="589"/>
      <c r="E49" s="590">
        <f>(E47+E48)/2</f>
        <v>1.0067999999999999</v>
      </c>
      <c r="F49"/>
    </row>
    <row r="50" spans="1:6" x14ac:dyDescent="0.25">
      <c r="A50" s="591" t="s">
        <v>476</v>
      </c>
      <c r="B50" s="592"/>
      <c r="C50" s="592"/>
      <c r="D50" s="592"/>
      <c r="E50" s="593"/>
      <c r="F50" s="594"/>
    </row>
    <row r="51" spans="1:6" x14ac:dyDescent="0.25">
      <c r="A51" s="591" t="s">
        <v>477</v>
      </c>
      <c r="B51" s="595"/>
      <c r="C51" s="595"/>
      <c r="D51" s="595"/>
      <c r="E51" s="595"/>
      <c r="F51" s="595"/>
    </row>
    <row r="52" spans="1:6" x14ac:dyDescent="0.25">
      <c r="A52"/>
      <c r="B52" s="595"/>
      <c r="C52" s="595"/>
      <c r="D52" s="595"/>
      <c r="E52" s="595"/>
      <c r="F52" s="595"/>
    </row>
  </sheetData>
  <mergeCells count="19">
    <mergeCell ref="A8:F8"/>
    <mergeCell ref="A9:F9"/>
    <mergeCell ref="A10:F10"/>
    <mergeCell ref="A11:H11"/>
    <mergeCell ref="D1:F1"/>
    <mergeCell ref="G1:H1"/>
    <mergeCell ref="A3:H3"/>
    <mergeCell ref="A4:H4"/>
    <mergeCell ref="A6:H6"/>
    <mergeCell ref="A7:F7"/>
    <mergeCell ref="A13:A14"/>
    <mergeCell ref="B13:B14"/>
    <mergeCell ref="C13:C14"/>
    <mergeCell ref="D13:D14"/>
    <mergeCell ref="E13:E14"/>
    <mergeCell ref="F13:F14"/>
    <mergeCell ref="G13:H13"/>
    <mergeCell ref="A34:H34"/>
    <mergeCell ref="A37:H3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B13" sqref="B13:B14"/>
    </sheetView>
  </sheetViews>
  <sheetFormatPr defaultRowHeight="15" x14ac:dyDescent="0.25"/>
  <cols>
    <col min="1" max="1" width="44.140625" style="122" customWidth="1"/>
    <col min="2" max="2" width="21.28515625" style="122" customWidth="1"/>
    <col min="3" max="3" width="15.7109375" style="122" customWidth="1"/>
    <col min="4" max="4" width="25.140625" style="122" customWidth="1"/>
    <col min="5" max="5" width="16.42578125" style="122" customWidth="1"/>
    <col min="6" max="6" width="23.140625" style="122" customWidth="1"/>
    <col min="7" max="7" width="19.5703125" style="122" hidden="1" customWidth="1"/>
    <col min="8" max="8" width="20.5703125" style="122" hidden="1" customWidth="1"/>
    <col min="9" max="9" width="16.5703125" style="122" bestFit="1" customWidth="1"/>
    <col min="10" max="10" width="15.42578125" style="122" bestFit="1" customWidth="1"/>
    <col min="11" max="16384" width="9.140625" style="122"/>
  </cols>
  <sheetData>
    <row r="1" spans="1:9" s="125" customFormat="1" ht="15.75" x14ac:dyDescent="0.25">
      <c r="B1" s="396"/>
      <c r="C1" s="396"/>
      <c r="D1" s="564" t="s">
        <v>491</v>
      </c>
      <c r="E1" s="564"/>
      <c r="F1" s="564"/>
      <c r="G1" s="565" t="s">
        <v>403</v>
      </c>
      <c r="H1" s="565"/>
    </row>
    <row r="2" spans="1:9" s="125" customFormat="1" ht="15.75" x14ac:dyDescent="0.25">
      <c r="A2" s="397"/>
      <c r="B2" s="397"/>
      <c r="C2" s="397"/>
      <c r="D2" s="397"/>
      <c r="E2" s="397"/>
      <c r="F2" s="397"/>
    </row>
    <row r="3" spans="1:9" s="125" customFormat="1" ht="15.75" x14ac:dyDescent="0.25">
      <c r="A3" s="566" t="s">
        <v>467</v>
      </c>
      <c r="B3" s="566"/>
      <c r="C3" s="566"/>
      <c r="D3" s="566"/>
      <c r="E3" s="566"/>
      <c r="F3" s="566"/>
      <c r="G3" s="566"/>
      <c r="H3" s="566"/>
    </row>
    <row r="4" spans="1:9" s="125" customFormat="1" ht="15.75" x14ac:dyDescent="0.25">
      <c r="A4" s="567" t="s">
        <v>506</v>
      </c>
      <c r="B4" s="567"/>
      <c r="C4" s="567"/>
      <c r="D4" s="567"/>
      <c r="E4" s="567"/>
      <c r="F4" s="567"/>
      <c r="G4" s="567"/>
      <c r="H4" s="567"/>
    </row>
    <row r="5" spans="1:9" s="125" customFormat="1" ht="15.75" x14ac:dyDescent="0.25">
      <c r="A5" s="467"/>
      <c r="B5" s="467"/>
      <c r="C5" s="467"/>
      <c r="D5" s="467"/>
      <c r="E5" s="467"/>
      <c r="F5" s="467"/>
    </row>
    <row r="6" spans="1:9" s="125" customFormat="1" ht="15.75" x14ac:dyDescent="0.25">
      <c r="A6" s="568" t="s">
        <v>489</v>
      </c>
      <c r="B6" s="569"/>
      <c r="C6" s="569"/>
      <c r="D6" s="569"/>
      <c r="E6" s="569"/>
      <c r="F6" s="569"/>
      <c r="G6" s="563"/>
      <c r="H6" s="563"/>
    </row>
    <row r="7" spans="1:9" s="125" customFormat="1" ht="15.75" x14ac:dyDescent="0.25">
      <c r="A7" s="568" t="s">
        <v>445</v>
      </c>
      <c r="B7" s="569"/>
      <c r="C7" s="569"/>
      <c r="D7" s="569"/>
      <c r="E7" s="569"/>
      <c r="F7" s="569"/>
    </row>
    <row r="8" spans="1:9" s="125" customFormat="1" ht="15.75" x14ac:dyDescent="0.25">
      <c r="A8" s="560"/>
      <c r="B8" s="561"/>
      <c r="C8" s="561"/>
      <c r="D8" s="561"/>
      <c r="E8" s="561"/>
      <c r="F8" s="561"/>
    </row>
    <row r="9" spans="1:9" s="125" customFormat="1" ht="15.75" x14ac:dyDescent="0.25">
      <c r="A9" s="571"/>
      <c r="B9" s="571"/>
      <c r="C9" s="571"/>
      <c r="D9" s="571"/>
      <c r="E9" s="571"/>
      <c r="F9" s="571"/>
    </row>
    <row r="10" spans="1:9" s="125" customFormat="1" ht="15.75" x14ac:dyDescent="0.25">
      <c r="A10" s="571" t="s">
        <v>447</v>
      </c>
      <c r="B10" s="571"/>
      <c r="C10" s="571"/>
      <c r="D10" s="571"/>
      <c r="E10" s="571"/>
      <c r="F10" s="571"/>
    </row>
    <row r="11" spans="1:9" s="125" customFormat="1" ht="15.75" x14ac:dyDescent="0.25">
      <c r="A11" s="540" t="s">
        <v>470</v>
      </c>
      <c r="B11" s="540"/>
      <c r="C11" s="540"/>
      <c r="D11" s="540"/>
      <c r="E11" s="540"/>
      <c r="F11" s="540"/>
      <c r="G11" s="563"/>
      <c r="H11" s="563"/>
    </row>
    <row r="12" spans="1:9" s="125" customFormat="1" x14ac:dyDescent="0.25">
      <c r="A12" s="153" t="s">
        <v>181</v>
      </c>
      <c r="B12" s="153"/>
      <c r="C12" s="153"/>
      <c r="D12" s="153"/>
      <c r="E12" s="153"/>
      <c r="F12" s="400" t="s">
        <v>182</v>
      </c>
      <c r="H12" s="400" t="s">
        <v>182</v>
      </c>
    </row>
    <row r="13" spans="1:9" ht="15.75" customHeight="1" x14ac:dyDescent="0.25">
      <c r="A13" s="573" t="s">
        <v>183</v>
      </c>
      <c r="B13" s="573" t="s">
        <v>507</v>
      </c>
      <c r="C13" s="573" t="s">
        <v>184</v>
      </c>
      <c r="D13" s="573" t="s">
        <v>469</v>
      </c>
      <c r="E13" s="573" t="s">
        <v>185</v>
      </c>
      <c r="F13" s="573" t="s">
        <v>497</v>
      </c>
      <c r="G13" s="575" t="s">
        <v>187</v>
      </c>
      <c r="H13" s="575"/>
    </row>
    <row r="14" spans="1:9" ht="15" customHeight="1" x14ac:dyDescent="0.25">
      <c r="A14" s="574"/>
      <c r="B14" s="574"/>
      <c r="C14" s="574"/>
      <c r="D14" s="574" t="s">
        <v>189</v>
      </c>
      <c r="E14" s="574"/>
      <c r="F14" s="574"/>
      <c r="G14" s="132">
        <v>2026</v>
      </c>
      <c r="H14" s="132">
        <v>2027</v>
      </c>
    </row>
    <row r="15" spans="1:9" x14ac:dyDescent="0.25">
      <c r="A15" s="132">
        <v>1</v>
      </c>
      <c r="B15" s="132">
        <v>2</v>
      </c>
      <c r="C15" s="132">
        <v>3</v>
      </c>
      <c r="D15" s="132">
        <v>4</v>
      </c>
      <c r="E15" s="132">
        <v>5</v>
      </c>
      <c r="F15" s="132">
        <v>6</v>
      </c>
      <c r="G15" s="132">
        <v>7</v>
      </c>
      <c r="H15" s="132">
        <v>8</v>
      </c>
    </row>
    <row r="16" spans="1:9" ht="63" x14ac:dyDescent="0.25">
      <c r="A16" s="424" t="s">
        <v>483</v>
      </c>
      <c r="B16" s="425">
        <v>13310.32</v>
      </c>
      <c r="C16" s="426">
        <v>1</v>
      </c>
      <c r="D16" s="425">
        <f>B16*C16</f>
        <v>13310.32</v>
      </c>
      <c r="E16" s="426">
        <v>1.0067999999999999</v>
      </c>
      <c r="F16" s="425">
        <f>D16*E16</f>
        <v>13400.83</v>
      </c>
      <c r="G16" s="135"/>
      <c r="H16" s="135"/>
      <c r="I16" s="138"/>
    </row>
    <row r="17" spans="1:9" ht="15.75" x14ac:dyDescent="0.25">
      <c r="A17" s="427" t="s">
        <v>346</v>
      </c>
      <c r="B17" s="428">
        <f>B16</f>
        <v>13310.32</v>
      </c>
      <c r="C17" s="426">
        <v>1</v>
      </c>
      <c r="D17" s="429">
        <f>B17*C17</f>
        <v>13310.32</v>
      </c>
      <c r="E17" s="426">
        <v>1.0067999999999999</v>
      </c>
      <c r="F17" s="429">
        <f>D17*E17</f>
        <v>13400.83</v>
      </c>
      <c r="G17" s="135"/>
      <c r="H17" s="275"/>
      <c r="I17" s="138"/>
    </row>
    <row r="18" spans="1:9" ht="15.75" x14ac:dyDescent="0.25">
      <c r="A18" s="427" t="s">
        <v>428</v>
      </c>
      <c r="B18" s="428">
        <f>SUM(B17:B17)</f>
        <v>13310.32</v>
      </c>
      <c r="C18" s="426"/>
      <c r="D18" s="429">
        <f>D17</f>
        <v>13310.32</v>
      </c>
      <c r="E18" s="426"/>
      <c r="F18" s="429">
        <f>F17</f>
        <v>13400.83</v>
      </c>
      <c r="G18" s="135"/>
      <c r="H18" s="275"/>
      <c r="I18" s="138"/>
    </row>
    <row r="19" spans="1:9" s="125" customFormat="1" ht="63" x14ac:dyDescent="0.25">
      <c r="A19" s="424" t="s">
        <v>440</v>
      </c>
      <c r="B19" s="431">
        <f>ROUND(B18*0.22,2)</f>
        <v>2928.27</v>
      </c>
      <c r="C19" s="426"/>
      <c r="D19" s="425">
        <f>ROUND(D18*0.22,2)</f>
        <v>2928.27</v>
      </c>
      <c r="E19" s="426"/>
      <c r="F19" s="425">
        <f>ROUND(F18*0.22,2)</f>
        <v>2948.18</v>
      </c>
      <c r="G19" s="135"/>
      <c r="H19" s="135"/>
      <c r="I19" s="128"/>
    </row>
    <row r="20" spans="1:9" s="404" customFormat="1" ht="15.75" x14ac:dyDescent="0.25">
      <c r="A20" s="432" t="s">
        <v>429</v>
      </c>
      <c r="B20" s="433">
        <f>B18+B19</f>
        <v>16238.59</v>
      </c>
      <c r="C20" s="434"/>
      <c r="D20" s="433">
        <f>D18+D19</f>
        <v>16238.59</v>
      </c>
      <c r="E20" s="434"/>
      <c r="F20" s="433">
        <f>F18+F19</f>
        <v>16349.01</v>
      </c>
      <c r="G20" s="414"/>
      <c r="H20" s="408"/>
      <c r="I20" s="403"/>
    </row>
    <row r="21" spans="1:9" s="402" customFormat="1" ht="15.75" x14ac:dyDescent="0.25">
      <c r="A21" s="435" t="s">
        <v>310</v>
      </c>
      <c r="B21" s="436">
        <f>B20</f>
        <v>16238.59</v>
      </c>
      <c r="C21" s="437"/>
      <c r="D21" s="436">
        <f>D20</f>
        <v>16238.59</v>
      </c>
      <c r="E21" s="437"/>
      <c r="F21" s="436">
        <f>F20</f>
        <v>16349.01</v>
      </c>
      <c r="G21" s="401"/>
      <c r="H21" s="401"/>
      <c r="I21" s="415"/>
    </row>
    <row r="22" spans="1:9" s="406" customFormat="1" ht="15.75" x14ac:dyDescent="0.25">
      <c r="A22" s="409"/>
      <c r="B22" s="410"/>
      <c r="C22" s="411"/>
      <c r="D22" s="410"/>
      <c r="E22" s="411"/>
      <c r="F22" s="410"/>
      <c r="G22" s="410"/>
      <c r="H22" s="410"/>
      <c r="I22" s="413"/>
    </row>
    <row r="23" spans="1:9" s="406" customFormat="1" ht="15.75" x14ac:dyDescent="0.25">
      <c r="A23" s="409"/>
      <c r="B23" s="410"/>
      <c r="C23" s="411"/>
      <c r="D23" s="410"/>
      <c r="E23" s="411"/>
      <c r="F23" s="410"/>
      <c r="G23" s="410"/>
      <c r="H23" s="410"/>
      <c r="I23" s="413"/>
    </row>
    <row r="24" spans="1:9" s="406" customFormat="1" ht="15.75" x14ac:dyDescent="0.25">
      <c r="A24" s="449" t="s">
        <v>484</v>
      </c>
      <c r="B24" s="410"/>
      <c r="C24" s="411"/>
      <c r="D24" s="410"/>
      <c r="E24" s="411"/>
      <c r="F24" s="410">
        <v>621977.75</v>
      </c>
      <c r="G24" s="410"/>
      <c r="H24" s="410"/>
      <c r="I24" s="413"/>
    </row>
    <row r="25" spans="1:9" s="406" customFormat="1" ht="15.75" x14ac:dyDescent="0.25">
      <c r="A25" s="449" t="s">
        <v>456</v>
      </c>
      <c r="B25" s="410"/>
      <c r="C25" s="411"/>
      <c r="D25" s="410"/>
      <c r="E25" s="411"/>
      <c r="F25" s="410"/>
      <c r="G25" s="410"/>
      <c r="H25" s="410"/>
      <c r="I25" s="413"/>
    </row>
    <row r="26" spans="1:9" s="406" customFormat="1" ht="15.75" x14ac:dyDescent="0.25">
      <c r="A26" s="449" t="s">
        <v>485</v>
      </c>
      <c r="B26" s="410"/>
      <c r="C26" s="411"/>
      <c r="D26" s="410"/>
      <c r="E26" s="411"/>
      <c r="F26" s="410">
        <f>F24*0.0214</f>
        <v>13310.32</v>
      </c>
      <c r="G26" s="410"/>
      <c r="H26" s="410"/>
      <c r="I26" s="413"/>
    </row>
    <row r="27" spans="1:9" s="406" customFormat="1" ht="15.75" x14ac:dyDescent="0.25">
      <c r="A27" s="409"/>
      <c r="B27" s="410"/>
      <c r="C27" s="411"/>
      <c r="D27" s="410"/>
      <c r="E27" s="411"/>
      <c r="F27" s="410"/>
      <c r="G27" s="410"/>
      <c r="H27" s="410"/>
      <c r="I27" s="413"/>
    </row>
    <row r="28" spans="1:9" x14ac:dyDescent="0.25">
      <c r="A28" s="183" t="s">
        <v>437</v>
      </c>
      <c r="B28" s="153" t="s">
        <v>441</v>
      </c>
      <c r="C28" s="422"/>
      <c r="D28" s="416"/>
      <c r="F28" s="129"/>
    </row>
    <row r="29" spans="1:9" x14ac:dyDescent="0.25">
      <c r="A29" s="183" t="s">
        <v>439</v>
      </c>
      <c r="B29" s="263" t="s">
        <v>443</v>
      </c>
      <c r="C29" s="153"/>
      <c r="D29" s="416"/>
      <c r="E29" s="156"/>
      <c r="F29" s="129"/>
    </row>
    <row r="30" spans="1:9" x14ac:dyDescent="0.25">
      <c r="A30" s="183" t="s">
        <v>438</v>
      </c>
      <c r="B30" s="263" t="s">
        <v>453</v>
      </c>
      <c r="C30" s="153" t="s">
        <v>197</v>
      </c>
      <c r="D30" s="416"/>
      <c r="E30" s="156"/>
      <c r="F30" s="129"/>
    </row>
    <row r="31" spans="1:9" x14ac:dyDescent="0.25">
      <c r="A31" s="180" t="s">
        <v>198</v>
      </c>
      <c r="B31" s="170" t="s">
        <v>481</v>
      </c>
      <c r="C31" s="170"/>
      <c r="D31" s="417"/>
      <c r="E31" s="129"/>
      <c r="F31" s="392"/>
      <c r="G31" s="392"/>
      <c r="H31" s="392"/>
    </row>
    <row r="32" spans="1:9" x14ac:dyDescent="0.25">
      <c r="A32" s="180" t="s">
        <v>199</v>
      </c>
      <c r="B32" s="465" t="s">
        <v>471</v>
      </c>
      <c r="C32" s="395"/>
      <c r="D32" s="417"/>
      <c r="E32" s="129"/>
      <c r="F32" s="392"/>
    </row>
    <row r="33" spans="1:8" x14ac:dyDescent="0.25">
      <c r="A33" s="393"/>
      <c r="B33" s="462"/>
      <c r="C33" s="395"/>
      <c r="D33" s="129"/>
      <c r="E33" s="129"/>
      <c r="F33" s="392"/>
    </row>
    <row r="34" spans="1:8" s="125" customFormat="1" x14ac:dyDescent="0.25">
      <c r="A34" s="528" t="s">
        <v>427</v>
      </c>
      <c r="B34" s="528"/>
      <c r="C34" s="528"/>
      <c r="D34" s="528"/>
      <c r="E34" s="528"/>
      <c r="F34" s="528"/>
      <c r="G34" s="528"/>
      <c r="H34" s="528"/>
    </row>
    <row r="35" spans="1:8" x14ac:dyDescent="0.25">
      <c r="A35" s="597" t="s">
        <v>482</v>
      </c>
      <c r="B35" s="453"/>
      <c r="C35" s="266"/>
      <c r="D35" s="455"/>
      <c r="E35" s="466"/>
      <c r="F35" s="466"/>
    </row>
    <row r="36" spans="1:8" x14ac:dyDescent="0.25">
      <c r="A36" s="419"/>
      <c r="B36" s="419"/>
      <c r="C36" s="419"/>
      <c r="D36" s="419"/>
      <c r="E36" s="419"/>
      <c r="F36" s="418"/>
      <c r="G36" s="394"/>
      <c r="H36" s="394"/>
    </row>
    <row r="37" spans="1:8" s="125" customFormat="1" x14ac:dyDescent="0.25">
      <c r="A37" s="522" t="s">
        <v>430</v>
      </c>
      <c r="B37" s="522"/>
      <c r="C37" s="522"/>
      <c r="D37" s="522"/>
      <c r="E37" s="522"/>
      <c r="F37" s="522"/>
      <c r="G37" s="522"/>
      <c r="H37" s="522"/>
    </row>
    <row r="38" spans="1:8" s="125" customFormat="1" x14ac:dyDescent="0.25">
      <c r="A38" s="463"/>
      <c r="B38" s="463" t="s">
        <v>202</v>
      </c>
      <c r="C38" s="284" t="s">
        <v>216</v>
      </c>
      <c r="D38" s="463"/>
      <c r="E38" s="463"/>
      <c r="F38" s="183"/>
      <c r="G38" s="171"/>
      <c r="H38" s="171"/>
    </row>
    <row r="39" spans="1:8" s="125" customFormat="1" x14ac:dyDescent="0.25">
      <c r="A39" s="183" t="s">
        <v>317</v>
      </c>
      <c r="B39" s="183">
        <v>105.5</v>
      </c>
      <c r="C39" s="190">
        <f>B39/100</f>
        <v>1.0549999999999999</v>
      </c>
      <c r="D39" s="190"/>
      <c r="E39" s="190"/>
      <c r="F39" s="285"/>
    </row>
    <row r="40" spans="1:8" s="125" customFormat="1" x14ac:dyDescent="0.25">
      <c r="A40" s="183"/>
      <c r="B40" s="183"/>
      <c r="C40" s="190"/>
      <c r="D40" s="190"/>
      <c r="E40" s="190"/>
      <c r="F40" s="464"/>
    </row>
    <row r="41" spans="1:8" s="125" customFormat="1" x14ac:dyDescent="0.25">
      <c r="A41" s="296" t="s">
        <v>318</v>
      </c>
      <c r="B41" s="296"/>
      <c r="C41" s="296"/>
      <c r="D41" s="193"/>
      <c r="E41" s="193"/>
      <c r="F41" s="180"/>
    </row>
    <row r="42" spans="1:8" s="125" customFormat="1" x14ac:dyDescent="0.25">
      <c r="A42" s="180"/>
      <c r="B42" s="180"/>
      <c r="C42" s="193"/>
      <c r="D42" s="180"/>
      <c r="E42" s="190"/>
      <c r="F42" s="183"/>
    </row>
    <row r="43" spans="1:8" s="125" customFormat="1" ht="18" x14ac:dyDescent="0.25">
      <c r="A43" s="180" t="s">
        <v>432</v>
      </c>
      <c r="B43" s="286" t="s">
        <v>433</v>
      </c>
      <c r="C43" s="193" t="s">
        <v>218</v>
      </c>
      <c r="D43" s="180">
        <f>ROUND(POWER(C39,1/12),4)</f>
        <v>1.0044999999999999</v>
      </c>
      <c r="E43" s="153"/>
      <c r="F43" s="183"/>
      <c r="G43" s="171"/>
      <c r="H43" s="171"/>
    </row>
    <row r="44" spans="1:8" s="125" customFormat="1" x14ac:dyDescent="0.25">
      <c r="A44" s="180"/>
      <c r="B44" s="286"/>
      <c r="C44" s="193"/>
      <c r="D44" s="180"/>
      <c r="E44" s="423"/>
      <c r="F44" s="464"/>
    </row>
    <row r="45" spans="1:8" s="125" customFormat="1" x14ac:dyDescent="0.25">
      <c r="A45" s="183"/>
      <c r="B45" s="296"/>
      <c r="C45" s="296"/>
      <c r="F45" s="296"/>
    </row>
    <row r="46" spans="1:8" s="125" customFormat="1" x14ac:dyDescent="0.25">
      <c r="A46" s="577" t="s">
        <v>431</v>
      </c>
      <c r="B46" s="578"/>
      <c r="C46" s="579"/>
      <c r="D46" s="580"/>
      <c r="E46" s="581"/>
      <c r="F46" s="582"/>
    </row>
    <row r="47" spans="1:8" s="125" customFormat="1" x14ac:dyDescent="0.25">
      <c r="A47" s="583" t="s">
        <v>473</v>
      </c>
      <c r="B47"/>
      <c r="C47" s="584"/>
      <c r="D47" s="584"/>
      <c r="E47" s="584">
        <v>1.0091000000000001</v>
      </c>
      <c r="F47" s="585">
        <f>POWER(1.0045,2)</f>
        <v>1.0090202500000001</v>
      </c>
    </row>
    <row r="48" spans="1:8" x14ac:dyDescent="0.25">
      <c r="A48" s="586" t="s">
        <v>478</v>
      </c>
      <c r="B48"/>
      <c r="C48" s="587"/>
      <c r="D48" s="587"/>
      <c r="E48" s="587">
        <v>1.0044999999999999</v>
      </c>
      <c r="F48" s="585">
        <f>POWER(1.0045,1)</f>
        <v>1.0044999999999999</v>
      </c>
    </row>
    <row r="49" spans="1:6" x14ac:dyDescent="0.25">
      <c r="A49" s="588" t="s">
        <v>479</v>
      </c>
      <c r="B49" s="589"/>
      <c r="C49" s="589"/>
      <c r="D49" s="589"/>
      <c r="E49" s="590">
        <f>(E47+E48)/2</f>
        <v>1.0067999999999999</v>
      </c>
      <c r="F49"/>
    </row>
    <row r="50" spans="1:6" x14ac:dyDescent="0.25">
      <c r="A50" s="591" t="s">
        <v>476</v>
      </c>
      <c r="B50" s="592"/>
      <c r="C50" s="592"/>
      <c r="D50" s="592"/>
      <c r="E50" s="593"/>
      <c r="F50" s="594"/>
    </row>
    <row r="51" spans="1:6" x14ac:dyDescent="0.25">
      <c r="A51" s="591" t="s">
        <v>477</v>
      </c>
      <c r="B51" s="595"/>
      <c r="C51" s="595"/>
      <c r="D51" s="595"/>
      <c r="E51" s="595"/>
      <c r="F51" s="595"/>
    </row>
    <row r="52" spans="1:6" x14ac:dyDescent="0.25">
      <c r="A52"/>
      <c r="B52" s="595"/>
      <c r="C52" s="595"/>
      <c r="D52" s="595"/>
      <c r="E52" s="595"/>
      <c r="F52" s="595"/>
    </row>
  </sheetData>
  <mergeCells count="19">
    <mergeCell ref="G13:H13"/>
    <mergeCell ref="A34:H34"/>
    <mergeCell ref="A37:H37"/>
    <mergeCell ref="A8:F8"/>
    <mergeCell ref="A9:F9"/>
    <mergeCell ref="A10:F10"/>
    <mergeCell ref="A11:H11"/>
    <mergeCell ref="A13:A14"/>
    <mergeCell ref="B13:B14"/>
    <mergeCell ref="C13:C14"/>
    <mergeCell ref="D13:D14"/>
    <mergeCell ref="E13:E14"/>
    <mergeCell ref="F13:F14"/>
    <mergeCell ref="D1:F1"/>
    <mergeCell ref="G1:H1"/>
    <mergeCell ref="A3:H3"/>
    <mergeCell ref="A4:H4"/>
    <mergeCell ref="A6:H6"/>
    <mergeCell ref="A7: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topLeftCell="A34" workbookViewId="0">
      <selection activeCell="B13" sqref="B13:B14"/>
    </sheetView>
  </sheetViews>
  <sheetFormatPr defaultRowHeight="15" x14ac:dyDescent="0.25"/>
  <cols>
    <col min="1" max="1" width="44.140625" style="122" customWidth="1"/>
    <col min="2" max="2" width="21.28515625" style="122" customWidth="1"/>
    <col min="3" max="3" width="15.7109375" style="122" customWidth="1"/>
    <col min="4" max="4" width="25.140625" style="122" customWidth="1"/>
    <col min="5" max="5" width="16.42578125" style="122" customWidth="1"/>
    <col min="6" max="6" width="23.140625" style="122" customWidth="1"/>
    <col min="7" max="7" width="19.5703125" style="122" hidden="1" customWidth="1"/>
    <col min="8" max="8" width="20.5703125" style="122" hidden="1" customWidth="1"/>
    <col min="9" max="9" width="18.85546875" style="122" customWidth="1"/>
    <col min="10" max="10" width="16.5703125" style="122" bestFit="1" customWidth="1"/>
    <col min="11" max="11" width="15.42578125" style="122" bestFit="1" customWidth="1"/>
    <col min="12" max="16384" width="9.140625" style="122"/>
  </cols>
  <sheetData>
    <row r="1" spans="1:10" s="125" customFormat="1" ht="15.75" x14ac:dyDescent="0.25">
      <c r="B1" s="396"/>
      <c r="C1" s="396"/>
      <c r="D1" s="564" t="s">
        <v>490</v>
      </c>
      <c r="E1" s="564"/>
      <c r="F1" s="564"/>
      <c r="G1" s="565" t="s">
        <v>403</v>
      </c>
      <c r="H1" s="565"/>
    </row>
    <row r="2" spans="1:10" s="125" customFormat="1" ht="15.75" x14ac:dyDescent="0.25">
      <c r="A2" s="397"/>
      <c r="B2" s="397"/>
      <c r="C2" s="397"/>
      <c r="D2" s="397"/>
      <c r="E2" s="397"/>
      <c r="F2" s="397"/>
    </row>
    <row r="3" spans="1:10" s="125" customFormat="1" ht="15.75" x14ac:dyDescent="0.25">
      <c r="A3" s="566" t="s">
        <v>467</v>
      </c>
      <c r="B3" s="566"/>
      <c r="C3" s="566"/>
      <c r="D3" s="566"/>
      <c r="E3" s="566"/>
      <c r="F3" s="566"/>
      <c r="G3" s="566"/>
      <c r="H3" s="566"/>
    </row>
    <row r="4" spans="1:10" s="125" customFormat="1" ht="15.75" x14ac:dyDescent="0.25">
      <c r="A4" s="567" t="s">
        <v>178</v>
      </c>
      <c r="B4" s="567"/>
      <c r="C4" s="567"/>
      <c r="D4" s="567"/>
      <c r="E4" s="567"/>
      <c r="F4" s="567"/>
      <c r="G4" s="567"/>
      <c r="H4" s="567"/>
    </row>
    <row r="5" spans="1:10" s="125" customFormat="1" ht="15.75" x14ac:dyDescent="0.25">
      <c r="A5" s="467"/>
      <c r="B5" s="467"/>
      <c r="C5" s="467"/>
      <c r="D5" s="467"/>
      <c r="E5" s="467"/>
      <c r="F5" s="467"/>
    </row>
    <row r="6" spans="1:10" s="125" customFormat="1" ht="15.75" x14ac:dyDescent="0.25">
      <c r="A6" s="568" t="s">
        <v>492</v>
      </c>
      <c r="B6" s="569"/>
      <c r="C6" s="569"/>
      <c r="D6" s="569"/>
      <c r="E6" s="569"/>
      <c r="F6" s="569"/>
      <c r="G6" s="563"/>
      <c r="H6" s="563"/>
    </row>
    <row r="7" spans="1:10" s="125" customFormat="1" ht="15.75" x14ac:dyDescent="0.25">
      <c r="A7" s="568" t="s">
        <v>445</v>
      </c>
      <c r="B7" s="569"/>
      <c r="C7" s="569"/>
      <c r="D7" s="569"/>
      <c r="E7" s="569"/>
      <c r="F7" s="569"/>
    </row>
    <row r="8" spans="1:10" s="125" customFormat="1" ht="15.75" x14ac:dyDescent="0.25">
      <c r="A8" s="560"/>
      <c r="B8" s="561"/>
      <c r="C8" s="561"/>
      <c r="D8" s="561"/>
      <c r="E8" s="561"/>
      <c r="F8" s="561"/>
    </row>
    <row r="9" spans="1:10" s="125" customFormat="1" ht="15.75" x14ac:dyDescent="0.25">
      <c r="A9" s="571"/>
      <c r="B9" s="571"/>
      <c r="C9" s="571"/>
      <c r="D9" s="571"/>
      <c r="E9" s="571"/>
      <c r="F9" s="571"/>
    </row>
    <row r="10" spans="1:10" s="125" customFormat="1" ht="15.75" x14ac:dyDescent="0.25">
      <c r="A10" s="571" t="s">
        <v>447</v>
      </c>
      <c r="B10" s="571"/>
      <c r="C10" s="571"/>
      <c r="D10" s="571"/>
      <c r="E10" s="571"/>
      <c r="F10" s="571"/>
    </row>
    <row r="11" spans="1:10" s="125" customFormat="1" ht="15.75" x14ac:dyDescent="0.25">
      <c r="A11" s="540" t="s">
        <v>470</v>
      </c>
      <c r="B11" s="540"/>
      <c r="C11" s="540"/>
      <c r="D11" s="540"/>
      <c r="E11" s="540"/>
      <c r="F11" s="540"/>
      <c r="G11" s="563"/>
      <c r="H11" s="563"/>
    </row>
    <row r="12" spans="1:10" s="125" customFormat="1" x14ac:dyDescent="0.25">
      <c r="A12" s="153" t="s">
        <v>181</v>
      </c>
      <c r="B12" s="153"/>
      <c r="C12" s="153"/>
      <c r="D12" s="153"/>
      <c r="E12" s="153"/>
      <c r="F12" s="400" t="s">
        <v>182</v>
      </c>
      <c r="H12" s="400" t="s">
        <v>182</v>
      </c>
    </row>
    <row r="13" spans="1:10" ht="15.75" customHeight="1" x14ac:dyDescent="0.25">
      <c r="A13" s="573" t="s">
        <v>183</v>
      </c>
      <c r="B13" s="573" t="s">
        <v>507</v>
      </c>
      <c r="C13" s="573" t="s">
        <v>184</v>
      </c>
      <c r="D13" s="573" t="s">
        <v>469</v>
      </c>
      <c r="E13" s="573" t="s">
        <v>185</v>
      </c>
      <c r="F13" s="573" t="s">
        <v>497</v>
      </c>
      <c r="G13" s="575" t="s">
        <v>187</v>
      </c>
      <c r="H13" s="575"/>
    </row>
    <row r="14" spans="1:10" ht="62.25" customHeight="1" x14ac:dyDescent="0.25">
      <c r="A14" s="574"/>
      <c r="B14" s="574"/>
      <c r="C14" s="574"/>
      <c r="D14" s="574" t="s">
        <v>189</v>
      </c>
      <c r="E14" s="574"/>
      <c r="F14" s="574"/>
      <c r="G14" s="132">
        <v>2026</v>
      </c>
      <c r="H14" s="132">
        <v>2027</v>
      </c>
    </row>
    <row r="15" spans="1:10" x14ac:dyDescent="0.25">
      <c r="A15" s="132">
        <v>1</v>
      </c>
      <c r="B15" s="132">
        <v>2</v>
      </c>
      <c r="C15" s="132">
        <v>3</v>
      </c>
      <c r="D15" s="132">
        <v>4</v>
      </c>
      <c r="E15" s="132">
        <v>5</v>
      </c>
      <c r="F15" s="132">
        <v>6</v>
      </c>
      <c r="G15" s="132">
        <v>7</v>
      </c>
      <c r="H15" s="132">
        <v>8</v>
      </c>
    </row>
    <row r="16" spans="1:10" ht="63" x14ac:dyDescent="0.25">
      <c r="A16" s="424" t="s">
        <v>498</v>
      </c>
      <c r="B16" s="425">
        <v>4402.1000000000004</v>
      </c>
      <c r="C16" s="426">
        <v>1</v>
      </c>
      <c r="D16" s="425">
        <f>B16*C16</f>
        <v>4402.1000000000004</v>
      </c>
      <c r="E16" s="426">
        <v>1.0067999999999999</v>
      </c>
      <c r="F16" s="425">
        <f>D16*E16</f>
        <v>4432.03</v>
      </c>
      <c r="G16" s="135"/>
      <c r="H16" s="135"/>
      <c r="I16" s="389"/>
      <c r="J16" s="138"/>
    </row>
    <row r="17" spans="1:10" ht="15.75" x14ac:dyDescent="0.25">
      <c r="A17" s="427" t="s">
        <v>346</v>
      </c>
      <c r="B17" s="428">
        <f>B16</f>
        <v>4402.1000000000004</v>
      </c>
      <c r="C17" s="426">
        <v>1</v>
      </c>
      <c r="D17" s="429">
        <f>B17*C17</f>
        <v>4402.1000000000004</v>
      </c>
      <c r="E17" s="426">
        <v>1.0067999999999999</v>
      </c>
      <c r="F17" s="429">
        <f>D17*E17</f>
        <v>4432.03</v>
      </c>
      <c r="G17" s="135"/>
      <c r="H17" s="275"/>
      <c r="I17" s="137"/>
      <c r="J17" s="138"/>
    </row>
    <row r="18" spans="1:10" ht="15.75" x14ac:dyDescent="0.25">
      <c r="A18" s="427" t="s">
        <v>428</v>
      </c>
      <c r="B18" s="428">
        <f>SUM(B17:B17)</f>
        <v>4402.1000000000004</v>
      </c>
      <c r="C18" s="426"/>
      <c r="D18" s="429">
        <f>D17</f>
        <v>4402.1000000000004</v>
      </c>
      <c r="E18" s="426"/>
      <c r="F18" s="429">
        <f>F17</f>
        <v>4432.03</v>
      </c>
      <c r="G18" s="135"/>
      <c r="H18" s="275"/>
      <c r="I18" s="137"/>
      <c r="J18" s="138"/>
    </row>
    <row r="19" spans="1:10" s="125" customFormat="1" ht="63" x14ac:dyDescent="0.25">
      <c r="A19" s="424" t="s">
        <v>440</v>
      </c>
      <c r="B19" s="431">
        <f>ROUND(B18*0.22,2)</f>
        <v>968.46</v>
      </c>
      <c r="C19" s="426"/>
      <c r="D19" s="425">
        <f>ROUND(D18*0.22,2)</f>
        <v>968.46</v>
      </c>
      <c r="E19" s="426"/>
      <c r="F19" s="425">
        <f>ROUND(F18*0.22,2)</f>
        <v>975.05</v>
      </c>
      <c r="G19" s="135"/>
      <c r="H19" s="135"/>
      <c r="I19" s="155"/>
      <c r="J19" s="128"/>
    </row>
    <row r="20" spans="1:10" s="404" customFormat="1" ht="15.75" x14ac:dyDescent="0.25">
      <c r="A20" s="432" t="s">
        <v>429</v>
      </c>
      <c r="B20" s="433">
        <f>B18+B19</f>
        <v>5370.56</v>
      </c>
      <c r="C20" s="434"/>
      <c r="D20" s="433">
        <f>D18+D19</f>
        <v>5370.56</v>
      </c>
      <c r="E20" s="434"/>
      <c r="F20" s="433">
        <f>F18+F19</f>
        <v>5407.08</v>
      </c>
      <c r="G20" s="414"/>
      <c r="H20" s="408"/>
      <c r="J20" s="403"/>
    </row>
    <row r="21" spans="1:10" s="402" customFormat="1" ht="15.75" x14ac:dyDescent="0.25">
      <c r="A21" s="435" t="s">
        <v>310</v>
      </c>
      <c r="B21" s="436">
        <f>B20</f>
        <v>5370.56</v>
      </c>
      <c r="C21" s="437"/>
      <c r="D21" s="436">
        <f>D20</f>
        <v>5370.56</v>
      </c>
      <c r="E21" s="437"/>
      <c r="F21" s="436">
        <f>F20</f>
        <v>5407.08</v>
      </c>
      <c r="G21" s="401"/>
      <c r="H21" s="401"/>
      <c r="J21" s="415"/>
    </row>
    <row r="22" spans="1:10" s="406" customFormat="1" ht="15.75" x14ac:dyDescent="0.25">
      <c r="A22" s="409"/>
      <c r="B22" s="410"/>
      <c r="C22" s="411"/>
      <c r="D22" s="410"/>
      <c r="E22" s="411"/>
      <c r="F22" s="410"/>
      <c r="G22" s="410"/>
      <c r="H22" s="410"/>
      <c r="I22" s="407"/>
      <c r="J22" s="413"/>
    </row>
    <row r="23" spans="1:10" s="406" customFormat="1" ht="15.75" x14ac:dyDescent="0.25">
      <c r="A23" s="409"/>
      <c r="B23" s="410"/>
      <c r="C23" s="411"/>
      <c r="D23" s="410"/>
      <c r="E23" s="411"/>
      <c r="F23" s="410"/>
      <c r="G23" s="410"/>
      <c r="H23" s="410"/>
      <c r="I23" s="407"/>
      <c r="J23" s="413"/>
    </row>
    <row r="24" spans="1:10" s="406" customFormat="1" ht="15.75" x14ac:dyDescent="0.25">
      <c r="A24" s="449" t="s">
        <v>484</v>
      </c>
      <c r="B24" s="410"/>
      <c r="C24" s="411"/>
      <c r="D24" s="410"/>
      <c r="E24" s="411"/>
      <c r="F24" s="410">
        <v>205705.72</v>
      </c>
      <c r="G24" s="410"/>
      <c r="H24" s="410"/>
      <c r="I24" s="407"/>
      <c r="J24" s="413"/>
    </row>
    <row r="25" spans="1:10" s="406" customFormat="1" ht="15.75" x14ac:dyDescent="0.25">
      <c r="A25" s="449" t="s">
        <v>456</v>
      </c>
      <c r="B25" s="410"/>
      <c r="C25" s="411"/>
      <c r="D25" s="410"/>
      <c r="E25" s="411"/>
      <c r="F25" s="410"/>
      <c r="G25" s="410"/>
      <c r="H25" s="410"/>
      <c r="I25" s="407"/>
      <c r="J25" s="413"/>
    </row>
    <row r="26" spans="1:10" s="406" customFormat="1" ht="15.75" x14ac:dyDescent="0.25">
      <c r="A26" s="449" t="s">
        <v>485</v>
      </c>
      <c r="B26" s="410"/>
      <c r="C26" s="411"/>
      <c r="D26" s="410"/>
      <c r="E26" s="411"/>
      <c r="F26" s="410">
        <f>F24*0.0214</f>
        <v>4402.1000000000004</v>
      </c>
      <c r="G26" s="410"/>
      <c r="H26" s="410"/>
      <c r="I26" s="407"/>
      <c r="J26" s="413"/>
    </row>
    <row r="27" spans="1:10" s="406" customFormat="1" ht="15.75" x14ac:dyDescent="0.25">
      <c r="A27" s="409"/>
      <c r="B27" s="410"/>
      <c r="C27" s="411"/>
      <c r="D27" s="410"/>
      <c r="E27" s="411"/>
      <c r="F27" s="410"/>
      <c r="G27" s="410"/>
      <c r="H27" s="410"/>
      <c r="I27" s="407"/>
      <c r="J27" s="413"/>
    </row>
    <row r="28" spans="1:10" x14ac:dyDescent="0.25">
      <c r="A28" s="183" t="s">
        <v>437</v>
      </c>
      <c r="B28" s="153" t="s">
        <v>441</v>
      </c>
      <c r="C28" s="422"/>
      <c r="D28" s="416"/>
      <c r="F28" s="129"/>
      <c r="I28" s="137"/>
    </row>
    <row r="29" spans="1:10" x14ac:dyDescent="0.25">
      <c r="A29" s="183" t="s">
        <v>439</v>
      </c>
      <c r="B29" s="263" t="s">
        <v>443</v>
      </c>
      <c r="C29" s="153"/>
      <c r="D29" s="416"/>
      <c r="E29" s="156"/>
      <c r="F29" s="129"/>
    </row>
    <row r="30" spans="1:10" x14ac:dyDescent="0.25">
      <c r="A30" s="183" t="s">
        <v>438</v>
      </c>
      <c r="B30" s="263" t="s">
        <v>453</v>
      </c>
      <c r="C30" s="153" t="s">
        <v>197</v>
      </c>
      <c r="D30" s="416"/>
      <c r="E30" s="156"/>
      <c r="F30" s="129"/>
    </row>
    <row r="31" spans="1:10" x14ac:dyDescent="0.25">
      <c r="A31" s="180" t="s">
        <v>198</v>
      </c>
      <c r="B31" s="170" t="s">
        <v>481</v>
      </c>
      <c r="C31" s="170"/>
      <c r="D31" s="417"/>
      <c r="E31" s="129"/>
      <c r="F31" s="392"/>
      <c r="G31" s="392"/>
      <c r="H31" s="392"/>
    </row>
    <row r="32" spans="1:10" x14ac:dyDescent="0.25">
      <c r="A32" s="180" t="s">
        <v>199</v>
      </c>
      <c r="B32" s="465" t="s">
        <v>471</v>
      </c>
      <c r="C32" s="395"/>
      <c r="D32" s="417"/>
      <c r="E32" s="129"/>
      <c r="F32" s="392"/>
    </row>
    <row r="33" spans="1:8" x14ac:dyDescent="0.25">
      <c r="A33" s="393"/>
      <c r="B33" s="462"/>
      <c r="C33" s="395"/>
      <c r="D33" s="129"/>
      <c r="E33" s="129"/>
      <c r="F33" s="392"/>
    </row>
    <row r="34" spans="1:8" s="125" customFormat="1" x14ac:dyDescent="0.25">
      <c r="A34" s="528" t="s">
        <v>427</v>
      </c>
      <c r="B34" s="528"/>
      <c r="C34" s="528"/>
      <c r="D34" s="528"/>
      <c r="E34" s="528"/>
      <c r="F34" s="528"/>
      <c r="G34" s="528"/>
      <c r="H34" s="528"/>
    </row>
    <row r="35" spans="1:8" x14ac:dyDescent="0.25">
      <c r="A35" s="597" t="s">
        <v>482</v>
      </c>
      <c r="B35" s="453"/>
      <c r="C35" s="266"/>
      <c r="D35" s="455"/>
      <c r="E35" s="466"/>
      <c r="F35" s="466"/>
    </row>
    <row r="36" spans="1:8" x14ac:dyDescent="0.25">
      <c r="A36" s="419"/>
      <c r="B36" s="419"/>
      <c r="C36" s="419"/>
      <c r="D36" s="419"/>
      <c r="E36" s="419"/>
      <c r="F36" s="418"/>
      <c r="G36" s="394"/>
      <c r="H36" s="394"/>
    </row>
    <row r="37" spans="1:8" s="125" customFormat="1" x14ac:dyDescent="0.25">
      <c r="A37" s="522" t="s">
        <v>430</v>
      </c>
      <c r="B37" s="522"/>
      <c r="C37" s="522"/>
      <c r="D37" s="522"/>
      <c r="E37" s="522"/>
      <c r="F37" s="522"/>
      <c r="G37" s="522"/>
      <c r="H37" s="522"/>
    </row>
    <row r="38" spans="1:8" s="125" customFormat="1" x14ac:dyDescent="0.25">
      <c r="A38" s="463"/>
      <c r="B38" s="463" t="s">
        <v>202</v>
      </c>
      <c r="C38" s="284" t="s">
        <v>216</v>
      </c>
      <c r="D38" s="463"/>
      <c r="E38" s="463"/>
      <c r="F38" s="183"/>
      <c r="G38" s="171"/>
      <c r="H38" s="171"/>
    </row>
    <row r="39" spans="1:8" s="125" customFormat="1" x14ac:dyDescent="0.25">
      <c r="A39" s="183" t="s">
        <v>317</v>
      </c>
      <c r="B39" s="183">
        <v>105.5</v>
      </c>
      <c r="C39" s="190">
        <f>B39/100</f>
        <v>1.0549999999999999</v>
      </c>
      <c r="D39" s="190"/>
      <c r="E39" s="190"/>
      <c r="F39" s="285"/>
    </row>
    <row r="40" spans="1:8" s="125" customFormat="1" x14ac:dyDescent="0.25">
      <c r="A40" s="183"/>
      <c r="B40" s="183"/>
      <c r="C40" s="190"/>
      <c r="D40" s="190"/>
      <c r="E40" s="190"/>
      <c r="F40" s="464"/>
    </row>
    <row r="41" spans="1:8" s="125" customFormat="1" x14ac:dyDescent="0.25">
      <c r="A41" s="296" t="s">
        <v>318</v>
      </c>
      <c r="B41" s="296"/>
      <c r="C41" s="296"/>
      <c r="D41" s="193"/>
      <c r="E41" s="193"/>
      <c r="F41" s="180"/>
    </row>
    <row r="42" spans="1:8" s="125" customFormat="1" x14ac:dyDescent="0.25">
      <c r="A42" s="180"/>
      <c r="B42" s="180"/>
      <c r="C42" s="193"/>
      <c r="D42" s="180"/>
      <c r="E42" s="190"/>
      <c r="F42" s="183"/>
    </row>
    <row r="43" spans="1:8" s="125" customFormat="1" ht="18" x14ac:dyDescent="0.25">
      <c r="A43" s="180" t="s">
        <v>432</v>
      </c>
      <c r="B43" s="286" t="s">
        <v>433</v>
      </c>
      <c r="C43" s="193" t="s">
        <v>218</v>
      </c>
      <c r="D43" s="180">
        <f>ROUND(POWER(C39,1/12),4)</f>
        <v>1.0044999999999999</v>
      </c>
      <c r="E43" s="153"/>
      <c r="F43" s="183"/>
      <c r="G43" s="171"/>
      <c r="H43" s="171"/>
    </row>
    <row r="44" spans="1:8" s="125" customFormat="1" x14ac:dyDescent="0.25">
      <c r="A44" s="180"/>
      <c r="B44" s="286"/>
      <c r="C44" s="193"/>
      <c r="D44" s="180"/>
      <c r="E44" s="423"/>
      <c r="F44" s="464"/>
    </row>
    <row r="45" spans="1:8" s="125" customFormat="1" x14ac:dyDescent="0.25">
      <c r="A45" s="183"/>
      <c r="B45" s="296"/>
      <c r="C45" s="296"/>
      <c r="F45" s="296"/>
    </row>
    <row r="46" spans="1:8" s="125" customFormat="1" x14ac:dyDescent="0.25">
      <c r="A46" s="577" t="s">
        <v>431</v>
      </c>
      <c r="B46" s="578"/>
      <c r="C46" s="579"/>
      <c r="D46" s="580"/>
      <c r="E46" s="581"/>
      <c r="F46" s="582"/>
    </row>
    <row r="47" spans="1:8" s="125" customFormat="1" x14ac:dyDescent="0.25">
      <c r="A47" s="583" t="s">
        <v>473</v>
      </c>
      <c r="B47"/>
      <c r="C47" s="584"/>
      <c r="D47" s="584"/>
      <c r="E47" s="584">
        <v>1.0091000000000001</v>
      </c>
      <c r="F47" s="585">
        <f>POWER(1.0045,2)</f>
        <v>1.0090202500000001</v>
      </c>
    </row>
    <row r="48" spans="1:8" x14ac:dyDescent="0.25">
      <c r="A48" s="586" t="s">
        <v>478</v>
      </c>
      <c r="B48"/>
      <c r="C48" s="587"/>
      <c r="D48" s="587"/>
      <c r="E48" s="587">
        <v>1.0044999999999999</v>
      </c>
      <c r="F48" s="585">
        <f>POWER(1.0045,1)</f>
        <v>1.0044999999999999</v>
      </c>
    </row>
    <row r="49" spans="1:6" x14ac:dyDescent="0.25">
      <c r="A49" s="588" t="s">
        <v>479</v>
      </c>
      <c r="B49" s="589"/>
      <c r="C49" s="589"/>
      <c r="D49" s="589"/>
      <c r="E49" s="590">
        <f>(E47+E48)/2</f>
        <v>1.0067999999999999</v>
      </c>
      <c r="F49"/>
    </row>
    <row r="50" spans="1:6" x14ac:dyDescent="0.25">
      <c r="A50" s="591" t="s">
        <v>476</v>
      </c>
      <c r="B50" s="592"/>
      <c r="C50" s="592"/>
      <c r="D50" s="592"/>
      <c r="E50" s="593"/>
      <c r="F50" s="594"/>
    </row>
    <row r="51" spans="1:6" x14ac:dyDescent="0.25">
      <c r="A51" s="591" t="s">
        <v>477</v>
      </c>
      <c r="B51" s="595"/>
      <c r="C51" s="595"/>
      <c r="D51" s="595"/>
      <c r="E51" s="595"/>
      <c r="F51" s="595"/>
    </row>
    <row r="52" spans="1:6" x14ac:dyDescent="0.25">
      <c r="A52"/>
      <c r="B52" s="595"/>
      <c r="C52" s="595"/>
      <c r="D52" s="595"/>
      <c r="E52" s="595"/>
      <c r="F52" s="595"/>
    </row>
  </sheetData>
  <mergeCells count="19">
    <mergeCell ref="G13:H13"/>
    <mergeCell ref="A34:H34"/>
    <mergeCell ref="A37:H37"/>
    <mergeCell ref="A8:F8"/>
    <mergeCell ref="A9:F9"/>
    <mergeCell ref="A10:F10"/>
    <mergeCell ref="A11:H11"/>
    <mergeCell ref="A13:A14"/>
    <mergeCell ref="B13:B14"/>
    <mergeCell ref="C13:C14"/>
    <mergeCell ref="D13:D14"/>
    <mergeCell ref="E13:E14"/>
    <mergeCell ref="F13:F14"/>
    <mergeCell ref="D1:F1"/>
    <mergeCell ref="G1:H1"/>
    <mergeCell ref="A3:H3"/>
    <mergeCell ref="A4:H4"/>
    <mergeCell ref="A6:H6"/>
    <mergeCell ref="A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view="pageBreakPreview" topLeftCell="A25" zoomScale="90" zoomScaleNormal="70" zoomScaleSheetLayoutView="90" workbookViewId="0">
      <selection activeCell="D35" sqref="D35"/>
    </sheetView>
  </sheetViews>
  <sheetFormatPr defaultRowHeight="15.75" x14ac:dyDescent="0.25"/>
  <cols>
    <col min="1" max="1" width="7.5703125" style="6" customWidth="1"/>
    <col min="2" max="2" width="72.28515625" style="6" customWidth="1"/>
    <col min="3" max="3" width="16" style="7" customWidth="1"/>
    <col min="4" max="4" width="15.85546875" style="7" customWidth="1"/>
    <col min="5" max="5" width="14.5703125" style="7" customWidth="1"/>
    <col min="6" max="6" width="18.7109375" style="7" customWidth="1"/>
    <col min="7" max="7" width="20" style="7" customWidth="1"/>
    <col min="8" max="8" width="19.42578125" style="9" customWidth="1"/>
    <col min="9" max="9" width="17.5703125" style="6" customWidth="1"/>
    <col min="10" max="10" width="14.42578125" style="6" customWidth="1"/>
    <col min="11" max="11" width="17.85546875" style="6" customWidth="1"/>
    <col min="12" max="12" width="13.28515625" style="6" bestFit="1" customWidth="1"/>
    <col min="13" max="13" width="11.5703125" style="6" bestFit="1" customWidth="1"/>
    <col min="14" max="14" width="11.28515625" style="6" bestFit="1" customWidth="1"/>
    <col min="15" max="16384" width="9.140625" style="6"/>
  </cols>
  <sheetData>
    <row r="1" spans="1:12" s="15" customFormat="1" ht="15.75" customHeight="1" x14ac:dyDescent="0.25">
      <c r="A1" s="492" t="s">
        <v>61</v>
      </c>
      <c r="B1" s="492"/>
      <c r="C1" s="492"/>
      <c r="D1" s="7"/>
      <c r="E1" s="7"/>
      <c r="F1" s="505" t="s">
        <v>154</v>
      </c>
      <c r="G1" s="505"/>
      <c r="H1" s="505"/>
    </row>
    <row r="2" spans="1:12" s="39" customFormat="1" ht="23.25" customHeight="1" x14ac:dyDescent="0.2">
      <c r="A2" s="492"/>
      <c r="B2" s="492"/>
      <c r="C2" s="492"/>
      <c r="D2" s="38"/>
      <c r="E2" s="38"/>
      <c r="F2" s="505"/>
      <c r="G2" s="505"/>
      <c r="H2" s="505"/>
    </row>
    <row r="3" spans="1:12" s="39" customFormat="1" ht="22.5" customHeight="1" x14ac:dyDescent="0.25">
      <c r="A3" s="492"/>
      <c r="B3" s="492"/>
      <c r="C3" s="492"/>
      <c r="D3" s="40"/>
      <c r="E3" s="40"/>
      <c r="F3" s="505"/>
      <c r="G3" s="505"/>
      <c r="H3" s="505"/>
    </row>
    <row r="4" spans="1:12" s="39" customFormat="1" ht="21" customHeight="1" x14ac:dyDescent="0.2">
      <c r="A4" s="492"/>
      <c r="B4" s="492"/>
      <c r="C4" s="492"/>
      <c r="D4" s="38"/>
      <c r="E4" s="38"/>
      <c r="F4" s="505"/>
      <c r="G4" s="505"/>
      <c r="H4" s="505"/>
    </row>
    <row r="5" spans="1:12" s="39" customFormat="1" ht="27" customHeight="1" x14ac:dyDescent="0.2">
      <c r="A5" s="492"/>
      <c r="B5" s="492"/>
      <c r="C5" s="492"/>
      <c r="D5" s="38"/>
      <c r="E5" s="38"/>
      <c r="F5" s="505"/>
      <c r="G5" s="505"/>
      <c r="H5" s="505"/>
    </row>
    <row r="6" spans="1:12" s="39" customFormat="1" ht="19.5" customHeight="1" x14ac:dyDescent="0.2">
      <c r="A6" s="41"/>
      <c r="B6" s="41"/>
      <c r="C6" s="41"/>
      <c r="D6" s="38"/>
      <c r="E6" s="38"/>
      <c r="F6" s="28"/>
      <c r="G6" s="28"/>
      <c r="H6" s="28"/>
    </row>
    <row r="7" spans="1:12" s="30" customFormat="1" ht="37.5" customHeight="1" x14ac:dyDescent="0.25">
      <c r="A7" s="494" t="s">
        <v>124</v>
      </c>
      <c r="B7" s="495"/>
      <c r="C7" s="495"/>
      <c r="D7" s="495"/>
      <c r="E7" s="495"/>
      <c r="F7" s="495"/>
      <c r="G7" s="495"/>
      <c r="H7" s="496"/>
    </row>
    <row r="8" spans="1:12" s="30" customFormat="1" ht="18" customHeight="1" x14ac:dyDescent="0.25">
      <c r="A8" s="29"/>
      <c r="B8" s="494"/>
      <c r="C8" s="494"/>
      <c r="D8" s="494"/>
      <c r="E8" s="494"/>
      <c r="F8" s="494"/>
      <c r="G8" s="494"/>
      <c r="H8" s="494"/>
    </row>
    <row r="9" spans="1:12" s="30" customFormat="1" ht="23.25" customHeight="1" x14ac:dyDescent="0.25">
      <c r="C9" s="32"/>
      <c r="D9" s="32"/>
      <c r="E9" s="32"/>
      <c r="F9" s="32"/>
      <c r="G9" s="91">
        <f>1.073</f>
        <v>1.073</v>
      </c>
      <c r="H9" s="26" t="s">
        <v>9</v>
      </c>
      <c r="L9" s="504"/>
    </row>
    <row r="10" spans="1:12" s="30" customFormat="1" ht="113.25" customHeight="1" x14ac:dyDescent="0.25">
      <c r="A10" s="1" t="s">
        <v>0</v>
      </c>
      <c r="B10" s="2" t="s">
        <v>1</v>
      </c>
      <c r="C10" s="5" t="s">
        <v>137</v>
      </c>
      <c r="D10" s="5" t="s">
        <v>6</v>
      </c>
      <c r="E10" s="5" t="s">
        <v>10</v>
      </c>
      <c r="F10" s="5" t="s">
        <v>138</v>
      </c>
      <c r="G10" s="67" t="s">
        <v>139</v>
      </c>
      <c r="H10" s="67" t="s">
        <v>57</v>
      </c>
      <c r="L10" s="504"/>
    </row>
    <row r="11" spans="1:12" s="30" customFormat="1" ht="18" customHeight="1" x14ac:dyDescent="0.25">
      <c r="A11" s="11">
        <v>1</v>
      </c>
      <c r="B11" s="11">
        <v>2</v>
      </c>
      <c r="C11" s="11">
        <v>3</v>
      </c>
      <c r="D11" s="11">
        <v>4</v>
      </c>
      <c r="E11" s="11">
        <v>5</v>
      </c>
      <c r="F11" s="11">
        <v>6</v>
      </c>
      <c r="G11" s="11">
        <v>7</v>
      </c>
      <c r="H11" s="11">
        <v>8</v>
      </c>
    </row>
    <row r="12" spans="1:12" s="30" customFormat="1" ht="22.5" customHeight="1" x14ac:dyDescent="0.25">
      <c r="A12" s="11"/>
      <c r="B12" s="20" t="s">
        <v>2</v>
      </c>
      <c r="C12" s="14"/>
      <c r="D12" s="14"/>
      <c r="E12" s="14"/>
      <c r="F12" s="14"/>
      <c r="G12" s="14"/>
      <c r="H12" s="31"/>
    </row>
    <row r="13" spans="1:12" s="30" customFormat="1" ht="24" customHeight="1" x14ac:dyDescent="0.25">
      <c r="A13" s="11">
        <v>1</v>
      </c>
      <c r="B13" s="10" t="s">
        <v>78</v>
      </c>
      <c r="C13" s="83">
        <v>17300.77</v>
      </c>
      <c r="D13" s="84"/>
      <c r="E13" s="84"/>
      <c r="F13" s="84"/>
      <c r="G13" s="84"/>
      <c r="H13" s="85"/>
    </row>
    <row r="14" spans="1:12" s="30" customFormat="1" ht="20.25" customHeight="1" x14ac:dyDescent="0.25">
      <c r="A14" s="11">
        <v>2</v>
      </c>
      <c r="B14" s="10" t="s">
        <v>125</v>
      </c>
      <c r="C14" s="83">
        <v>1578.85</v>
      </c>
      <c r="D14" s="48"/>
      <c r="E14" s="48"/>
      <c r="F14" s="48"/>
      <c r="G14" s="48"/>
      <c r="H14" s="49"/>
    </row>
    <row r="15" spans="1:12" s="30" customFormat="1" ht="21" customHeight="1" x14ac:dyDescent="0.25">
      <c r="A15" s="11">
        <v>3</v>
      </c>
      <c r="B15" s="10" t="s">
        <v>88</v>
      </c>
      <c r="C15" s="83">
        <v>1693.03</v>
      </c>
      <c r="D15" s="84"/>
      <c r="E15" s="84"/>
      <c r="F15" s="84"/>
      <c r="G15" s="84"/>
      <c r="H15" s="85"/>
    </row>
    <row r="16" spans="1:12" s="30" customFormat="1" ht="21.75" customHeight="1" x14ac:dyDescent="0.25">
      <c r="A16" s="11">
        <v>4</v>
      </c>
      <c r="B16" s="10" t="s">
        <v>134</v>
      </c>
      <c r="C16" s="83">
        <v>832.77</v>
      </c>
      <c r="D16" s="84"/>
      <c r="E16" s="84"/>
      <c r="F16" s="84"/>
      <c r="G16" s="84"/>
      <c r="H16" s="85"/>
    </row>
    <row r="17" spans="1:10" s="30" customFormat="1" ht="23.25" customHeight="1" x14ac:dyDescent="0.25">
      <c r="A17" s="11">
        <v>5</v>
      </c>
      <c r="B17" s="10" t="s">
        <v>133</v>
      </c>
      <c r="C17" s="83">
        <v>304.48</v>
      </c>
      <c r="D17" s="84"/>
      <c r="E17" s="84"/>
      <c r="F17" s="84"/>
      <c r="G17" s="84"/>
      <c r="H17" s="85"/>
    </row>
    <row r="18" spans="1:10" s="30" customFormat="1" ht="21.75" customHeight="1" x14ac:dyDescent="0.25">
      <c r="A18" s="11">
        <v>6</v>
      </c>
      <c r="B18" s="10" t="s">
        <v>96</v>
      </c>
      <c r="C18" s="83">
        <v>126.34</v>
      </c>
      <c r="D18" s="84"/>
      <c r="E18" s="84"/>
      <c r="F18" s="84"/>
      <c r="G18" s="84"/>
      <c r="H18" s="85"/>
    </row>
    <row r="19" spans="1:10" s="30" customFormat="1" x14ac:dyDescent="0.25">
      <c r="A19" s="43"/>
      <c r="B19" s="20" t="s">
        <v>60</v>
      </c>
      <c r="C19" s="50">
        <f>ROUND(SUM(C13:C18),2)</f>
        <v>21836.240000000002</v>
      </c>
      <c r="D19" s="50">
        <v>0</v>
      </c>
      <c r="E19" s="50">
        <v>0</v>
      </c>
      <c r="F19" s="50">
        <f t="shared" ref="F19:F24" si="0">C19-D19</f>
        <v>21836.240000000002</v>
      </c>
      <c r="G19" s="50">
        <f>ROUND(F19*G9,2)</f>
        <v>23430.29</v>
      </c>
      <c r="H19" s="51">
        <f>D19+G19</f>
        <v>23430.29</v>
      </c>
    </row>
    <row r="20" spans="1:10" s="30" customFormat="1" ht="30" customHeight="1" x14ac:dyDescent="0.25">
      <c r="A20" s="11">
        <v>7</v>
      </c>
      <c r="B20" s="12" t="s">
        <v>7</v>
      </c>
      <c r="C20" s="52">
        <f>ROUND(C19*2%,2)</f>
        <v>436.72</v>
      </c>
      <c r="D20" s="53">
        <f>(D19-D13)*2%</f>
        <v>0</v>
      </c>
      <c r="E20" s="53">
        <v>0</v>
      </c>
      <c r="F20" s="48">
        <f>C20-D20</f>
        <v>436.72</v>
      </c>
      <c r="G20" s="48">
        <f>G19*2%</f>
        <v>468.61</v>
      </c>
      <c r="H20" s="49">
        <f>D20+G20</f>
        <v>468.61</v>
      </c>
    </row>
    <row r="21" spans="1:10" x14ac:dyDescent="0.25">
      <c r="A21" s="43"/>
      <c r="B21" s="21" t="s">
        <v>12</v>
      </c>
      <c r="C21" s="50">
        <f>ROUND(C19+C20,2)</f>
        <v>22272.959999999999</v>
      </c>
      <c r="D21" s="54">
        <f>D19+D20</f>
        <v>0</v>
      </c>
      <c r="E21" s="54">
        <v>0</v>
      </c>
      <c r="F21" s="55">
        <f t="shared" si="0"/>
        <v>22272.959999999999</v>
      </c>
      <c r="G21" s="50">
        <f>G19+G20</f>
        <v>23898.9</v>
      </c>
      <c r="H21" s="51">
        <f>D21+G21</f>
        <v>23898.9</v>
      </c>
    </row>
    <row r="22" spans="1:10" ht="24" customHeight="1" x14ac:dyDescent="0.25">
      <c r="A22" s="45"/>
      <c r="B22" s="22" t="s">
        <v>27</v>
      </c>
      <c r="C22" s="56">
        <f>(C21)</f>
        <v>22272.959999999999</v>
      </c>
      <c r="D22" s="56">
        <f>D21</f>
        <v>0</v>
      </c>
      <c r="E22" s="56">
        <f>E21</f>
        <v>0</v>
      </c>
      <c r="F22" s="57">
        <f t="shared" si="0"/>
        <v>22272.959999999999</v>
      </c>
      <c r="G22" s="50">
        <f>G21</f>
        <v>23898.9</v>
      </c>
      <c r="H22" s="58">
        <f>D22+G22</f>
        <v>23898.9</v>
      </c>
    </row>
    <row r="23" spans="1:10" ht="25.5" customHeight="1" x14ac:dyDescent="0.25">
      <c r="A23" s="43"/>
      <c r="B23" s="12" t="s">
        <v>11</v>
      </c>
      <c r="C23" s="52">
        <f>ROUND(C22*20%,2)</f>
        <v>4454.59</v>
      </c>
      <c r="D23" s="53">
        <v>0</v>
      </c>
      <c r="E23" s="53">
        <v>0</v>
      </c>
      <c r="F23" s="48">
        <f t="shared" si="0"/>
        <v>4454.59</v>
      </c>
      <c r="G23" s="48">
        <f>ROUND(G22*20%,2)</f>
        <v>4779.78</v>
      </c>
      <c r="H23" s="49">
        <f>D23+G23</f>
        <v>4779.78</v>
      </c>
    </row>
    <row r="24" spans="1:10" s="18" customFormat="1" ht="23.25" customHeight="1" x14ac:dyDescent="0.25">
      <c r="A24" s="92"/>
      <c r="B24" s="23" t="s">
        <v>3</v>
      </c>
      <c r="C24" s="59">
        <f>C21+C23</f>
        <v>26727.55</v>
      </c>
      <c r="D24" s="59">
        <v>0</v>
      </c>
      <c r="E24" s="59">
        <v>0</v>
      </c>
      <c r="F24" s="59">
        <f t="shared" si="0"/>
        <v>26727.55</v>
      </c>
      <c r="G24" s="59">
        <f>G21+G23</f>
        <v>28678.68</v>
      </c>
      <c r="H24" s="59">
        <f>H21+H23</f>
        <v>28678.68</v>
      </c>
      <c r="I24" s="16"/>
      <c r="J24" s="9"/>
    </row>
    <row r="25" spans="1:10" ht="21.75" customHeight="1" x14ac:dyDescent="0.25">
      <c r="A25" s="43"/>
      <c r="B25" s="21" t="s">
        <v>4</v>
      </c>
      <c r="C25" s="14"/>
      <c r="D25" s="87"/>
      <c r="E25" s="87"/>
      <c r="F25" s="87"/>
      <c r="G25" s="86"/>
      <c r="H25" s="37"/>
    </row>
    <row r="26" spans="1:10" ht="21.75" customHeight="1" x14ac:dyDescent="0.25">
      <c r="A26" s="11">
        <v>1</v>
      </c>
      <c r="B26" s="10" t="s">
        <v>135</v>
      </c>
      <c r="C26" s="14">
        <v>467.3</v>
      </c>
      <c r="D26" s="79">
        <v>0</v>
      </c>
      <c r="E26" s="79">
        <f>C26</f>
        <v>467.3</v>
      </c>
      <c r="F26" s="79">
        <v>0</v>
      </c>
      <c r="G26" s="4">
        <v>0</v>
      </c>
      <c r="H26" s="27">
        <v>0</v>
      </c>
    </row>
    <row r="27" spans="1:10" ht="21.75" customHeight="1" x14ac:dyDescent="0.25">
      <c r="A27" s="11">
        <v>2</v>
      </c>
      <c r="B27" s="10" t="s">
        <v>127</v>
      </c>
      <c r="C27" s="83">
        <v>43.67</v>
      </c>
      <c r="D27" s="79">
        <v>0</v>
      </c>
      <c r="E27" s="79">
        <v>0</v>
      </c>
      <c r="F27" s="79">
        <f>C27</f>
        <v>43.67</v>
      </c>
      <c r="G27" s="4">
        <f>F27*G9</f>
        <v>46.86</v>
      </c>
      <c r="H27" s="27">
        <f>G27</f>
        <v>46.86</v>
      </c>
    </row>
    <row r="28" spans="1:10" ht="21.75" customHeight="1" x14ac:dyDescent="0.25">
      <c r="A28" s="11">
        <v>3</v>
      </c>
      <c r="B28" s="12" t="s">
        <v>126</v>
      </c>
      <c r="C28" s="79">
        <v>142.06</v>
      </c>
      <c r="D28" s="79">
        <f t="shared" ref="D28:D33" si="1">C28</f>
        <v>142.06</v>
      </c>
      <c r="E28" s="61">
        <v>0</v>
      </c>
      <c r="F28" s="61">
        <f>C28-D28</f>
        <v>0</v>
      </c>
      <c r="G28" s="48">
        <f>C28-D28</f>
        <v>0</v>
      </c>
      <c r="H28" s="49">
        <f>G28</f>
        <v>0</v>
      </c>
    </row>
    <row r="29" spans="1:10" ht="21.75" customHeight="1" x14ac:dyDescent="0.25">
      <c r="A29" s="11">
        <v>4</v>
      </c>
      <c r="B29" s="10" t="s">
        <v>146</v>
      </c>
      <c r="C29" s="83">
        <v>3300</v>
      </c>
      <c r="D29" s="4">
        <f t="shared" si="1"/>
        <v>3300</v>
      </c>
      <c r="E29" s="4">
        <v>0</v>
      </c>
      <c r="F29" s="4">
        <v>0</v>
      </c>
      <c r="G29" s="4">
        <v>0</v>
      </c>
      <c r="H29" s="27">
        <v>0</v>
      </c>
    </row>
    <row r="30" spans="1:10" ht="31.5" customHeight="1" x14ac:dyDescent="0.25">
      <c r="A30" s="11">
        <v>5</v>
      </c>
      <c r="B30" s="10" t="s">
        <v>128</v>
      </c>
      <c r="C30" s="83">
        <v>400</v>
      </c>
      <c r="D30" s="48">
        <f t="shared" si="1"/>
        <v>400</v>
      </c>
      <c r="E30" s="48">
        <v>0</v>
      </c>
      <c r="F30" s="48">
        <f>C30-D30-E30</f>
        <v>0</v>
      </c>
      <c r="G30" s="48">
        <f>ROUND(F30*1.084*1.073,2)</f>
        <v>0</v>
      </c>
      <c r="H30" s="49">
        <f t="shared" ref="H30:H39" si="2">G30</f>
        <v>0</v>
      </c>
    </row>
    <row r="31" spans="1:10" ht="21.75" customHeight="1" x14ac:dyDescent="0.25">
      <c r="A31" s="11">
        <v>6</v>
      </c>
      <c r="B31" s="10" t="s">
        <v>129</v>
      </c>
      <c r="C31" s="83">
        <v>268.89</v>
      </c>
      <c r="D31" s="48">
        <f t="shared" si="1"/>
        <v>268.89</v>
      </c>
      <c r="E31" s="48">
        <v>0</v>
      </c>
      <c r="F31" s="48">
        <f>C31-D31-E31</f>
        <v>0</v>
      </c>
      <c r="G31" s="48">
        <f>F31</f>
        <v>0</v>
      </c>
      <c r="H31" s="49">
        <f>G31</f>
        <v>0</v>
      </c>
    </row>
    <row r="32" spans="1:10" ht="26.25" customHeight="1" x14ac:dyDescent="0.25">
      <c r="A32" s="11">
        <v>7</v>
      </c>
      <c r="B32" s="10" t="s">
        <v>130</v>
      </c>
      <c r="C32" s="83">
        <v>82.63</v>
      </c>
      <c r="D32" s="48">
        <f t="shared" si="1"/>
        <v>82.63</v>
      </c>
      <c r="E32" s="48">
        <v>0</v>
      </c>
      <c r="F32" s="48">
        <v>0</v>
      </c>
      <c r="G32" s="48">
        <v>0</v>
      </c>
      <c r="H32" s="49">
        <v>0</v>
      </c>
    </row>
    <row r="33" spans="1:10" x14ac:dyDescent="0.25">
      <c r="A33" s="11">
        <v>8</v>
      </c>
      <c r="B33" s="10" t="s">
        <v>131</v>
      </c>
      <c r="C33" s="83">
        <v>87.46</v>
      </c>
      <c r="D33" s="48">
        <f t="shared" si="1"/>
        <v>87.46</v>
      </c>
      <c r="E33" s="48">
        <v>0</v>
      </c>
      <c r="F33" s="48">
        <v>0</v>
      </c>
      <c r="G33" s="48">
        <v>0</v>
      </c>
      <c r="H33" s="49">
        <v>0</v>
      </c>
      <c r="I33" s="16"/>
    </row>
    <row r="34" spans="1:10" ht="21" customHeight="1" x14ac:dyDescent="0.25">
      <c r="A34" s="11"/>
      <c r="B34" s="20" t="s">
        <v>141</v>
      </c>
      <c r="C34" s="3">
        <f>ROUND(SUM(C26:C33),2)</f>
        <v>4792.01</v>
      </c>
      <c r="D34" s="50">
        <f>SUM(D26:D33)</f>
        <v>4281.04</v>
      </c>
      <c r="E34" s="50">
        <f>SUM(E26:E33)</f>
        <v>467.3</v>
      </c>
      <c r="F34" s="50">
        <f>C34-D34-E34</f>
        <v>43.67</v>
      </c>
      <c r="G34" s="50">
        <f>SUM(G26:G33)</f>
        <v>46.86</v>
      </c>
      <c r="H34" s="51">
        <f>G34</f>
        <v>46.86</v>
      </c>
      <c r="I34" s="16"/>
      <c r="J34" s="16"/>
    </row>
    <row r="35" spans="1:10" x14ac:dyDescent="0.25">
      <c r="A35" s="11">
        <v>9</v>
      </c>
      <c r="B35" s="12" t="s">
        <v>132</v>
      </c>
      <c r="C35" s="83">
        <f>ROUND(C34*2%,2)</f>
        <v>95.84</v>
      </c>
      <c r="D35" s="83">
        <f>16/1.2+94.08/1.2+2.78/1.2</f>
        <v>94.05</v>
      </c>
      <c r="E35" s="83">
        <v>0</v>
      </c>
      <c r="F35" s="48">
        <f>C35-D35-E35</f>
        <v>1.79</v>
      </c>
      <c r="G35" s="48">
        <f>F35*G9</f>
        <v>1.92</v>
      </c>
      <c r="H35" s="49">
        <f t="shared" si="2"/>
        <v>1.92</v>
      </c>
      <c r="I35" s="16"/>
    </row>
    <row r="36" spans="1:10" x14ac:dyDescent="0.25">
      <c r="A36" s="44"/>
      <c r="B36" s="21" t="s">
        <v>147</v>
      </c>
      <c r="C36" s="89">
        <f>ROUND(SUM(C34:C35),2)</f>
        <v>4887.8500000000004</v>
      </c>
      <c r="D36" s="54">
        <f>D34+D35</f>
        <v>4375.09</v>
      </c>
      <c r="E36" s="54">
        <f>E34+E35</f>
        <v>467.3</v>
      </c>
      <c r="F36" s="50">
        <f>F34+F35</f>
        <v>45.46</v>
      </c>
      <c r="G36" s="50">
        <f>G34+G35</f>
        <v>48.78</v>
      </c>
      <c r="H36" s="51">
        <f t="shared" si="2"/>
        <v>48.78</v>
      </c>
      <c r="I36" s="16"/>
      <c r="J36" s="9"/>
    </row>
    <row r="37" spans="1:10" x14ac:dyDescent="0.25">
      <c r="A37" s="46"/>
      <c r="B37" s="22" t="s">
        <v>136</v>
      </c>
      <c r="C37" s="13">
        <f>ROUND((C36),2)</f>
        <v>4887.8500000000004</v>
      </c>
      <c r="D37" s="57">
        <f>D36</f>
        <v>4375.09</v>
      </c>
      <c r="E37" s="57">
        <f>E36</f>
        <v>467.3</v>
      </c>
      <c r="F37" s="57">
        <f>F36</f>
        <v>45.46</v>
      </c>
      <c r="G37" s="56">
        <f>G36</f>
        <v>48.78</v>
      </c>
      <c r="H37" s="58">
        <f t="shared" si="2"/>
        <v>48.78</v>
      </c>
      <c r="I37" s="16"/>
      <c r="J37" s="9"/>
    </row>
    <row r="38" spans="1:10" x14ac:dyDescent="0.25">
      <c r="A38" s="43"/>
      <c r="B38" s="12" t="s">
        <v>11</v>
      </c>
      <c r="C38" s="83">
        <f>ROUND(C37*20%,2)</f>
        <v>977.57</v>
      </c>
      <c r="D38" s="52">
        <f>D37*0.2</f>
        <v>875.02</v>
      </c>
      <c r="E38" s="48">
        <f>E37*0.2</f>
        <v>93.46</v>
      </c>
      <c r="F38" s="48">
        <f>F37*0.2</f>
        <v>9.09</v>
      </c>
      <c r="G38" s="48">
        <f>G37*0.2</f>
        <v>9.76</v>
      </c>
      <c r="H38" s="49">
        <f t="shared" si="2"/>
        <v>9.76</v>
      </c>
      <c r="I38" s="16"/>
      <c r="J38" s="9">
        <f>F34*0.02</f>
        <v>0.87</v>
      </c>
    </row>
    <row r="39" spans="1:10" x14ac:dyDescent="0.25">
      <c r="A39" s="47"/>
      <c r="B39" s="23" t="s">
        <v>5</v>
      </c>
      <c r="C39" s="90">
        <f>C36+C38</f>
        <v>5865.42</v>
      </c>
      <c r="D39" s="59">
        <f>D36+D38</f>
        <v>5250.11</v>
      </c>
      <c r="E39" s="59">
        <f>E36+E38</f>
        <v>560.76</v>
      </c>
      <c r="F39" s="59">
        <f>F38+F36</f>
        <v>54.55</v>
      </c>
      <c r="G39" s="59">
        <f>G38+G36</f>
        <v>58.54</v>
      </c>
      <c r="H39" s="60">
        <f t="shared" si="2"/>
        <v>58.54</v>
      </c>
    </row>
    <row r="40" spans="1:10" ht="19.5" customHeight="1" x14ac:dyDescent="0.25">
      <c r="A40" s="47"/>
      <c r="B40" s="23" t="s">
        <v>8</v>
      </c>
      <c r="C40" s="90">
        <f>C24+C39</f>
        <v>32592.97</v>
      </c>
      <c r="D40" s="59">
        <f>D24+D39</f>
        <v>5250.11</v>
      </c>
      <c r="E40" s="59">
        <f>E39</f>
        <v>560.76</v>
      </c>
      <c r="F40" s="59">
        <f>F24+F39</f>
        <v>26782.1</v>
      </c>
      <c r="G40" s="59">
        <f>G24+G39</f>
        <v>28737.22</v>
      </c>
      <c r="H40" s="60">
        <f>H24+H39</f>
        <v>28737.22</v>
      </c>
      <c r="I40" s="16"/>
    </row>
    <row r="41" spans="1:10" ht="24" customHeight="1" x14ac:dyDescent="0.25">
      <c r="A41" s="8"/>
      <c r="B41" s="8"/>
      <c r="C41" s="80"/>
      <c r="D41" s="88"/>
      <c r="E41" s="88"/>
      <c r="F41" s="88"/>
      <c r="G41" s="88"/>
      <c r="H41" s="88"/>
      <c r="I41" s="16"/>
    </row>
    <row r="42" spans="1:10" ht="23.25" customHeight="1" x14ac:dyDescent="0.25">
      <c r="A42" s="497" t="s">
        <v>55</v>
      </c>
      <c r="B42" s="498"/>
      <c r="C42" s="498"/>
      <c r="D42" s="498"/>
      <c r="E42" s="498"/>
      <c r="F42" s="498"/>
      <c r="G42" s="498"/>
      <c r="H42" s="498"/>
      <c r="I42" s="16"/>
      <c r="J42" s="16"/>
    </row>
    <row r="43" spans="1:10" ht="23.25" customHeight="1" x14ac:dyDescent="0.25">
      <c r="A43" s="35"/>
      <c r="B43" s="36"/>
      <c r="C43" s="36"/>
      <c r="D43" s="36"/>
      <c r="E43" s="36"/>
      <c r="F43" s="36"/>
      <c r="G43" s="36"/>
      <c r="H43" s="36"/>
      <c r="I43" s="16"/>
      <c r="J43" s="16"/>
    </row>
    <row r="44" spans="1:10" ht="15.75" customHeight="1" x14ac:dyDescent="0.25">
      <c r="A44" s="506" t="s">
        <v>149</v>
      </c>
      <c r="B44" s="506"/>
      <c r="C44" s="115">
        <v>270</v>
      </c>
      <c r="E44" s="36"/>
      <c r="F44" s="36"/>
      <c r="G44" s="36"/>
      <c r="H44" s="36"/>
      <c r="I44" s="16"/>
      <c r="J44" s="16"/>
    </row>
    <row r="45" spans="1:10" x14ac:dyDescent="0.25">
      <c r="A45" s="114"/>
      <c r="B45" s="114" t="s">
        <v>148</v>
      </c>
      <c r="C45" s="115">
        <f>598300/1000</f>
        <v>598.29999999999995</v>
      </c>
      <c r="D45" s="35"/>
      <c r="E45" s="36"/>
      <c r="F45" s="36"/>
      <c r="G45" s="36"/>
      <c r="H45" s="36"/>
      <c r="I45" s="16"/>
      <c r="J45" s="16"/>
    </row>
    <row r="46" spans="1:10" x14ac:dyDescent="0.25">
      <c r="A46" s="114"/>
      <c r="B46" s="114" t="s">
        <v>144</v>
      </c>
      <c r="C46" s="115">
        <f>598000/1000</f>
        <v>598</v>
      </c>
      <c r="D46" s="36"/>
      <c r="E46" s="36"/>
      <c r="F46" s="36"/>
      <c r="G46" s="36"/>
      <c r="H46" s="36"/>
      <c r="I46" s="16"/>
      <c r="J46" s="16"/>
    </row>
    <row r="47" spans="1:10" x14ac:dyDescent="0.25">
      <c r="A47" s="114"/>
      <c r="B47" s="114" t="s">
        <v>145</v>
      </c>
      <c r="C47" s="115">
        <f>599000/1000</f>
        <v>599</v>
      </c>
      <c r="D47" s="36"/>
      <c r="E47" s="36"/>
      <c r="F47" s="36"/>
      <c r="G47" s="36"/>
      <c r="H47" s="36"/>
      <c r="I47" s="16"/>
      <c r="J47" s="16"/>
    </row>
    <row r="48" spans="1:10" ht="24" x14ac:dyDescent="0.25">
      <c r="A48" s="114"/>
      <c r="B48" s="114" t="s">
        <v>150</v>
      </c>
      <c r="C48" s="115">
        <f>732497.63/1000</f>
        <v>732.5</v>
      </c>
      <c r="D48" s="36"/>
      <c r="E48" s="36"/>
      <c r="F48" s="36"/>
      <c r="G48" s="36"/>
      <c r="H48" s="36"/>
      <c r="I48" s="16"/>
      <c r="J48" s="16"/>
    </row>
    <row r="49" spans="1:14" x14ac:dyDescent="0.25">
      <c r="A49" s="35"/>
      <c r="B49" s="36"/>
      <c r="C49" s="36"/>
      <c r="D49" s="36"/>
      <c r="E49" s="36"/>
      <c r="F49" s="36"/>
      <c r="G49" s="36"/>
      <c r="H49" s="36"/>
      <c r="I49" s="16"/>
      <c r="J49" s="16"/>
    </row>
    <row r="50" spans="1:14" x14ac:dyDescent="0.25">
      <c r="A50" s="35"/>
      <c r="B50" s="36"/>
      <c r="C50" s="65" t="s">
        <v>35</v>
      </c>
      <c r="D50" s="36"/>
      <c r="E50" s="72"/>
      <c r="F50" s="36"/>
      <c r="G50" s="36"/>
      <c r="H50" s="65" t="s">
        <v>56</v>
      </c>
      <c r="I50" s="16"/>
      <c r="L50" s="16"/>
      <c r="N50" s="16"/>
    </row>
    <row r="51" spans="1:14" s="18" customFormat="1" ht="22.5" customHeight="1" x14ac:dyDescent="0.25">
      <c r="A51" s="116"/>
      <c r="B51" s="66" t="s">
        <v>15</v>
      </c>
      <c r="C51" s="117">
        <f>(C44+C45+C46+C47+C48)+D35*1.2</f>
        <v>2910.66</v>
      </c>
      <c r="D51" s="77" t="s">
        <v>16</v>
      </c>
      <c r="E51" s="78">
        <f>E40</f>
        <v>560.76</v>
      </c>
      <c r="F51" s="64"/>
      <c r="G51" s="65">
        <f>ROUND(E51*G9,2)</f>
        <v>601.70000000000005</v>
      </c>
      <c r="H51" s="117">
        <f>C51</f>
        <v>2910.66</v>
      </c>
      <c r="I51" s="17">
        <f>D40</f>
        <v>5250.11</v>
      </c>
      <c r="L51" s="17"/>
    </row>
    <row r="52" spans="1:14" ht="21" customHeight="1" x14ac:dyDescent="0.25">
      <c r="A52" s="116"/>
      <c r="B52" s="66" t="s">
        <v>17</v>
      </c>
      <c r="C52" s="117">
        <f>C24+C27*1.2+F35*1.2</f>
        <v>26782.1</v>
      </c>
      <c r="D52" s="64"/>
      <c r="E52" s="65"/>
      <c r="F52" s="64"/>
      <c r="G52" s="64"/>
      <c r="H52" s="117">
        <f>G40</f>
        <v>28737.22</v>
      </c>
      <c r="I52" s="117">
        <f>H40</f>
        <v>28737.22</v>
      </c>
      <c r="L52" s="16"/>
    </row>
    <row r="53" spans="1:14" ht="22.5" customHeight="1" x14ac:dyDescent="0.25">
      <c r="A53" s="116"/>
      <c r="B53" s="66" t="s">
        <v>36</v>
      </c>
      <c r="C53" s="65">
        <f>C52+E51</f>
        <v>27342.86</v>
      </c>
      <c r="D53" s="64"/>
      <c r="E53" s="64"/>
      <c r="F53" s="64"/>
      <c r="G53" s="64"/>
      <c r="H53" s="117">
        <f>H52+G51</f>
        <v>29338.92</v>
      </c>
      <c r="I53" s="117">
        <f>I52+G51</f>
        <v>29338.92</v>
      </c>
      <c r="J53" s="16"/>
      <c r="L53" s="16"/>
    </row>
    <row r="54" spans="1:14" ht="18.75" customHeight="1" x14ac:dyDescent="0.25">
      <c r="A54" s="116"/>
      <c r="B54" s="66" t="s">
        <v>18</v>
      </c>
      <c r="C54" s="73">
        <f>C51+C53</f>
        <v>30253.52</v>
      </c>
      <c r="D54" s="64"/>
      <c r="E54" s="64"/>
      <c r="F54" s="64"/>
      <c r="G54" s="64"/>
      <c r="H54" s="68">
        <f>H51+H53</f>
        <v>32249.58</v>
      </c>
      <c r="I54" s="68">
        <f>I51+I53</f>
        <v>34589.03</v>
      </c>
      <c r="L54" s="16"/>
    </row>
    <row r="55" spans="1:14" ht="15.75" customHeight="1" x14ac:dyDescent="0.25">
      <c r="A55" s="116"/>
      <c r="B55" s="118"/>
      <c r="C55" s="119"/>
      <c r="D55" s="120"/>
      <c r="E55" s="120"/>
      <c r="F55" s="120"/>
      <c r="G55" s="120"/>
      <c r="H55" s="119">
        <f>H54-G51</f>
        <v>31647.88</v>
      </c>
      <c r="I55" s="119">
        <f>I54-H51</f>
        <v>31678.37</v>
      </c>
      <c r="L55" s="16"/>
    </row>
    <row r="56" spans="1:14" ht="27.75" customHeight="1" x14ac:dyDescent="0.25">
      <c r="A56" s="499" t="s">
        <v>176</v>
      </c>
      <c r="B56" s="499"/>
      <c r="C56" s="499"/>
      <c r="D56" s="499"/>
      <c r="E56" s="499"/>
      <c r="F56" s="499"/>
      <c r="G56" s="499"/>
      <c r="H56" s="82"/>
    </row>
    <row r="57" spans="1:14" s="30" customFormat="1" ht="17.25" customHeight="1" x14ac:dyDescent="0.25">
      <c r="A57" s="499" t="s">
        <v>143</v>
      </c>
      <c r="B57" s="499"/>
      <c r="C57" s="499"/>
      <c r="D57" s="499"/>
      <c r="E57" s="499"/>
      <c r="F57" s="499"/>
      <c r="G57" s="499"/>
      <c r="H57" s="93"/>
      <c r="J57" s="81"/>
      <c r="L57" s="33"/>
      <c r="M57" s="33"/>
    </row>
    <row r="58" spans="1:14" s="30" customFormat="1" hidden="1" x14ac:dyDescent="0.25">
      <c r="A58" s="93"/>
      <c r="B58" s="93"/>
      <c r="C58" s="93"/>
      <c r="D58" s="93"/>
      <c r="E58" s="93"/>
      <c r="F58" s="93"/>
      <c r="G58" s="93"/>
      <c r="H58" s="93"/>
      <c r="J58" s="81"/>
      <c r="L58" s="33"/>
      <c r="M58" s="33"/>
    </row>
    <row r="59" spans="1:14" s="30" customFormat="1" ht="24" hidden="1" customHeight="1" x14ac:dyDescent="0.25">
      <c r="A59" s="109"/>
      <c r="B59" s="109"/>
      <c r="C59" s="109"/>
      <c r="D59" s="109"/>
      <c r="E59" s="109"/>
      <c r="F59" s="109"/>
      <c r="G59" s="109"/>
      <c r="H59" s="109"/>
      <c r="J59" s="33"/>
      <c r="L59" s="33"/>
      <c r="M59" s="33"/>
    </row>
    <row r="60" spans="1:14" s="30" customFormat="1" ht="17.25" hidden="1" customHeight="1" x14ac:dyDescent="0.25">
      <c r="A60" s="500"/>
      <c r="B60" s="501"/>
      <c r="C60" s="501"/>
      <c r="D60" s="24"/>
      <c r="E60" s="24"/>
      <c r="F60" s="24"/>
      <c r="G60" s="62"/>
      <c r="H60" s="62"/>
    </row>
    <row r="61" spans="1:14" s="30" customFormat="1" ht="15" customHeight="1" x14ac:dyDescent="0.25">
      <c r="A61" s="69"/>
      <c r="B61" s="70"/>
      <c r="C61" s="70"/>
      <c r="D61" s="24"/>
      <c r="E61" s="24"/>
      <c r="F61" s="24"/>
      <c r="G61" s="62"/>
      <c r="I61" s="16"/>
      <c r="J61" s="16"/>
    </row>
    <row r="62" spans="1:14" s="30" customFormat="1" ht="15" customHeight="1" x14ac:dyDescent="0.25">
      <c r="A62" s="502" t="s">
        <v>28</v>
      </c>
      <c r="B62" s="502"/>
      <c r="C62" s="70"/>
      <c r="D62" s="24"/>
      <c r="E62" s="24"/>
      <c r="F62" s="24"/>
      <c r="G62" s="62"/>
      <c r="H62" s="62" t="s">
        <v>153</v>
      </c>
      <c r="I62" s="16"/>
      <c r="J62" s="16"/>
    </row>
    <row r="63" spans="1:14" s="30" customFormat="1" ht="17.25" customHeight="1" x14ac:dyDescent="0.25">
      <c r="A63" s="502"/>
      <c r="B63" s="502"/>
      <c r="C63" s="502"/>
      <c r="D63" s="24"/>
      <c r="E63" s="24"/>
      <c r="F63" s="24"/>
      <c r="G63" s="62"/>
      <c r="H63" s="62"/>
      <c r="I63" s="16"/>
      <c r="J63" s="6"/>
    </row>
    <row r="64" spans="1:14" s="30" customFormat="1" ht="18.75" customHeight="1" x14ac:dyDescent="0.25">
      <c r="A64" s="502" t="s">
        <v>151</v>
      </c>
      <c r="B64" s="502"/>
      <c r="C64" s="71"/>
      <c r="D64" s="24"/>
      <c r="E64" s="24"/>
      <c r="F64" s="24"/>
      <c r="G64" s="62"/>
      <c r="H64" s="62" t="s">
        <v>152</v>
      </c>
      <c r="M64" s="33"/>
    </row>
    <row r="65" spans="1:15" s="30" customFormat="1" ht="18.75" customHeight="1" x14ac:dyDescent="0.25">
      <c r="A65" s="71"/>
      <c r="B65" s="71"/>
      <c r="C65" s="71"/>
      <c r="D65" s="24"/>
      <c r="E65" s="24"/>
      <c r="F65" s="24"/>
      <c r="G65" s="62"/>
      <c r="H65" s="62"/>
      <c r="M65" s="33"/>
    </row>
    <row r="66" spans="1:15" s="30" customFormat="1" x14ac:dyDescent="0.25">
      <c r="A66" s="503"/>
      <c r="B66" s="503"/>
      <c r="C66" s="42"/>
      <c r="D66" s="42"/>
      <c r="E66" s="42"/>
      <c r="F66" s="42"/>
      <c r="G66" s="42"/>
      <c r="H66" s="25"/>
    </row>
    <row r="67" spans="1:15" s="30" customFormat="1" x14ac:dyDescent="0.25">
      <c r="A67" s="490" t="s">
        <v>59</v>
      </c>
      <c r="B67" s="491"/>
      <c r="C67" s="25"/>
      <c r="D67" s="25"/>
      <c r="E67" s="25"/>
      <c r="F67" s="25"/>
      <c r="G67" s="25"/>
      <c r="H67" s="25"/>
    </row>
    <row r="68" spans="1:15" s="30" customFormat="1" ht="12" customHeight="1" x14ac:dyDescent="0.25">
      <c r="A68" s="6"/>
      <c r="B68" s="19"/>
      <c r="C68" s="9"/>
      <c r="D68" s="9"/>
      <c r="E68" s="9"/>
      <c r="F68" s="9"/>
      <c r="G68" s="9"/>
      <c r="H68" s="63"/>
    </row>
    <row r="69" spans="1:15" s="30" customFormat="1" ht="30" customHeight="1" x14ac:dyDescent="0.25">
      <c r="A69" s="6"/>
      <c r="B69" s="6"/>
      <c r="C69" s="9"/>
      <c r="D69" s="9"/>
      <c r="E69" s="9"/>
      <c r="F69" s="9"/>
      <c r="G69" s="9"/>
      <c r="H69" s="9"/>
    </row>
    <row r="70" spans="1:15" s="34" customFormat="1" ht="18.75" customHeight="1" x14ac:dyDescent="0.25">
      <c r="A70" s="6"/>
      <c r="B70" s="6"/>
      <c r="C70" s="7"/>
      <c r="D70" s="7"/>
      <c r="E70" s="7"/>
      <c r="F70" s="7"/>
      <c r="G70" s="7"/>
      <c r="H70" s="9"/>
    </row>
    <row r="71" spans="1:15" s="34" customFormat="1" ht="18.75" customHeight="1" x14ac:dyDescent="0.25">
      <c r="A71" s="6"/>
      <c r="B71" s="6"/>
      <c r="C71" s="7"/>
      <c r="D71" s="7"/>
      <c r="E71" s="7"/>
      <c r="F71" s="7"/>
      <c r="G71" s="7"/>
      <c r="H71" s="9"/>
    </row>
    <row r="72" spans="1:15" s="34" customFormat="1" ht="18.75" customHeight="1" x14ac:dyDescent="0.25">
      <c r="A72" s="6"/>
      <c r="B72" s="6"/>
      <c r="C72" s="7"/>
      <c r="D72" s="7"/>
      <c r="E72" s="7"/>
      <c r="F72" s="7"/>
      <c r="G72" s="7"/>
      <c r="H72" s="9"/>
    </row>
    <row r="73" spans="1:15" s="34" customFormat="1" ht="18.75" customHeight="1" x14ac:dyDescent="0.25">
      <c r="A73" s="6"/>
      <c r="B73" s="6"/>
      <c r="C73" s="7"/>
      <c r="D73" s="7"/>
      <c r="E73" s="7"/>
      <c r="F73" s="7"/>
      <c r="G73" s="7"/>
      <c r="H73" s="9"/>
    </row>
    <row r="74" spans="1:15" s="30" customFormat="1" ht="17.25" customHeight="1" x14ac:dyDescent="0.25">
      <c r="A74" s="6"/>
      <c r="B74" s="6"/>
      <c r="C74" s="7"/>
      <c r="D74" s="7"/>
      <c r="E74" s="7"/>
      <c r="F74" s="7"/>
      <c r="G74" s="7"/>
      <c r="H74" s="9"/>
    </row>
    <row r="75" spans="1:15" s="30" customFormat="1" ht="38.25" customHeight="1" x14ac:dyDescent="0.25">
      <c r="A75" s="6"/>
      <c r="B75" s="6"/>
      <c r="C75" s="7"/>
      <c r="D75" s="7"/>
      <c r="E75" s="7"/>
      <c r="F75" s="7"/>
      <c r="G75" s="7"/>
      <c r="H75" s="9"/>
      <c r="L75" s="33"/>
    </row>
    <row r="76" spans="1:15" ht="36" customHeight="1" x14ac:dyDescent="0.25"/>
    <row r="77" spans="1:15" s="9" customFormat="1" ht="36" customHeight="1" x14ac:dyDescent="0.25">
      <c r="A77" s="6"/>
      <c r="B77" s="6"/>
      <c r="C77" s="7"/>
      <c r="D77" s="7"/>
      <c r="E77" s="7"/>
      <c r="F77" s="7"/>
      <c r="G77" s="7"/>
      <c r="I77" s="6"/>
      <c r="J77" s="6"/>
      <c r="K77" s="6"/>
      <c r="L77" s="6"/>
      <c r="M77" s="6"/>
      <c r="N77" s="6"/>
      <c r="O77" s="6"/>
    </row>
  </sheetData>
  <mergeCells count="15">
    <mergeCell ref="A66:B66"/>
    <mergeCell ref="A67:B67"/>
    <mergeCell ref="A44:B44"/>
    <mergeCell ref="A64:B64"/>
    <mergeCell ref="A62:B62"/>
    <mergeCell ref="A56:G56"/>
    <mergeCell ref="L9:L10"/>
    <mergeCell ref="A57:G57"/>
    <mergeCell ref="A60:C60"/>
    <mergeCell ref="A63:C63"/>
    <mergeCell ref="A1:C5"/>
    <mergeCell ref="F1:H5"/>
    <mergeCell ref="A7:H7"/>
    <mergeCell ref="B8:H8"/>
    <mergeCell ref="A42:H42"/>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view="pageBreakPreview" zoomScale="90" zoomScaleNormal="70" zoomScaleSheetLayoutView="90" workbookViewId="0">
      <selection activeCell="C13" sqref="C13:C14"/>
    </sheetView>
  </sheetViews>
  <sheetFormatPr defaultRowHeight="15.75" x14ac:dyDescent="0.25"/>
  <cols>
    <col min="1" max="1" width="7.5703125" style="6" customWidth="1"/>
    <col min="2" max="2" width="72.28515625" style="6" customWidth="1"/>
    <col min="3" max="3" width="16.7109375" style="7" customWidth="1"/>
    <col min="4" max="4" width="15.85546875" style="7" customWidth="1"/>
    <col min="5" max="5" width="14.5703125" style="7" customWidth="1"/>
    <col min="6" max="7" width="18.7109375" style="7" customWidth="1"/>
    <col min="8" max="8" width="20" style="7" customWidth="1"/>
    <col min="9" max="9" width="18.7109375" style="7" customWidth="1"/>
    <col min="10" max="10" width="20" style="7" customWidth="1"/>
    <col min="11" max="11" width="19.42578125" style="9" customWidth="1"/>
    <col min="12" max="12" width="17.5703125" style="6" customWidth="1"/>
    <col min="13" max="13" width="14.42578125" style="6" customWidth="1"/>
    <col min="14" max="14" width="17.85546875" style="6" customWidth="1"/>
    <col min="15" max="15" width="13.28515625" style="6" bestFit="1" customWidth="1"/>
    <col min="16" max="16" width="11.5703125" style="6" bestFit="1" customWidth="1"/>
    <col min="17" max="17" width="11.28515625" style="6" bestFit="1" customWidth="1"/>
    <col min="18" max="16384" width="9.140625" style="6"/>
  </cols>
  <sheetData>
    <row r="1" spans="1:15" s="39" customFormat="1" ht="15.75" customHeight="1" x14ac:dyDescent="0.25">
      <c r="A1" s="492" t="s">
        <v>230</v>
      </c>
      <c r="B1" s="492"/>
      <c r="C1" s="492"/>
      <c r="D1" s="32"/>
      <c r="E1" s="32"/>
      <c r="F1" s="505" t="s">
        <v>229</v>
      </c>
      <c r="G1" s="505"/>
      <c r="H1" s="505"/>
      <c r="I1" s="505"/>
      <c r="J1" s="505"/>
      <c r="K1" s="505"/>
    </row>
    <row r="2" spans="1:15" s="39" customFormat="1" ht="23.25" customHeight="1" x14ac:dyDescent="0.2">
      <c r="A2" s="492"/>
      <c r="B2" s="492"/>
      <c r="C2" s="492"/>
      <c r="D2" s="38"/>
      <c r="E2" s="38"/>
      <c r="F2" s="505"/>
      <c r="G2" s="505"/>
      <c r="H2" s="505"/>
      <c r="I2" s="505"/>
      <c r="J2" s="505"/>
      <c r="K2" s="505"/>
    </row>
    <row r="3" spans="1:15" s="39" customFormat="1" ht="22.5" customHeight="1" x14ac:dyDescent="0.25">
      <c r="A3" s="492"/>
      <c r="B3" s="492"/>
      <c r="C3" s="492"/>
      <c r="D3" s="40"/>
      <c r="E3" s="40"/>
      <c r="F3" s="505"/>
      <c r="G3" s="505"/>
      <c r="H3" s="505"/>
      <c r="I3" s="505"/>
      <c r="J3" s="505"/>
      <c r="K3" s="505"/>
    </row>
    <row r="4" spans="1:15" s="39" customFormat="1" ht="21" customHeight="1" x14ac:dyDescent="0.2">
      <c r="A4" s="492"/>
      <c r="B4" s="492"/>
      <c r="C4" s="492"/>
      <c r="D4" s="38"/>
      <c r="E4" s="38"/>
      <c r="F4" s="505"/>
      <c r="G4" s="505"/>
      <c r="H4" s="505"/>
      <c r="I4" s="505"/>
      <c r="J4" s="505"/>
      <c r="K4" s="505"/>
    </row>
    <row r="5" spans="1:15" s="39" customFormat="1" ht="33.75" customHeight="1" x14ac:dyDescent="0.2">
      <c r="A5" s="492"/>
      <c r="B5" s="492"/>
      <c r="C5" s="492"/>
      <c r="D5" s="38"/>
      <c r="E5" s="38"/>
      <c r="F5" s="505"/>
      <c r="G5" s="505"/>
      <c r="H5" s="505"/>
      <c r="I5" s="505"/>
      <c r="J5" s="505"/>
      <c r="K5" s="505"/>
    </row>
    <row r="6" spans="1:15" s="39" customFormat="1" ht="19.5" customHeight="1" x14ac:dyDescent="0.2">
      <c r="A6" s="41"/>
      <c r="B6" s="41"/>
      <c r="C6" s="41"/>
      <c r="D6" s="38"/>
      <c r="E6" s="38"/>
      <c r="F6" s="28"/>
      <c r="G6" s="28"/>
      <c r="H6" s="28"/>
      <c r="I6" s="28"/>
      <c r="J6" s="28"/>
      <c r="K6" s="28"/>
    </row>
    <row r="7" spans="1:15" s="30" customFormat="1" ht="37.5" customHeight="1" x14ac:dyDescent="0.25">
      <c r="A7" s="494" t="s">
        <v>124</v>
      </c>
      <c r="B7" s="495"/>
      <c r="C7" s="495"/>
      <c r="D7" s="495"/>
      <c r="E7" s="495"/>
      <c r="F7" s="495"/>
      <c r="G7" s="495"/>
      <c r="H7" s="495"/>
      <c r="I7" s="495"/>
      <c r="J7" s="495"/>
      <c r="K7" s="496"/>
    </row>
    <row r="8" spans="1:15" ht="18" customHeight="1" x14ac:dyDescent="0.25">
      <c r="A8" s="326"/>
      <c r="B8" s="507"/>
      <c r="C8" s="507"/>
      <c r="D8" s="507"/>
      <c r="E8" s="507"/>
      <c r="F8" s="507"/>
      <c r="G8" s="507"/>
      <c r="H8" s="507"/>
      <c r="I8" s="507"/>
      <c r="J8" s="507"/>
      <c r="K8" s="507"/>
    </row>
    <row r="9" spans="1:15" ht="23.25" customHeight="1" x14ac:dyDescent="0.25">
      <c r="H9" s="121">
        <v>1.0780000000000001</v>
      </c>
      <c r="I9" s="121"/>
      <c r="J9" s="121">
        <v>1.0529999999999999</v>
      </c>
      <c r="K9" s="26" t="s">
        <v>9</v>
      </c>
      <c r="O9" s="508"/>
    </row>
    <row r="10" spans="1:15" ht="138" customHeight="1" x14ac:dyDescent="0.25">
      <c r="A10" s="1" t="s">
        <v>0</v>
      </c>
      <c r="B10" s="2" t="s">
        <v>1</v>
      </c>
      <c r="C10" s="5" t="s">
        <v>233</v>
      </c>
      <c r="D10" s="5" t="s">
        <v>6</v>
      </c>
      <c r="E10" s="5" t="s">
        <v>10</v>
      </c>
      <c r="F10" s="5" t="s">
        <v>241</v>
      </c>
      <c r="G10" s="5" t="s">
        <v>234</v>
      </c>
      <c r="H10" s="327" t="s">
        <v>175</v>
      </c>
      <c r="I10" s="5" t="s">
        <v>242</v>
      </c>
      <c r="J10" s="327" t="s">
        <v>246</v>
      </c>
      <c r="K10" s="328" t="s">
        <v>57</v>
      </c>
      <c r="O10" s="508"/>
    </row>
    <row r="11" spans="1:15" ht="18" customHeight="1" x14ac:dyDescent="0.25">
      <c r="A11" s="11">
        <v>1</v>
      </c>
      <c r="B11" s="11">
        <v>2</v>
      </c>
      <c r="C11" s="11">
        <v>3</v>
      </c>
      <c r="D11" s="11">
        <v>4</v>
      </c>
      <c r="E11" s="11">
        <v>5</v>
      </c>
      <c r="F11" s="11">
        <v>6</v>
      </c>
      <c r="G11" s="11">
        <v>7</v>
      </c>
      <c r="H11" s="211">
        <v>8</v>
      </c>
      <c r="I11" s="11">
        <v>9</v>
      </c>
      <c r="J11" s="211">
        <v>10</v>
      </c>
      <c r="K11" s="11">
        <v>11</v>
      </c>
    </row>
    <row r="12" spans="1:15" ht="22.5" customHeight="1" x14ac:dyDescent="0.25">
      <c r="A12" s="43"/>
      <c r="B12" s="20" t="s">
        <v>2</v>
      </c>
      <c r="C12" s="14"/>
      <c r="D12" s="14"/>
      <c r="E12" s="14"/>
      <c r="F12" s="329"/>
      <c r="G12" s="329"/>
      <c r="H12" s="212"/>
      <c r="I12" s="14"/>
      <c r="J12" s="212"/>
      <c r="K12" s="31"/>
    </row>
    <row r="13" spans="1:15" ht="35.25" customHeight="1" x14ac:dyDescent="0.25">
      <c r="A13" s="11">
        <v>1</v>
      </c>
      <c r="B13" s="10" t="s">
        <v>161</v>
      </c>
      <c r="C13" s="14">
        <v>148.22</v>
      </c>
      <c r="D13" s="329"/>
      <c r="E13" s="329"/>
      <c r="F13" s="329"/>
      <c r="G13" s="14">
        <f>C13</f>
        <v>148.22</v>
      </c>
      <c r="H13" s="212">
        <f>G13*H9</f>
        <v>159.78</v>
      </c>
      <c r="I13" s="14">
        <v>0</v>
      </c>
      <c r="J13" s="212">
        <v>0</v>
      </c>
      <c r="K13" s="27">
        <f t="shared" ref="K13:K33" si="0">H13+J13</f>
        <v>159.78</v>
      </c>
    </row>
    <row r="14" spans="1:15" ht="33" customHeight="1" x14ac:dyDescent="0.25">
      <c r="A14" s="11">
        <v>2</v>
      </c>
      <c r="B14" s="10" t="s">
        <v>231</v>
      </c>
      <c r="C14" s="14">
        <v>108.42</v>
      </c>
      <c r="D14" s="329"/>
      <c r="E14" s="329"/>
      <c r="F14" s="329"/>
      <c r="G14" s="14">
        <f>C14</f>
        <v>108.42</v>
      </c>
      <c r="H14" s="212">
        <f>G14*H9</f>
        <v>116.88</v>
      </c>
      <c r="I14" s="14">
        <v>0</v>
      </c>
      <c r="J14" s="212">
        <v>0</v>
      </c>
      <c r="K14" s="27">
        <f t="shared" si="0"/>
        <v>116.88</v>
      </c>
    </row>
    <row r="15" spans="1:15" ht="24" customHeight="1" x14ac:dyDescent="0.25">
      <c r="A15" s="11">
        <v>3</v>
      </c>
      <c r="B15" s="10" t="s">
        <v>78</v>
      </c>
      <c r="C15" s="83">
        <v>9738.98</v>
      </c>
      <c r="D15" s="84"/>
      <c r="E15" s="84"/>
      <c r="F15" s="84"/>
      <c r="G15" s="84"/>
      <c r="H15" s="215"/>
      <c r="I15" s="4">
        <f t="shared" ref="I15:I24" si="1">C15-G15</f>
        <v>9738.98</v>
      </c>
      <c r="J15" s="215">
        <f>I15*H9*J9</f>
        <v>11055.05</v>
      </c>
      <c r="K15" s="27">
        <f t="shared" si="0"/>
        <v>11055.05</v>
      </c>
    </row>
    <row r="16" spans="1:15" ht="24" customHeight="1" x14ac:dyDescent="0.25">
      <c r="A16" s="11">
        <v>4</v>
      </c>
      <c r="B16" s="10" t="s">
        <v>356</v>
      </c>
      <c r="C16" s="83">
        <v>21510.28</v>
      </c>
      <c r="D16" s="84"/>
      <c r="E16" s="84"/>
      <c r="F16" s="84"/>
      <c r="G16" s="84"/>
      <c r="H16" s="215"/>
      <c r="I16" s="4">
        <f t="shared" si="1"/>
        <v>21510.28</v>
      </c>
      <c r="J16" s="215">
        <f>I16*J9</f>
        <v>22650.32</v>
      </c>
      <c r="K16" s="4">
        <f t="shared" si="0"/>
        <v>22650.32</v>
      </c>
    </row>
    <row r="17" spans="1:14" ht="24" customHeight="1" x14ac:dyDescent="0.25">
      <c r="A17" s="11">
        <v>5</v>
      </c>
      <c r="B17" s="10" t="s">
        <v>357</v>
      </c>
      <c r="C17" s="83">
        <v>-1270.08</v>
      </c>
      <c r="D17" s="84"/>
      <c r="E17" s="84"/>
      <c r="F17" s="84"/>
      <c r="G17" s="84"/>
      <c r="H17" s="215"/>
      <c r="I17" s="4">
        <f t="shared" si="1"/>
        <v>-1270.08</v>
      </c>
      <c r="J17" s="215">
        <f>I17*H9*J9</f>
        <v>-1441.71</v>
      </c>
      <c r="K17" s="27">
        <f t="shared" si="0"/>
        <v>-1441.71</v>
      </c>
    </row>
    <row r="18" spans="1:14" ht="24" customHeight="1" x14ac:dyDescent="0.25">
      <c r="A18" s="11">
        <v>6</v>
      </c>
      <c r="B18" s="10" t="s">
        <v>155</v>
      </c>
      <c r="C18" s="83">
        <v>341.96</v>
      </c>
      <c r="D18" s="84"/>
      <c r="E18" s="84"/>
      <c r="F18" s="84"/>
      <c r="G18" s="84"/>
      <c r="H18" s="215"/>
      <c r="I18" s="4">
        <f t="shared" si="1"/>
        <v>341.96</v>
      </c>
      <c r="J18" s="215">
        <f>I18*H9*J9</f>
        <v>388.17</v>
      </c>
      <c r="K18" s="27">
        <f t="shared" si="0"/>
        <v>388.17</v>
      </c>
    </row>
    <row r="19" spans="1:14" ht="20.25" customHeight="1" x14ac:dyDescent="0.25">
      <c r="A19" s="11">
        <v>7</v>
      </c>
      <c r="B19" s="10" t="s">
        <v>156</v>
      </c>
      <c r="C19" s="83">
        <v>800.27</v>
      </c>
      <c r="D19" s="84"/>
      <c r="E19" s="84"/>
      <c r="F19" s="84"/>
      <c r="G19" s="84"/>
      <c r="H19" s="215"/>
      <c r="I19" s="4">
        <f t="shared" si="1"/>
        <v>800.27</v>
      </c>
      <c r="J19" s="215">
        <f>I19*H9*J9</f>
        <v>908.41</v>
      </c>
      <c r="K19" s="27">
        <f t="shared" si="0"/>
        <v>908.41</v>
      </c>
    </row>
    <row r="20" spans="1:14" ht="21" customHeight="1" x14ac:dyDescent="0.25">
      <c r="A20" s="11">
        <v>8</v>
      </c>
      <c r="B20" s="10" t="s">
        <v>88</v>
      </c>
      <c r="C20" s="83">
        <v>1477.68</v>
      </c>
      <c r="D20" s="84"/>
      <c r="E20" s="84"/>
      <c r="F20" s="84"/>
      <c r="G20" s="84"/>
      <c r="H20" s="215"/>
      <c r="I20" s="4">
        <f t="shared" si="1"/>
        <v>1477.68</v>
      </c>
      <c r="J20" s="215">
        <f>I20*H9*J9</f>
        <v>1677.36</v>
      </c>
      <c r="K20" s="27">
        <f t="shared" si="0"/>
        <v>1677.36</v>
      </c>
    </row>
    <row r="21" spans="1:14" ht="23.25" customHeight="1" x14ac:dyDescent="0.25">
      <c r="A21" s="11">
        <v>9</v>
      </c>
      <c r="B21" s="10" t="s">
        <v>157</v>
      </c>
      <c r="C21" s="83">
        <v>1856.45</v>
      </c>
      <c r="D21" s="84"/>
      <c r="E21" s="84"/>
      <c r="F21" s="84"/>
      <c r="G21" s="84"/>
      <c r="H21" s="215"/>
      <c r="I21" s="4">
        <f t="shared" si="1"/>
        <v>1856.45</v>
      </c>
      <c r="J21" s="215">
        <f>I21*H9*J9</f>
        <v>2107.3200000000002</v>
      </c>
      <c r="K21" s="27">
        <f t="shared" si="0"/>
        <v>2107.3200000000002</v>
      </c>
    </row>
    <row r="22" spans="1:14" ht="24" customHeight="1" x14ac:dyDescent="0.25">
      <c r="A22" s="11">
        <v>10</v>
      </c>
      <c r="B22" s="10" t="s">
        <v>245</v>
      </c>
      <c r="C22" s="83">
        <v>412.13</v>
      </c>
      <c r="D22" s="84"/>
      <c r="E22" s="84"/>
      <c r="F22" s="84"/>
      <c r="G22" s="4">
        <f>(G13+G14)*0.012</f>
        <v>3.08</v>
      </c>
      <c r="H22" s="215">
        <f>G22*H9</f>
        <v>3.32</v>
      </c>
      <c r="I22" s="4">
        <f t="shared" si="1"/>
        <v>409.05</v>
      </c>
      <c r="J22" s="215">
        <f>I22*H9*J9</f>
        <v>464.33</v>
      </c>
      <c r="K22" s="27">
        <f t="shared" si="0"/>
        <v>467.65</v>
      </c>
    </row>
    <row r="23" spans="1:14" ht="33.75" customHeight="1" x14ac:dyDescent="0.25">
      <c r="A23" s="11">
        <v>11</v>
      </c>
      <c r="B23" s="10" t="s">
        <v>171</v>
      </c>
      <c r="C23" s="83">
        <v>0.59</v>
      </c>
      <c r="D23" s="84"/>
      <c r="E23" s="84"/>
      <c r="F23" s="84"/>
      <c r="G23" s="84"/>
      <c r="H23" s="215"/>
      <c r="I23" s="4">
        <f t="shared" si="1"/>
        <v>0.59</v>
      </c>
      <c r="J23" s="215">
        <f>I23*H9*J9</f>
        <v>0.67</v>
      </c>
      <c r="K23" s="27">
        <f t="shared" si="0"/>
        <v>0.67</v>
      </c>
    </row>
    <row r="24" spans="1:14" ht="26.25" customHeight="1" x14ac:dyDescent="0.25">
      <c r="A24" s="11">
        <v>12</v>
      </c>
      <c r="B24" s="10" t="s">
        <v>158</v>
      </c>
      <c r="C24" s="83">
        <v>7.0000000000000007E-2</v>
      </c>
      <c r="D24" s="84"/>
      <c r="E24" s="84"/>
      <c r="F24" s="84"/>
      <c r="G24" s="84"/>
      <c r="H24" s="215"/>
      <c r="I24" s="4">
        <f t="shared" si="1"/>
        <v>7.0000000000000007E-2</v>
      </c>
      <c r="J24" s="215">
        <f>I24*H9*J9</f>
        <v>0.08</v>
      </c>
      <c r="K24" s="27">
        <f t="shared" si="0"/>
        <v>0.08</v>
      </c>
      <c r="M24" s="9">
        <f>SUM(K13:K24)</f>
        <v>38089.980000000003</v>
      </c>
    </row>
    <row r="25" spans="1:14" ht="19.5" customHeight="1" x14ac:dyDescent="0.25">
      <c r="A25" s="11"/>
      <c r="B25" s="20" t="s">
        <v>232</v>
      </c>
      <c r="C25" s="3">
        <f>ROUND(SUM(C13:C24),2)</f>
        <v>35124.97</v>
      </c>
      <c r="D25" s="3">
        <v>0</v>
      </c>
      <c r="E25" s="3">
        <v>0</v>
      </c>
      <c r="F25" s="3">
        <f>C25-D25</f>
        <v>35124.97</v>
      </c>
      <c r="G25" s="3">
        <f>SUM(G13:G24)</f>
        <v>259.72000000000003</v>
      </c>
      <c r="H25" s="207">
        <f>SUM(H13:H24)</f>
        <v>279.98</v>
      </c>
      <c r="I25" s="3">
        <f t="shared" ref="I25:I33" si="2">F25-G25</f>
        <v>34865.25</v>
      </c>
      <c r="J25" s="207">
        <f>SUM(J13:J24)</f>
        <v>37810</v>
      </c>
      <c r="K25" s="344">
        <f>H25+J25</f>
        <v>38089.980000000003</v>
      </c>
      <c r="L25" s="9">
        <f>SUM(I13:I24)</f>
        <v>34865.25</v>
      </c>
      <c r="M25" s="9">
        <f>L25-I25</f>
        <v>0</v>
      </c>
      <c r="N25" s="9">
        <f>SUM(C13:C24)</f>
        <v>35124.97</v>
      </c>
    </row>
    <row r="26" spans="1:14" ht="22.5" customHeight="1" x14ac:dyDescent="0.25">
      <c r="A26" s="11">
        <v>13</v>
      </c>
      <c r="B26" s="12" t="s">
        <v>7</v>
      </c>
      <c r="C26" s="83">
        <f>ROUND(C25*2%,2)</f>
        <v>702.5</v>
      </c>
      <c r="D26" s="83">
        <f>(D25-D15)*2%</f>
        <v>0</v>
      </c>
      <c r="E26" s="83">
        <v>0</v>
      </c>
      <c r="F26" s="4">
        <f>C26-D26</f>
        <v>702.5</v>
      </c>
      <c r="G26" s="4">
        <f>ROUND(G25*2%,2)</f>
        <v>5.19</v>
      </c>
      <c r="H26" s="215">
        <f>ROUND(H25*2%,2)</f>
        <v>5.6</v>
      </c>
      <c r="I26" s="4">
        <f t="shared" si="2"/>
        <v>697.31</v>
      </c>
      <c r="J26" s="215">
        <f>J25*0.02</f>
        <v>756.2</v>
      </c>
      <c r="K26" s="27">
        <f t="shared" si="0"/>
        <v>761.8</v>
      </c>
      <c r="L26" s="6">
        <f>F26*H9</f>
        <v>757.29499999999996</v>
      </c>
    </row>
    <row r="27" spans="1:14" s="205" customFormat="1" ht="21.75" customHeight="1" x14ac:dyDescent="0.25">
      <c r="A27" s="211"/>
      <c r="B27" s="202" t="s">
        <v>226</v>
      </c>
      <c r="C27" s="207">
        <f>ROUND(C25+C26,2)</f>
        <v>35827.47</v>
      </c>
      <c r="D27" s="207">
        <f>D25+D26</f>
        <v>0</v>
      </c>
      <c r="E27" s="207">
        <v>0</v>
      </c>
      <c r="F27" s="207">
        <f>C27-D27</f>
        <v>35827.47</v>
      </c>
      <c r="G27" s="207">
        <f>G25+G26</f>
        <v>264.91000000000003</v>
      </c>
      <c r="H27" s="207">
        <f>H25+H26</f>
        <v>285.58</v>
      </c>
      <c r="I27" s="207">
        <f t="shared" si="2"/>
        <v>35562.559999999998</v>
      </c>
      <c r="J27" s="207">
        <f>J25+J26</f>
        <v>38566.199999999997</v>
      </c>
      <c r="K27" s="345">
        <f t="shared" si="0"/>
        <v>38851.78</v>
      </c>
    </row>
    <row r="28" spans="1:14" ht="18.75" customHeight="1" x14ac:dyDescent="0.25">
      <c r="A28" s="11">
        <v>14</v>
      </c>
      <c r="B28" s="10" t="s">
        <v>159</v>
      </c>
      <c r="C28" s="83">
        <v>1813.5</v>
      </c>
      <c r="D28" s="83">
        <f>(D27-D19)*2%</f>
        <v>0</v>
      </c>
      <c r="E28" s="83">
        <f>(E27-E19)*2%</f>
        <v>0</v>
      </c>
      <c r="F28" s="83">
        <f>C28</f>
        <v>1813.5</v>
      </c>
      <c r="G28" s="83">
        <f>F28</f>
        <v>1813.5</v>
      </c>
      <c r="H28" s="215">
        <f>G28*H9</f>
        <v>1954.95</v>
      </c>
      <c r="I28" s="4">
        <f t="shared" si="2"/>
        <v>0</v>
      </c>
      <c r="J28" s="215">
        <v>0</v>
      </c>
      <c r="K28" s="27">
        <f t="shared" si="0"/>
        <v>1954.95</v>
      </c>
    </row>
    <row r="29" spans="1:14" s="205" customFormat="1" x14ac:dyDescent="0.25">
      <c r="A29" s="211"/>
      <c r="B29" s="202" t="s">
        <v>361</v>
      </c>
      <c r="C29" s="207">
        <f>C28</f>
        <v>1813.5</v>
      </c>
      <c r="D29" s="207">
        <v>0</v>
      </c>
      <c r="E29" s="207">
        <v>0</v>
      </c>
      <c r="F29" s="207">
        <f>C29</f>
        <v>1813.5</v>
      </c>
      <c r="G29" s="207">
        <f>G28</f>
        <v>1813.5</v>
      </c>
      <c r="H29" s="207">
        <f>H28</f>
        <v>1954.95</v>
      </c>
      <c r="I29" s="207">
        <f t="shared" si="2"/>
        <v>0</v>
      </c>
      <c r="J29" s="207">
        <f>J28</f>
        <v>0</v>
      </c>
      <c r="K29" s="345">
        <f t="shared" si="0"/>
        <v>1954.95</v>
      </c>
    </row>
    <row r="30" spans="1:14" s="205" customFormat="1" x14ac:dyDescent="0.25">
      <c r="A30" s="211"/>
      <c r="B30" s="202" t="s">
        <v>359</v>
      </c>
      <c r="C30" s="207">
        <f>C27+C29</f>
        <v>37640.97</v>
      </c>
      <c r="D30" s="207">
        <v>0</v>
      </c>
      <c r="E30" s="207">
        <v>0</v>
      </c>
      <c r="F30" s="207">
        <f>F27+F29</f>
        <v>37640.97</v>
      </c>
      <c r="G30" s="207">
        <f>G27+G29</f>
        <v>2078.41</v>
      </c>
      <c r="H30" s="207">
        <f>H27+H29</f>
        <v>2240.5300000000002</v>
      </c>
      <c r="I30" s="207">
        <f t="shared" si="2"/>
        <v>35562.559999999998</v>
      </c>
      <c r="J30" s="207">
        <f>J27+J29</f>
        <v>38566.199999999997</v>
      </c>
      <c r="K30" s="345">
        <f t="shared" si="0"/>
        <v>40806.730000000003</v>
      </c>
      <c r="L30" s="208">
        <f>K27+K29</f>
        <v>40806.730000000003</v>
      </c>
    </row>
    <row r="31" spans="1:14" ht="24" customHeight="1" x14ac:dyDescent="0.25">
      <c r="A31" s="330"/>
      <c r="B31" s="22" t="s">
        <v>27</v>
      </c>
      <c r="C31" s="218">
        <f>(C27+C29)</f>
        <v>37640.97</v>
      </c>
      <c r="D31" s="218">
        <f>D27</f>
        <v>0</v>
      </c>
      <c r="E31" s="218">
        <f>E27</f>
        <v>0</v>
      </c>
      <c r="F31" s="13">
        <f>C31-D31</f>
        <v>37640.97</v>
      </c>
      <c r="G31" s="13">
        <f>G30</f>
        <v>2078.41</v>
      </c>
      <c r="H31" s="331">
        <f>H30</f>
        <v>2240.5300000000002</v>
      </c>
      <c r="I31" s="3">
        <f t="shared" si="2"/>
        <v>35562.559999999998</v>
      </c>
      <c r="J31" s="331">
        <f>J30</f>
        <v>38566.199999999997</v>
      </c>
      <c r="K31" s="346">
        <f t="shared" si="0"/>
        <v>40806.730000000003</v>
      </c>
      <c r="L31" s="6">
        <f>F31*H9</f>
        <v>40576.965660000002</v>
      </c>
      <c r="N31" s="16">
        <f>H27+H29+H32</f>
        <v>2688.64</v>
      </c>
    </row>
    <row r="32" spans="1:14" ht="20.25" customHeight="1" x14ac:dyDescent="0.25">
      <c r="A32" s="11"/>
      <c r="B32" s="12" t="s">
        <v>11</v>
      </c>
      <c r="C32" s="83">
        <f>ROUND(C31*20%,2)+0.01</f>
        <v>7528.2</v>
      </c>
      <c r="D32" s="83">
        <v>0</v>
      </c>
      <c r="E32" s="83">
        <v>0</v>
      </c>
      <c r="F32" s="4">
        <f>C32-D32</f>
        <v>7528.2</v>
      </c>
      <c r="G32" s="4">
        <f>ROUND(G31*20%,2)</f>
        <v>415.68</v>
      </c>
      <c r="H32" s="215">
        <f>ROUND(H31*20%,2)</f>
        <v>448.11</v>
      </c>
      <c r="I32" s="4">
        <f t="shared" si="2"/>
        <v>7112.52</v>
      </c>
      <c r="J32" s="215">
        <f>ROUND(J31*20%,2)</f>
        <v>7713.24</v>
      </c>
      <c r="K32" s="27">
        <f t="shared" si="0"/>
        <v>8161.35</v>
      </c>
      <c r="M32" s="16">
        <f>G30+G32</f>
        <v>2494.09</v>
      </c>
    </row>
    <row r="33" spans="1:13" s="18" customFormat="1" ht="23.25" customHeight="1" x14ac:dyDescent="0.25">
      <c r="A33" s="92"/>
      <c r="B33" s="23" t="s">
        <v>3</v>
      </c>
      <c r="C33" s="90">
        <f>C27+C29+C32</f>
        <v>45169.17</v>
      </c>
      <c r="D33" s="90">
        <v>0</v>
      </c>
      <c r="E33" s="90">
        <v>0</v>
      </c>
      <c r="F33" s="90">
        <f>C33-D33</f>
        <v>45169.17</v>
      </c>
      <c r="G33" s="90">
        <f>G27+G29+G32</f>
        <v>2494.09</v>
      </c>
      <c r="H33" s="90">
        <f>H30+H32</f>
        <v>2688.64</v>
      </c>
      <c r="I33" s="90">
        <f t="shared" si="2"/>
        <v>42675.08</v>
      </c>
      <c r="J33" s="90">
        <f>J30+J32</f>
        <v>46279.44</v>
      </c>
      <c r="K33" s="90">
        <f t="shared" si="0"/>
        <v>48968.08</v>
      </c>
      <c r="L33" s="16"/>
      <c r="M33" s="9"/>
    </row>
    <row r="34" spans="1:13" ht="21.75" customHeight="1" x14ac:dyDescent="0.25">
      <c r="A34" s="11"/>
      <c r="B34" s="21" t="s">
        <v>4</v>
      </c>
      <c r="C34" s="14"/>
      <c r="D34" s="87"/>
      <c r="E34" s="87"/>
      <c r="F34" s="87"/>
      <c r="G34" s="87"/>
      <c r="H34" s="217"/>
      <c r="I34" s="86"/>
      <c r="J34" s="217"/>
      <c r="K34" s="37"/>
    </row>
    <row r="35" spans="1:13" s="30" customFormat="1" ht="24.75" customHeight="1" x14ac:dyDescent="0.25">
      <c r="A35" s="11">
        <v>1</v>
      </c>
      <c r="B35" s="10" t="s">
        <v>360</v>
      </c>
      <c r="C35" s="14">
        <f>751.67</f>
        <v>751.67</v>
      </c>
      <c r="D35" s="79">
        <v>0</v>
      </c>
      <c r="E35" s="79">
        <f>C35-F35</f>
        <v>681.42</v>
      </c>
      <c r="F35" s="79">
        <f>F25*0.002</f>
        <v>70.25</v>
      </c>
      <c r="G35" s="79">
        <f>G25*0.002</f>
        <v>0.52</v>
      </c>
      <c r="H35" s="215">
        <f>H25*0.002</f>
        <v>0.56000000000000005</v>
      </c>
      <c r="I35" s="4">
        <f>F35-G35</f>
        <v>69.73</v>
      </c>
      <c r="J35" s="215">
        <f>J25*0.002</f>
        <v>75.62</v>
      </c>
      <c r="K35" s="27">
        <f>H35+J35</f>
        <v>76.180000000000007</v>
      </c>
      <c r="M35" s="30">
        <v>29.28378</v>
      </c>
    </row>
    <row r="36" spans="1:13" ht="31.5" customHeight="1" x14ac:dyDescent="0.25">
      <c r="A36" s="11">
        <v>2</v>
      </c>
      <c r="B36" s="10" t="s">
        <v>358</v>
      </c>
      <c r="C36" s="83">
        <v>28</v>
      </c>
      <c r="D36" s="79">
        <f t="shared" ref="D36:D43" si="3">C36</f>
        <v>28</v>
      </c>
      <c r="E36" s="79">
        <v>0</v>
      </c>
      <c r="F36" s="79">
        <v>0</v>
      </c>
      <c r="G36" s="79">
        <v>0</v>
      </c>
      <c r="H36" s="215">
        <f>C36-D36</f>
        <v>0</v>
      </c>
      <c r="I36" s="79">
        <v>0</v>
      </c>
      <c r="J36" s="215">
        <v>0</v>
      </c>
      <c r="K36" s="79">
        <v>0</v>
      </c>
    </row>
    <row r="37" spans="1:13" ht="36" customHeight="1" x14ac:dyDescent="0.25">
      <c r="A37" s="11">
        <v>3</v>
      </c>
      <c r="B37" s="10" t="s">
        <v>368</v>
      </c>
      <c r="C37" s="83">
        <v>16</v>
      </c>
      <c r="D37" s="79">
        <f t="shared" si="3"/>
        <v>16</v>
      </c>
      <c r="E37" s="79">
        <v>0</v>
      </c>
      <c r="F37" s="79">
        <v>0</v>
      </c>
      <c r="G37" s="79">
        <v>0</v>
      </c>
      <c r="H37" s="215">
        <f>C37-D37</f>
        <v>0</v>
      </c>
      <c r="I37" s="79">
        <v>0</v>
      </c>
      <c r="J37" s="215">
        <v>0</v>
      </c>
      <c r="K37" s="79">
        <v>0</v>
      </c>
    </row>
    <row r="38" spans="1:13" ht="30.75" customHeight="1" x14ac:dyDescent="0.25">
      <c r="A38" s="11">
        <v>4</v>
      </c>
      <c r="B38" s="10" t="s">
        <v>237</v>
      </c>
      <c r="C38" s="79">
        <v>581.04</v>
      </c>
      <c r="D38" s="79">
        <f t="shared" si="3"/>
        <v>581.04</v>
      </c>
      <c r="E38" s="79">
        <v>0</v>
      </c>
      <c r="F38" s="79">
        <f>C38-D38</f>
        <v>0</v>
      </c>
      <c r="G38" s="79">
        <v>0</v>
      </c>
      <c r="H38" s="215">
        <f>C38-D38</f>
        <v>0</v>
      </c>
      <c r="I38" s="4">
        <f t="shared" ref="I38:I45" si="4">F38-G38</f>
        <v>0</v>
      </c>
      <c r="J38" s="215">
        <v>0</v>
      </c>
      <c r="K38" s="27">
        <f t="shared" ref="K38:K49" si="5">H38+J38</f>
        <v>0</v>
      </c>
      <c r="L38" s="9" t="e">
        <f>C35+#REF!+#REF!+C28</f>
        <v>#REF!</v>
      </c>
      <c r="M38" s="6">
        <f>H25*0.2%</f>
        <v>0.55996000000000001</v>
      </c>
    </row>
    <row r="39" spans="1:13" ht="23.25" customHeight="1" x14ac:dyDescent="0.25">
      <c r="A39" s="11">
        <v>5</v>
      </c>
      <c r="B39" s="10" t="s">
        <v>172</v>
      </c>
      <c r="C39" s="83">
        <v>1197</v>
      </c>
      <c r="D39" s="4">
        <f t="shared" si="3"/>
        <v>1197</v>
      </c>
      <c r="E39" s="4">
        <v>0</v>
      </c>
      <c r="F39" s="4">
        <v>0</v>
      </c>
      <c r="G39" s="4">
        <v>0</v>
      </c>
      <c r="H39" s="215">
        <v>0</v>
      </c>
      <c r="I39" s="4">
        <f t="shared" si="4"/>
        <v>0</v>
      </c>
      <c r="J39" s="215">
        <v>0</v>
      </c>
      <c r="K39" s="27">
        <f t="shared" si="5"/>
        <v>0</v>
      </c>
      <c r="L39" s="6" t="e">
        <f>L38*0.2</f>
        <v>#REF!</v>
      </c>
    </row>
    <row r="40" spans="1:13" ht="34.5" customHeight="1" x14ac:dyDescent="0.25">
      <c r="A40" s="11">
        <v>6</v>
      </c>
      <c r="B40" s="10" t="s">
        <v>364</v>
      </c>
      <c r="C40" s="83">
        <v>610.41999999999996</v>
      </c>
      <c r="D40" s="4">
        <f t="shared" si="3"/>
        <v>610.41999999999996</v>
      </c>
      <c r="E40" s="4">
        <v>0</v>
      </c>
      <c r="F40" s="4">
        <v>0</v>
      </c>
      <c r="G40" s="4">
        <v>0</v>
      </c>
      <c r="H40" s="215">
        <v>0</v>
      </c>
      <c r="I40" s="4">
        <f t="shared" si="4"/>
        <v>0</v>
      </c>
      <c r="J40" s="215">
        <v>0</v>
      </c>
      <c r="K40" s="27">
        <f t="shared" si="5"/>
        <v>0</v>
      </c>
      <c r="M40" s="16" t="e">
        <f>C45+#REF!+C26</f>
        <v>#REF!</v>
      </c>
    </row>
    <row r="41" spans="1:13" ht="23.25" customHeight="1" x14ac:dyDescent="0.25">
      <c r="A41" s="11">
        <v>7</v>
      </c>
      <c r="B41" s="10" t="s">
        <v>362</v>
      </c>
      <c r="C41" s="83">
        <v>1500</v>
      </c>
      <c r="D41" s="4">
        <f t="shared" si="3"/>
        <v>1500</v>
      </c>
      <c r="E41" s="4">
        <v>0</v>
      </c>
      <c r="F41" s="4">
        <v>0</v>
      </c>
      <c r="G41" s="4">
        <v>0</v>
      </c>
      <c r="H41" s="215">
        <v>0</v>
      </c>
      <c r="I41" s="4">
        <f t="shared" si="4"/>
        <v>0</v>
      </c>
      <c r="J41" s="215">
        <v>0</v>
      </c>
      <c r="K41" s="27">
        <f t="shared" si="5"/>
        <v>0</v>
      </c>
      <c r="M41" s="16"/>
    </row>
    <row r="42" spans="1:13" ht="20.25" customHeight="1" x14ac:dyDescent="0.25">
      <c r="A42" s="11">
        <v>8</v>
      </c>
      <c r="B42" s="10" t="s">
        <v>363</v>
      </c>
      <c r="C42" s="83">
        <v>598.29999999999995</v>
      </c>
      <c r="D42" s="4">
        <f t="shared" si="3"/>
        <v>598.29999999999995</v>
      </c>
      <c r="E42" s="4">
        <v>0</v>
      </c>
      <c r="F42" s="4">
        <v>0</v>
      </c>
      <c r="G42" s="4">
        <v>0</v>
      </c>
      <c r="H42" s="215">
        <v>0</v>
      </c>
      <c r="I42" s="4">
        <f t="shared" si="4"/>
        <v>0</v>
      </c>
      <c r="J42" s="215">
        <v>0</v>
      </c>
      <c r="K42" s="27">
        <f t="shared" si="5"/>
        <v>0</v>
      </c>
      <c r="M42" s="16"/>
    </row>
    <row r="43" spans="1:13" ht="38.25" customHeight="1" x14ac:dyDescent="0.25">
      <c r="A43" s="11">
        <v>9</v>
      </c>
      <c r="B43" s="10" t="s">
        <v>238</v>
      </c>
      <c r="C43" s="83">
        <v>200.35</v>
      </c>
      <c r="D43" s="4">
        <f t="shared" si="3"/>
        <v>200.35</v>
      </c>
      <c r="E43" s="4">
        <v>0</v>
      </c>
      <c r="F43" s="4">
        <v>0</v>
      </c>
      <c r="G43" s="4">
        <v>0</v>
      </c>
      <c r="H43" s="215">
        <v>0</v>
      </c>
      <c r="I43" s="4">
        <f t="shared" si="4"/>
        <v>0</v>
      </c>
      <c r="J43" s="215">
        <v>0</v>
      </c>
      <c r="K43" s="27">
        <f t="shared" si="5"/>
        <v>0</v>
      </c>
    </row>
    <row r="44" spans="1:13" ht="21" customHeight="1" x14ac:dyDescent="0.25">
      <c r="A44" s="11"/>
      <c r="B44" s="20" t="s">
        <v>365</v>
      </c>
      <c r="C44" s="3">
        <f>ROUND(SUM(C35:C43),2)</f>
        <v>5482.78</v>
      </c>
      <c r="D44" s="3">
        <f>SUM(D35:D43)</f>
        <v>4731.1099999999997</v>
      </c>
      <c r="E44" s="3">
        <f>SUM(E35:E43)</f>
        <v>681.42</v>
      </c>
      <c r="F44" s="3">
        <f>C44-D44-E44</f>
        <v>70.25</v>
      </c>
      <c r="G44" s="3">
        <f>SUM(G35:G43)</f>
        <v>0.52</v>
      </c>
      <c r="H44" s="207">
        <f>SUM(H35:H43)</f>
        <v>0.56000000000000005</v>
      </c>
      <c r="I44" s="3">
        <f t="shared" si="4"/>
        <v>69.73</v>
      </c>
      <c r="J44" s="207">
        <f>SUM(J35:J43)</f>
        <v>75.62</v>
      </c>
      <c r="K44" s="344">
        <f t="shared" si="5"/>
        <v>76.180000000000007</v>
      </c>
      <c r="L44" s="16"/>
      <c r="M44" s="16">
        <f>C25+C29+C44</f>
        <v>42421.25</v>
      </c>
    </row>
    <row r="45" spans="1:13" ht="22.5" customHeight="1" x14ac:dyDescent="0.25">
      <c r="A45" s="11" t="s">
        <v>366</v>
      </c>
      <c r="B45" s="12" t="s">
        <v>132</v>
      </c>
      <c r="C45" s="83">
        <f>ROUND(C44*2%,2)+ROUND(C28*2%,2)-0.01</f>
        <v>145.91999999999999</v>
      </c>
      <c r="D45" s="83">
        <v>0</v>
      </c>
      <c r="E45" s="83">
        <v>0</v>
      </c>
      <c r="F45" s="4">
        <f>C45-D45-E45</f>
        <v>145.91999999999999</v>
      </c>
      <c r="G45" s="4">
        <f>F45/2</f>
        <v>72.959999999999994</v>
      </c>
      <c r="H45" s="215">
        <f>G45*H9</f>
        <v>78.650000000000006</v>
      </c>
      <c r="I45" s="4">
        <f t="shared" si="4"/>
        <v>72.959999999999994</v>
      </c>
      <c r="J45" s="215">
        <f>I45*H9*J9</f>
        <v>82.82</v>
      </c>
      <c r="K45" s="27">
        <f t="shared" si="5"/>
        <v>161.47</v>
      </c>
      <c r="L45" s="16"/>
      <c r="M45" s="16">
        <f>C26+C45</f>
        <v>848.42</v>
      </c>
    </row>
    <row r="46" spans="1:13" s="205" customFormat="1" ht="20.25" customHeight="1" x14ac:dyDescent="0.25">
      <c r="A46" s="332"/>
      <c r="B46" s="202" t="s">
        <v>367</v>
      </c>
      <c r="C46" s="207">
        <f>ROUND(SUM(C44:C45),2)</f>
        <v>5628.7</v>
      </c>
      <c r="D46" s="207">
        <f>D44+D45</f>
        <v>4731.1099999999997</v>
      </c>
      <c r="E46" s="207">
        <f>E44+E45</f>
        <v>681.42</v>
      </c>
      <c r="F46" s="207">
        <f>F44+F45</f>
        <v>216.17</v>
      </c>
      <c r="G46" s="207">
        <f>G44+G45</f>
        <v>73.48</v>
      </c>
      <c r="H46" s="207">
        <f>H44+H45</f>
        <v>79.209999999999994</v>
      </c>
      <c r="I46" s="207">
        <f>F46-G46</f>
        <v>142.69</v>
      </c>
      <c r="J46" s="207">
        <f>J44+J45</f>
        <v>158.44</v>
      </c>
      <c r="K46" s="345">
        <f t="shared" si="5"/>
        <v>237.65</v>
      </c>
      <c r="L46" s="208"/>
      <c r="M46" s="16">
        <f>C27+C28+C46</f>
        <v>43269.67</v>
      </c>
    </row>
    <row r="47" spans="1:13" ht="18" customHeight="1" x14ac:dyDescent="0.25">
      <c r="A47" s="333"/>
      <c r="B47" s="22" t="s">
        <v>136</v>
      </c>
      <c r="C47" s="13">
        <f>ROUND((C46-C36-C37-C41-C42),2)</f>
        <v>3486.4</v>
      </c>
      <c r="D47" s="13">
        <f>D46</f>
        <v>4731.1099999999997</v>
      </c>
      <c r="E47" s="13">
        <f>E46</f>
        <v>681.42</v>
      </c>
      <c r="F47" s="13">
        <f>F46</f>
        <v>216.17</v>
      </c>
      <c r="G47" s="13">
        <f>G46</f>
        <v>73.48</v>
      </c>
      <c r="H47" s="331">
        <f>H46</f>
        <v>79.209999999999994</v>
      </c>
      <c r="I47" s="218">
        <f>F47-G47</f>
        <v>142.69</v>
      </c>
      <c r="J47" s="331">
        <f>J46</f>
        <v>158.44</v>
      </c>
      <c r="K47" s="346">
        <f t="shared" si="5"/>
        <v>237.65</v>
      </c>
      <c r="L47" s="16"/>
      <c r="M47" s="9"/>
    </row>
    <row r="48" spans="1:13" ht="18" customHeight="1" x14ac:dyDescent="0.25">
      <c r="A48" s="43"/>
      <c r="B48" s="12" t="s">
        <v>11</v>
      </c>
      <c r="C48" s="83">
        <f>ROUND(C47*20%,2)</f>
        <v>697.28</v>
      </c>
      <c r="D48" s="83">
        <f>D47*0.2</f>
        <v>946.22</v>
      </c>
      <c r="E48" s="4">
        <f>E47*0.2</f>
        <v>136.28</v>
      </c>
      <c r="F48" s="4">
        <f>F47*0.2</f>
        <v>43.23</v>
      </c>
      <c r="G48" s="4">
        <f>G47*0.2</f>
        <v>14.7</v>
      </c>
      <c r="H48" s="215">
        <f>G48*H9</f>
        <v>15.85</v>
      </c>
      <c r="I48" s="4">
        <f>F48-G48</f>
        <v>28.53</v>
      </c>
      <c r="J48" s="215">
        <f>J47*0.2</f>
        <v>31.69</v>
      </c>
      <c r="K48" s="27">
        <f t="shared" si="5"/>
        <v>47.54</v>
      </c>
      <c r="L48" s="16"/>
      <c r="M48" s="9">
        <f>C32+C48</f>
        <v>8225.48</v>
      </c>
    </row>
    <row r="49" spans="1:17" x14ac:dyDescent="0.25">
      <c r="A49" s="47"/>
      <c r="B49" s="23" t="s">
        <v>5</v>
      </c>
      <c r="C49" s="90">
        <f>C46+C48</f>
        <v>6325.98</v>
      </c>
      <c r="D49" s="90">
        <f>D46+D48</f>
        <v>5677.33</v>
      </c>
      <c r="E49" s="90">
        <f>E46+E48</f>
        <v>817.7</v>
      </c>
      <c r="F49" s="90">
        <f>F48+F46</f>
        <v>259.39999999999998</v>
      </c>
      <c r="G49" s="90">
        <f>G48+G46</f>
        <v>88.18</v>
      </c>
      <c r="H49" s="90">
        <f>H48+H46</f>
        <v>95.06</v>
      </c>
      <c r="I49" s="90">
        <f>I46+I48</f>
        <v>171.22</v>
      </c>
      <c r="J49" s="90">
        <f>J46+J48</f>
        <v>190.13</v>
      </c>
      <c r="K49" s="347">
        <f t="shared" si="5"/>
        <v>285.19</v>
      </c>
    </row>
    <row r="50" spans="1:17" ht="19.5" customHeight="1" x14ac:dyDescent="0.25">
      <c r="A50" s="47"/>
      <c r="B50" s="23" t="s">
        <v>8</v>
      </c>
      <c r="C50" s="90">
        <f>C33+C49</f>
        <v>51495.15</v>
      </c>
      <c r="D50" s="90">
        <f>D33+D49</f>
        <v>5677.33</v>
      </c>
      <c r="E50" s="90">
        <f>E49</f>
        <v>817.7</v>
      </c>
      <c r="F50" s="90">
        <f t="shared" ref="F50:K50" si="6">F33+F49</f>
        <v>45428.57</v>
      </c>
      <c r="G50" s="90">
        <f t="shared" si="6"/>
        <v>2582.27</v>
      </c>
      <c r="H50" s="90">
        <f t="shared" si="6"/>
        <v>2783.7</v>
      </c>
      <c r="I50" s="90">
        <f t="shared" si="6"/>
        <v>42846.3</v>
      </c>
      <c r="J50" s="90">
        <f t="shared" si="6"/>
        <v>46469.57</v>
      </c>
      <c r="K50" s="347">
        <f t="shared" si="6"/>
        <v>49253.27</v>
      </c>
      <c r="L50" s="16">
        <f>H50+J50</f>
        <v>49253.27</v>
      </c>
      <c r="M50" s="16">
        <f>C33+C49</f>
        <v>51495.15</v>
      </c>
    </row>
    <row r="51" spans="1:17" ht="24" customHeight="1" x14ac:dyDescent="0.25">
      <c r="A51" s="8"/>
      <c r="B51" s="8"/>
      <c r="C51" s="80"/>
      <c r="D51" s="88"/>
      <c r="E51" s="88"/>
      <c r="F51" s="88"/>
      <c r="G51" s="88"/>
      <c r="H51" s="88"/>
      <c r="I51" s="88"/>
      <c r="J51" s="88"/>
      <c r="K51" s="88"/>
      <c r="L51" s="16"/>
    </row>
    <row r="52" spans="1:17" ht="30" customHeight="1" x14ac:dyDescent="0.25">
      <c r="A52" s="497" t="s">
        <v>247</v>
      </c>
      <c r="B52" s="498"/>
      <c r="C52" s="498"/>
      <c r="D52" s="498"/>
      <c r="E52" s="498"/>
      <c r="F52" s="498"/>
      <c r="G52" s="498"/>
      <c r="H52" s="498"/>
      <c r="I52" s="498"/>
      <c r="J52" s="498"/>
      <c r="K52" s="498"/>
      <c r="L52" s="16"/>
      <c r="M52" s="16"/>
    </row>
    <row r="53" spans="1:17" x14ac:dyDescent="0.25">
      <c r="A53" s="223"/>
      <c r="B53" s="221"/>
      <c r="C53" s="221"/>
      <c r="D53" s="221"/>
      <c r="E53" s="221"/>
      <c r="F53" s="221"/>
      <c r="G53" s="221"/>
      <c r="H53" s="221"/>
      <c r="I53" s="221"/>
      <c r="J53" s="221"/>
      <c r="K53" s="221"/>
      <c r="L53" s="16"/>
      <c r="M53" s="16">
        <f>C48+C32</f>
        <v>8225.48</v>
      </c>
    </row>
    <row r="54" spans="1:17" ht="15.75" customHeight="1" x14ac:dyDescent="0.25">
      <c r="A54" s="511" t="s">
        <v>149</v>
      </c>
      <c r="B54" s="511"/>
      <c r="C54" s="334">
        <v>270</v>
      </c>
      <c r="E54" s="221"/>
      <c r="F54" s="221"/>
      <c r="G54" s="221"/>
      <c r="H54" s="221"/>
      <c r="I54" s="221"/>
      <c r="J54" s="221"/>
      <c r="K54" s="221"/>
      <c r="L54" s="16"/>
      <c r="M54" s="16"/>
    </row>
    <row r="55" spans="1:17" x14ac:dyDescent="0.25">
      <c r="A55" s="319"/>
      <c r="B55" s="319" t="s">
        <v>148</v>
      </c>
      <c r="C55" s="334">
        <f>598300/1000</f>
        <v>598.29999999999995</v>
      </c>
      <c r="D55" s="223"/>
      <c r="E55" s="221"/>
      <c r="F55" s="221"/>
      <c r="G55" s="221"/>
      <c r="H55" s="221"/>
      <c r="I55" s="221"/>
      <c r="J55" s="221"/>
      <c r="K55" s="221"/>
      <c r="L55" s="16"/>
      <c r="M55" s="16"/>
    </row>
    <row r="56" spans="1:17" x14ac:dyDescent="0.25">
      <c r="A56" s="319"/>
      <c r="B56" s="319" t="s">
        <v>144</v>
      </c>
      <c r="C56" s="334">
        <f>598000/1000</f>
        <v>598</v>
      </c>
      <c r="D56" s="221"/>
      <c r="E56" s="221"/>
      <c r="F56" s="221"/>
      <c r="G56" s="221"/>
      <c r="H56" s="221"/>
      <c r="I56" s="221"/>
      <c r="J56" s="221"/>
      <c r="K56" s="221"/>
      <c r="L56" s="16"/>
      <c r="M56" s="16"/>
    </row>
    <row r="57" spans="1:17" x14ac:dyDescent="0.25">
      <c r="A57" s="319"/>
      <c r="B57" s="319" t="s">
        <v>145</v>
      </c>
      <c r="C57" s="334">
        <f>599000/1000</f>
        <v>599</v>
      </c>
      <c r="D57" s="221"/>
      <c r="E57" s="221"/>
      <c r="F57" s="221"/>
      <c r="G57" s="221"/>
      <c r="H57" s="221"/>
      <c r="I57" s="221"/>
      <c r="J57" s="221"/>
      <c r="K57" s="221"/>
      <c r="L57" s="16"/>
      <c r="M57" s="16"/>
    </row>
    <row r="58" spans="1:17" ht="24" x14ac:dyDescent="0.25">
      <c r="A58" s="319"/>
      <c r="B58" s="319" t="s">
        <v>150</v>
      </c>
      <c r="C58" s="334">
        <f>732497.63/1000</f>
        <v>732.5</v>
      </c>
      <c r="D58" s="221"/>
      <c r="E58" s="221"/>
      <c r="F58" s="221"/>
      <c r="G58" s="221"/>
      <c r="H58" s="221"/>
      <c r="I58" s="221"/>
      <c r="J58" s="221"/>
      <c r="K58" s="221"/>
      <c r="L58" s="16"/>
      <c r="M58" s="16"/>
    </row>
    <row r="59" spans="1:17" x14ac:dyDescent="0.25">
      <c r="A59" s="223"/>
      <c r="B59" s="221"/>
      <c r="C59" s="221"/>
      <c r="D59" s="221"/>
      <c r="E59" s="221"/>
      <c r="F59" s="221"/>
      <c r="G59" s="221"/>
      <c r="H59" s="221"/>
      <c r="I59" s="221"/>
      <c r="J59" s="221"/>
      <c r="K59" s="221"/>
      <c r="L59" s="16"/>
      <c r="M59" s="16"/>
    </row>
    <row r="60" spans="1:17" x14ac:dyDescent="0.25">
      <c r="A60" s="223"/>
      <c r="B60" s="221"/>
      <c r="C60" s="224" t="s">
        <v>35</v>
      </c>
      <c r="D60" s="221"/>
      <c r="E60" s="72"/>
      <c r="F60" s="221"/>
      <c r="G60" s="221"/>
      <c r="H60" s="221"/>
      <c r="I60" s="221"/>
      <c r="J60" s="221"/>
      <c r="K60" s="224" t="s">
        <v>56</v>
      </c>
      <c r="L60" s="16"/>
      <c r="O60" s="16"/>
      <c r="Q60" s="16"/>
    </row>
    <row r="61" spans="1:17" s="18" customFormat="1" ht="22.5" customHeight="1" x14ac:dyDescent="0.25">
      <c r="A61" s="225"/>
      <c r="B61" s="226" t="s">
        <v>15</v>
      </c>
      <c r="C61" s="227">
        <f>(C54+C55+C56+C57+C58)</f>
        <v>2797.8</v>
      </c>
      <c r="D61" s="228" t="s">
        <v>16</v>
      </c>
      <c r="E61" s="229">
        <f>E50</f>
        <v>817.7</v>
      </c>
      <c r="F61" s="230"/>
      <c r="G61" s="230"/>
      <c r="H61" s="224">
        <f>ROUND(E61*H9,2)</f>
        <v>881.48</v>
      </c>
      <c r="I61" s="224"/>
      <c r="J61" s="224"/>
      <c r="K61" s="227">
        <f>C61</f>
        <v>2797.8</v>
      </c>
      <c r="L61" s="17">
        <f>D50</f>
        <v>5677.33</v>
      </c>
      <c r="O61" s="17"/>
    </row>
    <row r="62" spans="1:17" ht="21" customHeight="1" x14ac:dyDescent="0.25">
      <c r="A62" s="225"/>
      <c r="B62" s="226" t="s">
        <v>17</v>
      </c>
      <c r="C62" s="227" t="e">
        <f>C33+#REF!*1.2+F45*1.2</f>
        <v>#REF!</v>
      </c>
      <c r="D62" s="230"/>
      <c r="E62" s="224"/>
      <c r="F62" s="230"/>
      <c r="G62" s="230"/>
      <c r="H62" s="230"/>
      <c r="I62" s="230"/>
      <c r="J62" s="230"/>
      <c r="K62" s="227">
        <f>H50</f>
        <v>2783.7</v>
      </c>
      <c r="L62" s="227">
        <f>K50</f>
        <v>49253.27</v>
      </c>
      <c r="O62" s="16"/>
    </row>
    <row r="63" spans="1:17" ht="22.5" customHeight="1" x14ac:dyDescent="0.25">
      <c r="A63" s="225"/>
      <c r="B63" s="226" t="s">
        <v>36</v>
      </c>
      <c r="C63" s="224" t="e">
        <f>C62+E61</f>
        <v>#REF!</v>
      </c>
      <c r="D63" s="230"/>
      <c r="E63" s="230"/>
      <c r="F63" s="230"/>
      <c r="G63" s="230"/>
      <c r="H63" s="230"/>
      <c r="I63" s="230"/>
      <c r="J63" s="230"/>
      <c r="K63" s="227">
        <f>K62+H61</f>
        <v>3665.18</v>
      </c>
      <c r="L63" s="227">
        <f>L62+H61</f>
        <v>50134.75</v>
      </c>
      <c r="M63" s="16"/>
      <c r="O63" s="16"/>
    </row>
    <row r="64" spans="1:17" ht="18.75" customHeight="1" x14ac:dyDescent="0.25">
      <c r="A64" s="225"/>
      <c r="B64" s="226" t="s">
        <v>18</v>
      </c>
      <c r="C64" s="231" t="e">
        <f>C61+C63</f>
        <v>#REF!</v>
      </c>
      <c r="D64" s="230"/>
      <c r="E64" s="230"/>
      <c r="F64" s="230"/>
      <c r="G64" s="230"/>
      <c r="H64" s="230"/>
      <c r="I64" s="230"/>
      <c r="J64" s="230"/>
      <c r="K64" s="232">
        <f>K61+K63</f>
        <v>6462.98</v>
      </c>
      <c r="L64" s="232">
        <f>L61+L63</f>
        <v>55812.08</v>
      </c>
      <c r="O64" s="16"/>
    </row>
    <row r="65" spans="1:16" ht="15.75" customHeight="1" x14ac:dyDescent="0.25">
      <c r="A65" s="225"/>
      <c r="B65" s="233"/>
      <c r="C65" s="234"/>
      <c r="D65" s="235"/>
      <c r="E65" s="235"/>
      <c r="F65" s="235"/>
      <c r="G65" s="235"/>
      <c r="H65" s="235"/>
      <c r="I65" s="235"/>
      <c r="J65" s="235"/>
      <c r="K65" s="234"/>
      <c r="L65" s="234">
        <f>L64-K61</f>
        <v>53014.28</v>
      </c>
      <c r="O65" s="16"/>
    </row>
    <row r="66" spans="1:16" ht="27.75" customHeight="1" x14ac:dyDescent="0.25">
      <c r="A66" s="499" t="s">
        <v>369</v>
      </c>
      <c r="B66" s="499"/>
      <c r="C66" s="499"/>
      <c r="D66" s="499"/>
      <c r="E66" s="499"/>
      <c r="F66" s="499"/>
      <c r="G66" s="499"/>
      <c r="H66" s="499"/>
      <c r="I66" s="320"/>
      <c r="J66" s="320"/>
      <c r="K66" s="237"/>
    </row>
    <row r="67" spans="1:16" ht="17.25" customHeight="1" x14ac:dyDescent="0.25">
      <c r="A67" s="512" t="s">
        <v>143</v>
      </c>
      <c r="B67" s="512"/>
      <c r="C67" s="512"/>
      <c r="D67" s="512"/>
      <c r="E67" s="512"/>
      <c r="F67" s="512"/>
      <c r="G67" s="512"/>
      <c r="H67" s="512"/>
      <c r="I67" s="320"/>
      <c r="J67" s="320"/>
      <c r="K67" s="320"/>
      <c r="M67" s="335"/>
      <c r="O67" s="16"/>
      <c r="P67" s="16"/>
    </row>
    <row r="68" spans="1:16" hidden="1" x14ac:dyDescent="0.25">
      <c r="A68" s="320"/>
      <c r="B68" s="320"/>
      <c r="C68" s="320"/>
      <c r="D68" s="320"/>
      <c r="E68" s="320"/>
      <c r="F68" s="320"/>
      <c r="G68" s="320"/>
      <c r="H68" s="320"/>
      <c r="I68" s="320"/>
      <c r="J68" s="320"/>
      <c r="K68" s="320"/>
      <c r="M68" s="335"/>
      <c r="O68" s="16"/>
      <c r="P68" s="16"/>
    </row>
    <row r="69" spans="1:16" ht="24" hidden="1" customHeight="1" x14ac:dyDescent="0.25">
      <c r="A69" s="238"/>
      <c r="B69" s="238"/>
      <c r="C69" s="238"/>
      <c r="D69" s="238"/>
      <c r="E69" s="238"/>
      <c r="F69" s="238"/>
      <c r="G69" s="238"/>
      <c r="H69" s="238"/>
      <c r="I69" s="238"/>
      <c r="J69" s="238"/>
      <c r="K69" s="238"/>
      <c r="M69" s="16"/>
      <c r="O69" s="16"/>
      <c r="P69" s="16"/>
    </row>
    <row r="70" spans="1:16" ht="17.25" hidden="1" customHeight="1" x14ac:dyDescent="0.25">
      <c r="A70" s="513"/>
      <c r="B70" s="514"/>
      <c r="C70" s="514"/>
      <c r="D70" s="239"/>
      <c r="E70" s="239"/>
      <c r="F70" s="239"/>
      <c r="G70" s="239"/>
      <c r="H70" s="240"/>
      <c r="I70" s="240"/>
      <c r="J70" s="240"/>
      <c r="K70" s="240"/>
    </row>
    <row r="71" spans="1:16" ht="15" customHeight="1" x14ac:dyDescent="0.25">
      <c r="A71" s="321"/>
      <c r="B71" s="322"/>
      <c r="C71" s="322"/>
      <c r="D71" s="239"/>
      <c r="E71" s="239"/>
      <c r="F71" s="239"/>
      <c r="G71" s="239"/>
      <c r="H71" s="240"/>
      <c r="I71" s="240"/>
      <c r="J71" s="240"/>
      <c r="K71" s="6"/>
      <c r="L71" s="16"/>
      <c r="M71" s="16"/>
    </row>
    <row r="72" spans="1:16" ht="15" customHeight="1" x14ac:dyDescent="0.25">
      <c r="A72" s="509" t="s">
        <v>28</v>
      </c>
      <c r="B72" s="509"/>
      <c r="C72" s="322"/>
      <c r="D72" s="239"/>
      <c r="E72" s="239"/>
      <c r="F72" s="239"/>
      <c r="G72" s="239"/>
      <c r="H72" s="240"/>
      <c r="I72" s="240"/>
      <c r="J72" s="240"/>
      <c r="K72" s="240" t="s">
        <v>153</v>
      </c>
      <c r="L72" s="16"/>
      <c r="M72" s="16"/>
    </row>
    <row r="73" spans="1:16" ht="17.25" customHeight="1" x14ac:dyDescent="0.25">
      <c r="A73" s="509"/>
      <c r="B73" s="509"/>
      <c r="C73" s="509"/>
      <c r="D73" s="239"/>
      <c r="E73" s="239"/>
      <c r="F73" s="239"/>
      <c r="G73" s="239"/>
      <c r="H73" s="240"/>
      <c r="I73" s="240"/>
      <c r="J73" s="240"/>
      <c r="K73" s="240"/>
      <c r="L73" s="16"/>
    </row>
    <row r="74" spans="1:16" ht="18.75" customHeight="1" x14ac:dyDescent="0.25">
      <c r="A74" s="509" t="s">
        <v>151</v>
      </c>
      <c r="B74" s="509"/>
      <c r="C74" s="318"/>
      <c r="D74" s="239"/>
      <c r="E74" s="239"/>
      <c r="F74" s="239"/>
      <c r="G74" s="239"/>
      <c r="H74" s="240"/>
      <c r="I74" s="240"/>
      <c r="J74" s="240"/>
      <c r="K74" s="240" t="s">
        <v>152</v>
      </c>
      <c r="P74" s="16"/>
    </row>
    <row r="75" spans="1:16" ht="18.75" customHeight="1" x14ac:dyDescent="0.25">
      <c r="A75" s="318"/>
      <c r="B75" s="318"/>
      <c r="C75" s="318"/>
      <c r="D75" s="239"/>
      <c r="E75" s="239"/>
      <c r="F75" s="239"/>
      <c r="G75" s="239"/>
      <c r="H75" s="240"/>
      <c r="I75" s="240"/>
      <c r="J75" s="240"/>
      <c r="K75" s="240"/>
      <c r="P75" s="16"/>
    </row>
    <row r="76" spans="1:16" x14ac:dyDescent="0.25">
      <c r="A76" s="510"/>
      <c r="B76" s="510"/>
      <c r="C76" s="336"/>
      <c r="D76" s="336"/>
      <c r="E76" s="336"/>
      <c r="F76" s="336"/>
      <c r="G76" s="336"/>
      <c r="H76" s="336"/>
      <c r="I76" s="336"/>
      <c r="J76" s="336"/>
    </row>
    <row r="77" spans="1:16" x14ac:dyDescent="0.25">
      <c r="A77" s="490" t="s">
        <v>248</v>
      </c>
      <c r="B77" s="491"/>
      <c r="C77" s="9"/>
      <c r="D77" s="9"/>
      <c r="E77" s="9"/>
      <c r="F77" s="9"/>
      <c r="G77" s="9"/>
      <c r="H77" s="9"/>
      <c r="I77" s="9"/>
      <c r="J77" s="9"/>
    </row>
    <row r="78" spans="1:16" ht="12" customHeight="1" x14ac:dyDescent="0.25">
      <c r="B78" s="19"/>
      <c r="C78" s="9"/>
      <c r="D78" s="9"/>
      <c r="E78" s="9"/>
      <c r="F78" s="9"/>
      <c r="G78" s="9"/>
      <c r="H78" s="9"/>
      <c r="I78" s="9"/>
      <c r="J78" s="9"/>
      <c r="K78" s="63"/>
    </row>
    <row r="79" spans="1:16" ht="30" customHeight="1" x14ac:dyDescent="0.25">
      <c r="C79" s="9"/>
      <c r="D79" s="9"/>
      <c r="E79" s="9"/>
      <c r="F79" s="9"/>
      <c r="G79" s="9"/>
      <c r="H79" s="9"/>
      <c r="I79" s="9"/>
      <c r="J79" s="9"/>
    </row>
    <row r="80" spans="1:16" s="337" customFormat="1" ht="18.75" customHeight="1" x14ac:dyDescent="0.25">
      <c r="A80" s="6"/>
      <c r="B80" s="6"/>
      <c r="C80" s="7"/>
      <c r="D80" s="7"/>
      <c r="E80" s="7"/>
      <c r="F80" s="7"/>
      <c r="G80" s="7"/>
      <c r="H80" s="7"/>
      <c r="I80" s="7"/>
      <c r="J80" s="7"/>
      <c r="K80" s="9"/>
    </row>
    <row r="81" spans="1:18" s="337" customFormat="1" ht="18.75" customHeight="1" x14ac:dyDescent="0.25">
      <c r="A81" s="6"/>
      <c r="B81" s="6"/>
      <c r="C81" s="7"/>
      <c r="D81" s="7"/>
      <c r="E81" s="7"/>
      <c r="F81" s="7"/>
      <c r="G81" s="7"/>
      <c r="H81" s="7"/>
      <c r="I81" s="7"/>
      <c r="J81" s="7"/>
      <c r="K81" s="9"/>
    </row>
    <row r="82" spans="1:18" s="337" customFormat="1" ht="18.75" customHeight="1" x14ac:dyDescent="0.25">
      <c r="A82" s="6"/>
      <c r="B82" s="6"/>
      <c r="C82" s="7"/>
      <c r="D82" s="7"/>
      <c r="E82" s="7"/>
      <c r="F82" s="7"/>
      <c r="G82" s="7"/>
      <c r="H82" s="7"/>
      <c r="I82" s="7"/>
      <c r="J82" s="7"/>
      <c r="K82" s="9"/>
    </row>
    <row r="83" spans="1:18" s="337" customFormat="1" ht="18.75" customHeight="1" x14ac:dyDescent="0.25">
      <c r="A83" s="6"/>
      <c r="B83" s="6"/>
      <c r="C83" s="7"/>
      <c r="D83" s="7"/>
      <c r="E83" s="7"/>
      <c r="F83" s="7"/>
      <c r="G83" s="7"/>
      <c r="H83" s="7"/>
      <c r="I83" s="7"/>
      <c r="J83" s="7"/>
      <c r="K83" s="9"/>
    </row>
    <row r="84" spans="1:18" ht="17.25" customHeight="1" x14ac:dyDescent="0.25"/>
    <row r="85" spans="1:18" ht="38.25" customHeight="1" x14ac:dyDescent="0.25">
      <c r="O85" s="16"/>
    </row>
    <row r="86" spans="1:18" ht="36" customHeight="1" x14ac:dyDescent="0.25"/>
    <row r="87" spans="1:18" s="9" customFormat="1" ht="36" customHeight="1" x14ac:dyDescent="0.25">
      <c r="A87" s="6"/>
      <c r="B87" s="6"/>
      <c r="C87" s="7"/>
      <c r="D87" s="7"/>
      <c r="E87" s="7"/>
      <c r="F87" s="7"/>
      <c r="G87" s="7"/>
      <c r="H87" s="7"/>
      <c r="I87" s="7"/>
      <c r="J87" s="7"/>
      <c r="L87" s="6"/>
      <c r="M87" s="6"/>
      <c r="N87" s="6"/>
      <c r="O87" s="6"/>
      <c r="P87" s="6"/>
      <c r="Q87" s="6"/>
      <c r="R87" s="6"/>
    </row>
  </sheetData>
  <mergeCells count="15">
    <mergeCell ref="A52:K52"/>
    <mergeCell ref="A74:B74"/>
    <mergeCell ref="A76:B76"/>
    <mergeCell ref="A77:B77"/>
    <mergeCell ref="A54:B54"/>
    <mergeCell ref="A66:H66"/>
    <mergeCell ref="A67:H67"/>
    <mergeCell ref="A70:C70"/>
    <mergeCell ref="A72:B72"/>
    <mergeCell ref="A73:C73"/>
    <mergeCell ref="A1:C5"/>
    <mergeCell ref="F1:K5"/>
    <mergeCell ref="A7:K7"/>
    <mergeCell ref="B8:K8"/>
    <mergeCell ref="O9:O10"/>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view="pageBreakPreview" topLeftCell="A25" zoomScale="90" zoomScaleNormal="70" zoomScaleSheetLayoutView="90" workbookViewId="0">
      <selection activeCell="C36" sqref="C36"/>
    </sheetView>
  </sheetViews>
  <sheetFormatPr defaultRowHeight="15.75" x14ac:dyDescent="0.25"/>
  <cols>
    <col min="1" max="1" width="7.5703125" style="6" customWidth="1"/>
    <col min="2" max="2" width="72.28515625" style="6" customWidth="1"/>
    <col min="3" max="3" width="16.7109375" style="7" customWidth="1"/>
    <col min="4" max="4" width="15.85546875" style="7" customWidth="1"/>
    <col min="5" max="5" width="14.5703125" style="7" customWidth="1"/>
    <col min="6" max="7" width="18.7109375" style="7" customWidth="1"/>
    <col min="8" max="8" width="20" style="7" customWidth="1"/>
    <col min="9" max="9" width="18.7109375" style="7" customWidth="1"/>
    <col min="10" max="10" width="20" style="7" customWidth="1"/>
    <col min="11" max="11" width="19.42578125" style="9" customWidth="1"/>
    <col min="12" max="12" width="17.5703125" style="6" customWidth="1"/>
    <col min="13" max="13" width="14.42578125" style="6" customWidth="1"/>
    <col min="14" max="14" width="17.85546875" style="6" customWidth="1"/>
    <col min="15" max="15" width="13.28515625" style="6" bestFit="1" customWidth="1"/>
    <col min="16" max="16" width="11.5703125" style="6" bestFit="1" customWidth="1"/>
    <col min="17" max="17" width="11.28515625" style="6" bestFit="1" customWidth="1"/>
    <col min="18" max="16384" width="9.140625" style="6"/>
  </cols>
  <sheetData>
    <row r="1" spans="1:15" s="39" customFormat="1" ht="15.75" customHeight="1" x14ac:dyDescent="0.25">
      <c r="A1" s="492" t="s">
        <v>230</v>
      </c>
      <c r="B1" s="492"/>
      <c r="C1" s="492"/>
      <c r="D1" s="32"/>
      <c r="E1" s="32"/>
      <c r="F1" s="505" t="s">
        <v>229</v>
      </c>
      <c r="G1" s="505"/>
      <c r="H1" s="505"/>
      <c r="I1" s="505"/>
      <c r="J1" s="505"/>
      <c r="K1" s="505"/>
    </row>
    <row r="2" spans="1:15" s="39" customFormat="1" ht="23.25" customHeight="1" x14ac:dyDescent="0.2">
      <c r="A2" s="492"/>
      <c r="B2" s="492"/>
      <c r="C2" s="492"/>
      <c r="D2" s="38"/>
      <c r="E2" s="38"/>
      <c r="F2" s="505"/>
      <c r="G2" s="505"/>
      <c r="H2" s="505"/>
      <c r="I2" s="505"/>
      <c r="J2" s="505"/>
      <c r="K2" s="505"/>
    </row>
    <row r="3" spans="1:15" s="39" customFormat="1" ht="22.5" customHeight="1" x14ac:dyDescent="0.25">
      <c r="A3" s="492"/>
      <c r="B3" s="492"/>
      <c r="C3" s="492"/>
      <c r="D3" s="40"/>
      <c r="E3" s="40"/>
      <c r="F3" s="505"/>
      <c r="G3" s="505"/>
      <c r="H3" s="505"/>
      <c r="I3" s="505"/>
      <c r="J3" s="505"/>
      <c r="K3" s="505"/>
    </row>
    <row r="4" spans="1:15" s="39" customFormat="1" ht="21" customHeight="1" x14ac:dyDescent="0.2">
      <c r="A4" s="492"/>
      <c r="B4" s="492"/>
      <c r="C4" s="492"/>
      <c r="D4" s="38"/>
      <c r="E4" s="38"/>
      <c r="F4" s="505"/>
      <c r="G4" s="505"/>
      <c r="H4" s="505"/>
      <c r="I4" s="505"/>
      <c r="J4" s="505"/>
      <c r="K4" s="505"/>
    </row>
    <row r="5" spans="1:15" s="39" customFormat="1" ht="33.75" customHeight="1" x14ac:dyDescent="0.2">
      <c r="A5" s="492"/>
      <c r="B5" s="492"/>
      <c r="C5" s="492"/>
      <c r="D5" s="38"/>
      <c r="E5" s="38"/>
      <c r="F5" s="505"/>
      <c r="G5" s="505"/>
      <c r="H5" s="505"/>
      <c r="I5" s="505"/>
      <c r="J5" s="505"/>
      <c r="K5" s="505"/>
    </row>
    <row r="6" spans="1:15" s="39" customFormat="1" ht="19.5" customHeight="1" x14ac:dyDescent="0.2">
      <c r="A6" s="41"/>
      <c r="B6" s="41"/>
      <c r="C6" s="41"/>
      <c r="D6" s="38"/>
      <c r="E6" s="38"/>
      <c r="F6" s="28"/>
      <c r="G6" s="28"/>
      <c r="H6" s="28"/>
      <c r="I6" s="28"/>
      <c r="J6" s="28"/>
      <c r="K6" s="28"/>
    </row>
    <row r="7" spans="1:15" s="30" customFormat="1" ht="37.5" customHeight="1" x14ac:dyDescent="0.25">
      <c r="A7" s="494" t="s">
        <v>124</v>
      </c>
      <c r="B7" s="495"/>
      <c r="C7" s="495"/>
      <c r="D7" s="495"/>
      <c r="E7" s="495"/>
      <c r="F7" s="495"/>
      <c r="G7" s="495"/>
      <c r="H7" s="495"/>
      <c r="I7" s="495"/>
      <c r="J7" s="495"/>
      <c r="K7" s="496"/>
    </row>
    <row r="8" spans="1:15" ht="18" customHeight="1" x14ac:dyDescent="0.25">
      <c r="A8" s="353"/>
      <c r="B8" s="507"/>
      <c r="C8" s="507"/>
      <c r="D8" s="507"/>
      <c r="E8" s="507"/>
      <c r="F8" s="507"/>
      <c r="G8" s="507"/>
      <c r="H8" s="507"/>
      <c r="I8" s="507"/>
      <c r="J8" s="507"/>
      <c r="K8" s="507"/>
    </row>
    <row r="9" spans="1:15" ht="23.25" customHeight="1" x14ac:dyDescent="0.25">
      <c r="H9" s="121">
        <v>1.0780000000000001</v>
      </c>
      <c r="I9" s="121"/>
      <c r="J9" s="121">
        <v>1.0529999999999999</v>
      </c>
      <c r="K9" s="26" t="s">
        <v>9</v>
      </c>
      <c r="O9" s="508"/>
    </row>
    <row r="10" spans="1:15" ht="138" customHeight="1" x14ac:dyDescent="0.25">
      <c r="A10" s="1" t="s">
        <v>0</v>
      </c>
      <c r="B10" s="2" t="s">
        <v>1</v>
      </c>
      <c r="C10" s="5" t="s">
        <v>233</v>
      </c>
      <c r="D10" s="5" t="s">
        <v>6</v>
      </c>
      <c r="E10" s="5" t="s">
        <v>10</v>
      </c>
      <c r="F10" s="5" t="s">
        <v>241</v>
      </c>
      <c r="G10" s="5" t="s">
        <v>234</v>
      </c>
      <c r="H10" s="327" t="s">
        <v>175</v>
      </c>
      <c r="I10" s="5" t="s">
        <v>242</v>
      </c>
      <c r="J10" s="327" t="s">
        <v>246</v>
      </c>
      <c r="K10" s="328" t="s">
        <v>57</v>
      </c>
      <c r="O10" s="508"/>
    </row>
    <row r="11" spans="1:15" ht="18" customHeight="1" x14ac:dyDescent="0.25">
      <c r="A11" s="11">
        <v>1</v>
      </c>
      <c r="B11" s="11">
        <v>2</v>
      </c>
      <c r="C11" s="11">
        <v>3</v>
      </c>
      <c r="D11" s="11">
        <v>4</v>
      </c>
      <c r="E11" s="11">
        <v>5</v>
      </c>
      <c r="F11" s="11">
        <v>6</v>
      </c>
      <c r="G11" s="11">
        <v>7</v>
      </c>
      <c r="H11" s="211">
        <v>8</v>
      </c>
      <c r="I11" s="11">
        <v>9</v>
      </c>
      <c r="J11" s="211">
        <v>10</v>
      </c>
      <c r="K11" s="11">
        <v>11</v>
      </c>
    </row>
    <row r="12" spans="1:15" ht="22.5" customHeight="1" x14ac:dyDescent="0.25">
      <c r="A12" s="43"/>
      <c r="B12" s="20" t="s">
        <v>2</v>
      </c>
      <c r="C12" s="14"/>
      <c r="D12" s="14"/>
      <c r="E12" s="14"/>
      <c r="F12" s="329"/>
      <c r="G12" s="329"/>
      <c r="H12" s="212"/>
      <c r="I12" s="14"/>
      <c r="J12" s="212"/>
      <c r="K12" s="31"/>
    </row>
    <row r="13" spans="1:15" ht="35.25" customHeight="1" x14ac:dyDescent="0.25">
      <c r="A13" s="11">
        <v>1</v>
      </c>
      <c r="B13" s="10" t="s">
        <v>161</v>
      </c>
      <c r="C13" s="14">
        <v>148.22</v>
      </c>
      <c r="D13" s="329"/>
      <c r="E13" s="329"/>
      <c r="F13" s="329"/>
      <c r="G13" s="14">
        <f>C13</f>
        <v>148.22</v>
      </c>
      <c r="H13" s="212">
        <f>G13*H9</f>
        <v>159.78</v>
      </c>
      <c r="I13" s="14">
        <v>0</v>
      </c>
      <c r="J13" s="212">
        <v>0</v>
      </c>
      <c r="K13" s="27">
        <f t="shared" ref="K13:K33" si="0">H13+J13</f>
        <v>159.78</v>
      </c>
    </row>
    <row r="14" spans="1:15" ht="33" customHeight="1" x14ac:dyDescent="0.25">
      <c r="A14" s="11">
        <v>2</v>
      </c>
      <c r="B14" s="10" t="s">
        <v>231</v>
      </c>
      <c r="C14" s="14">
        <v>108.42</v>
      </c>
      <c r="D14" s="329"/>
      <c r="E14" s="329"/>
      <c r="F14" s="329"/>
      <c r="G14" s="14">
        <f>C14</f>
        <v>108.42</v>
      </c>
      <c r="H14" s="212">
        <f>G14*H9</f>
        <v>116.88</v>
      </c>
      <c r="I14" s="14">
        <v>0</v>
      </c>
      <c r="J14" s="212">
        <v>0</v>
      </c>
      <c r="K14" s="27">
        <f t="shared" si="0"/>
        <v>116.88</v>
      </c>
    </row>
    <row r="15" spans="1:15" ht="24" customHeight="1" x14ac:dyDescent="0.25">
      <c r="A15" s="11">
        <v>3</v>
      </c>
      <c r="B15" s="10" t="s">
        <v>372</v>
      </c>
      <c r="C15" s="83">
        <f>9738.98-1248.64</f>
        <v>8490.34</v>
      </c>
      <c r="D15" s="84"/>
      <c r="E15" s="84"/>
      <c r="F15" s="84"/>
      <c r="G15" s="84"/>
      <c r="H15" s="215"/>
      <c r="I15" s="4">
        <f t="shared" ref="I15:I24" si="1">C15-G15</f>
        <v>8490.34</v>
      </c>
      <c r="J15" s="215">
        <f>I15*H9*J9</f>
        <v>9637.67</v>
      </c>
      <c r="K15" s="27">
        <f t="shared" si="0"/>
        <v>9637.67</v>
      </c>
    </row>
    <row r="16" spans="1:15" ht="24" customHeight="1" x14ac:dyDescent="0.25">
      <c r="A16" s="11">
        <v>4</v>
      </c>
      <c r="B16" s="10" t="s">
        <v>356</v>
      </c>
      <c r="C16" s="83">
        <v>15660.11</v>
      </c>
      <c r="D16" s="84"/>
      <c r="E16" s="84"/>
      <c r="F16" s="84"/>
      <c r="G16" s="84"/>
      <c r="H16" s="215"/>
      <c r="I16" s="4">
        <f t="shared" si="1"/>
        <v>15660.11</v>
      </c>
      <c r="J16" s="215">
        <f>I16*J9</f>
        <v>16490.099999999999</v>
      </c>
      <c r="K16" s="4">
        <f t="shared" si="0"/>
        <v>16490.099999999999</v>
      </c>
    </row>
    <row r="17" spans="1:14" ht="24" customHeight="1" x14ac:dyDescent="0.25">
      <c r="A17" s="11"/>
      <c r="B17" s="10"/>
      <c r="C17" s="83"/>
      <c r="D17" s="84"/>
      <c r="E17" s="84"/>
      <c r="F17" s="84"/>
      <c r="G17" s="84"/>
      <c r="H17" s="215"/>
      <c r="I17" s="4">
        <f t="shared" si="1"/>
        <v>0</v>
      </c>
      <c r="J17" s="215">
        <f>I17*H9*J9</f>
        <v>0</v>
      </c>
      <c r="K17" s="27">
        <f t="shared" si="0"/>
        <v>0</v>
      </c>
    </row>
    <row r="18" spans="1:14" ht="24" customHeight="1" x14ac:dyDescent="0.25">
      <c r="A18" s="11">
        <v>6</v>
      </c>
      <c r="B18" s="10" t="s">
        <v>155</v>
      </c>
      <c r="C18" s="83">
        <v>341.96</v>
      </c>
      <c r="D18" s="84"/>
      <c r="E18" s="84"/>
      <c r="F18" s="84"/>
      <c r="G18" s="84"/>
      <c r="H18" s="215"/>
      <c r="I18" s="4">
        <f t="shared" si="1"/>
        <v>341.96</v>
      </c>
      <c r="J18" s="215">
        <f>I18*H9*J9</f>
        <v>388.17</v>
      </c>
      <c r="K18" s="27">
        <f t="shared" si="0"/>
        <v>388.17</v>
      </c>
    </row>
    <row r="19" spans="1:14" ht="20.25" customHeight="1" x14ac:dyDescent="0.25">
      <c r="A19" s="11">
        <v>7</v>
      </c>
      <c r="B19" s="10" t="s">
        <v>156</v>
      </c>
      <c r="C19" s="83">
        <v>800.27</v>
      </c>
      <c r="D19" s="84"/>
      <c r="E19" s="84"/>
      <c r="F19" s="84"/>
      <c r="G19" s="84"/>
      <c r="H19" s="215"/>
      <c r="I19" s="4">
        <f t="shared" si="1"/>
        <v>800.27</v>
      </c>
      <c r="J19" s="215">
        <f>I19*H9*J9</f>
        <v>908.41</v>
      </c>
      <c r="K19" s="27">
        <f t="shared" si="0"/>
        <v>908.41</v>
      </c>
    </row>
    <row r="20" spans="1:14" ht="21" customHeight="1" x14ac:dyDescent="0.25">
      <c r="A20" s="11">
        <v>8</v>
      </c>
      <c r="B20" s="10" t="s">
        <v>88</v>
      </c>
      <c r="C20" s="83">
        <v>1477.68</v>
      </c>
      <c r="D20" s="84"/>
      <c r="E20" s="84"/>
      <c r="F20" s="84"/>
      <c r="G20" s="84"/>
      <c r="H20" s="215"/>
      <c r="I20" s="4">
        <f t="shared" si="1"/>
        <v>1477.68</v>
      </c>
      <c r="J20" s="215">
        <f>I20*H9*J9</f>
        <v>1677.36</v>
      </c>
      <c r="K20" s="27">
        <f t="shared" si="0"/>
        <v>1677.36</v>
      </c>
    </row>
    <row r="21" spans="1:14" ht="23.25" customHeight="1" x14ac:dyDescent="0.25">
      <c r="A21" s="11">
        <v>9</v>
      </c>
      <c r="B21" s="10" t="s">
        <v>157</v>
      </c>
      <c r="C21" s="83">
        <v>1856.45</v>
      </c>
      <c r="D21" s="84"/>
      <c r="E21" s="84"/>
      <c r="F21" s="84"/>
      <c r="G21" s="84"/>
      <c r="H21" s="215"/>
      <c r="I21" s="4">
        <f t="shared" si="1"/>
        <v>1856.45</v>
      </c>
      <c r="J21" s="215">
        <f>I21*H9*J9</f>
        <v>2107.3200000000002</v>
      </c>
      <c r="K21" s="27">
        <f t="shared" si="0"/>
        <v>2107.3200000000002</v>
      </c>
    </row>
    <row r="22" spans="1:14" ht="24" customHeight="1" x14ac:dyDescent="0.25">
      <c r="A22" s="11">
        <v>10</v>
      </c>
      <c r="B22" s="10" t="s">
        <v>245</v>
      </c>
      <c r="C22" s="83">
        <v>342.18</v>
      </c>
      <c r="D22" s="84"/>
      <c r="E22" s="84"/>
      <c r="F22" s="84"/>
      <c r="G22" s="4">
        <f>(G13+G14)*0.012</f>
        <v>3.08</v>
      </c>
      <c r="H22" s="215">
        <f>G22*H9</f>
        <v>3.32</v>
      </c>
      <c r="I22" s="4">
        <f t="shared" si="1"/>
        <v>339.1</v>
      </c>
      <c r="J22" s="215">
        <f>I22*H9*J9</f>
        <v>384.92</v>
      </c>
      <c r="K22" s="27">
        <f t="shared" si="0"/>
        <v>388.24</v>
      </c>
    </row>
    <row r="23" spans="1:14" ht="33.75" customHeight="1" x14ac:dyDescent="0.25">
      <c r="A23" s="11">
        <v>11</v>
      </c>
      <c r="B23" s="10" t="s">
        <v>171</v>
      </c>
      <c r="C23" s="83">
        <v>0.59</v>
      </c>
      <c r="D23" s="84"/>
      <c r="E23" s="84"/>
      <c r="F23" s="84"/>
      <c r="G23" s="84"/>
      <c r="H23" s="215"/>
      <c r="I23" s="4">
        <f t="shared" si="1"/>
        <v>0.59</v>
      </c>
      <c r="J23" s="215">
        <f>I23*H9*J9</f>
        <v>0.67</v>
      </c>
      <c r="K23" s="27">
        <f t="shared" si="0"/>
        <v>0.67</v>
      </c>
    </row>
    <row r="24" spans="1:14" ht="26.25" customHeight="1" x14ac:dyDescent="0.25">
      <c r="A24" s="11">
        <v>12</v>
      </c>
      <c r="B24" s="10" t="s">
        <v>158</v>
      </c>
      <c r="C24" s="83">
        <v>7.0000000000000007E-2</v>
      </c>
      <c r="D24" s="84"/>
      <c r="E24" s="84"/>
      <c r="F24" s="84"/>
      <c r="G24" s="84"/>
      <c r="H24" s="215"/>
      <c r="I24" s="4">
        <f t="shared" si="1"/>
        <v>7.0000000000000007E-2</v>
      </c>
      <c r="J24" s="215">
        <f>I24*H9*J9</f>
        <v>0.08</v>
      </c>
      <c r="K24" s="27">
        <f t="shared" si="0"/>
        <v>0.08</v>
      </c>
      <c r="M24" s="9">
        <f>SUM(K13:K24)</f>
        <v>31874.68</v>
      </c>
    </row>
    <row r="25" spans="1:14" ht="19.5" customHeight="1" x14ac:dyDescent="0.25">
      <c r="A25" s="11"/>
      <c r="B25" s="20" t="s">
        <v>232</v>
      </c>
      <c r="C25" s="3">
        <f>ROUND(SUM(C13:C24),2)</f>
        <v>29226.29</v>
      </c>
      <c r="D25" s="3">
        <v>0</v>
      </c>
      <c r="E25" s="3">
        <v>0</v>
      </c>
      <c r="F25" s="3">
        <f>C25-D25</f>
        <v>29226.29</v>
      </c>
      <c r="G25" s="3">
        <f>SUM(G13:G24)</f>
        <v>259.72000000000003</v>
      </c>
      <c r="H25" s="207">
        <f>SUM(H13:H24)</f>
        <v>279.98</v>
      </c>
      <c r="I25" s="3">
        <f t="shared" ref="I25:I33" si="2">F25-G25</f>
        <v>28966.57</v>
      </c>
      <c r="J25" s="207">
        <f>SUM(J13:J24)</f>
        <v>31594.7</v>
      </c>
      <c r="K25" s="344">
        <f>H25+J25</f>
        <v>31874.68</v>
      </c>
      <c r="L25" s="9">
        <f>SUM(I13:I24)</f>
        <v>28966.57</v>
      </c>
      <c r="M25" s="9">
        <f>L25-I25</f>
        <v>0</v>
      </c>
      <c r="N25" s="9">
        <f>SUM(C13:C24)</f>
        <v>29226.29</v>
      </c>
    </row>
    <row r="26" spans="1:14" ht="22.5" customHeight="1" x14ac:dyDescent="0.25">
      <c r="A26" s="11">
        <v>13</v>
      </c>
      <c r="B26" s="12" t="s">
        <v>7</v>
      </c>
      <c r="C26" s="83">
        <f>ROUND(C25*2%,2)</f>
        <v>584.53</v>
      </c>
      <c r="D26" s="83">
        <f>(D25-D15)*2%</f>
        <v>0</v>
      </c>
      <c r="E26" s="83">
        <v>0</v>
      </c>
      <c r="F26" s="4">
        <f>C26-D26</f>
        <v>584.53</v>
      </c>
      <c r="G26" s="4">
        <f>ROUND(G25*2%,2)</f>
        <v>5.19</v>
      </c>
      <c r="H26" s="215">
        <f>ROUND(H25*2%,2)</f>
        <v>5.6</v>
      </c>
      <c r="I26" s="4">
        <f t="shared" si="2"/>
        <v>579.34</v>
      </c>
      <c r="J26" s="215">
        <f>J25*0.02</f>
        <v>631.89</v>
      </c>
      <c r="K26" s="27">
        <f t="shared" si="0"/>
        <v>637.49</v>
      </c>
      <c r="L26" s="6">
        <f>F26*H9</f>
        <v>630.12333999999998</v>
      </c>
    </row>
    <row r="27" spans="1:14" s="205" customFormat="1" ht="21.75" customHeight="1" x14ac:dyDescent="0.25">
      <c r="A27" s="211"/>
      <c r="B27" s="202" t="s">
        <v>226</v>
      </c>
      <c r="C27" s="207">
        <f>ROUND(C25+C26,2)</f>
        <v>29810.82</v>
      </c>
      <c r="D27" s="207">
        <f>D25+D26</f>
        <v>0</v>
      </c>
      <c r="E27" s="207">
        <v>0</v>
      </c>
      <c r="F27" s="207">
        <f>C27-D27</f>
        <v>29810.82</v>
      </c>
      <c r="G27" s="207">
        <f>G25+G26</f>
        <v>264.91000000000003</v>
      </c>
      <c r="H27" s="207">
        <f>H25+H26</f>
        <v>285.58</v>
      </c>
      <c r="I27" s="207">
        <f t="shared" si="2"/>
        <v>29545.91</v>
      </c>
      <c r="J27" s="207">
        <f>J25+J26</f>
        <v>32226.59</v>
      </c>
      <c r="K27" s="345">
        <f t="shared" si="0"/>
        <v>32512.17</v>
      </c>
    </row>
    <row r="28" spans="1:14" ht="18.75" customHeight="1" x14ac:dyDescent="0.25">
      <c r="A28" s="11">
        <v>14</v>
      </c>
      <c r="B28" s="10" t="s">
        <v>159</v>
      </c>
      <c r="C28" s="83">
        <v>1813.5</v>
      </c>
      <c r="D28" s="83">
        <f>(D27-D19)*2%</f>
        <v>0</v>
      </c>
      <c r="E28" s="83">
        <f>(E27-E19)*2%</f>
        <v>0</v>
      </c>
      <c r="F28" s="83">
        <f>C28</f>
        <v>1813.5</v>
      </c>
      <c r="G28" s="83">
        <f>F28</f>
        <v>1813.5</v>
      </c>
      <c r="H28" s="215">
        <f>G28*H9</f>
        <v>1954.95</v>
      </c>
      <c r="I28" s="4">
        <f t="shared" si="2"/>
        <v>0</v>
      </c>
      <c r="J28" s="215">
        <v>0</v>
      </c>
      <c r="K28" s="27">
        <f t="shared" si="0"/>
        <v>1954.95</v>
      </c>
    </row>
    <row r="29" spans="1:14" s="205" customFormat="1" x14ac:dyDescent="0.25">
      <c r="A29" s="211"/>
      <c r="B29" s="202" t="s">
        <v>361</v>
      </c>
      <c r="C29" s="207">
        <f>C28</f>
        <v>1813.5</v>
      </c>
      <c r="D29" s="207">
        <v>0</v>
      </c>
      <c r="E29" s="207">
        <v>0</v>
      </c>
      <c r="F29" s="207">
        <f>C29</f>
        <v>1813.5</v>
      </c>
      <c r="G29" s="207">
        <f>G28</f>
        <v>1813.5</v>
      </c>
      <c r="H29" s="207">
        <f>H28</f>
        <v>1954.95</v>
      </c>
      <c r="I29" s="207">
        <f t="shared" si="2"/>
        <v>0</v>
      </c>
      <c r="J29" s="207">
        <f>J28</f>
        <v>0</v>
      </c>
      <c r="K29" s="345">
        <f t="shared" si="0"/>
        <v>1954.95</v>
      </c>
    </row>
    <row r="30" spans="1:14" s="205" customFormat="1" x14ac:dyDescent="0.25">
      <c r="A30" s="211"/>
      <c r="B30" s="202" t="s">
        <v>359</v>
      </c>
      <c r="C30" s="207">
        <f>C27+C29</f>
        <v>31624.32</v>
      </c>
      <c r="D30" s="207">
        <v>0</v>
      </c>
      <c r="E30" s="207">
        <v>0</v>
      </c>
      <c r="F30" s="207">
        <f>F27+F29</f>
        <v>31624.32</v>
      </c>
      <c r="G30" s="207">
        <f>G27+G29</f>
        <v>2078.41</v>
      </c>
      <c r="H30" s="207">
        <f>H27+H29</f>
        <v>2240.5300000000002</v>
      </c>
      <c r="I30" s="207">
        <f t="shared" si="2"/>
        <v>29545.91</v>
      </c>
      <c r="J30" s="207">
        <f>J27+J29</f>
        <v>32226.59</v>
      </c>
      <c r="K30" s="345">
        <f t="shared" si="0"/>
        <v>34467.120000000003</v>
      </c>
      <c r="L30" s="208">
        <f>K27+K29</f>
        <v>34467.120000000003</v>
      </c>
    </row>
    <row r="31" spans="1:14" ht="24" customHeight="1" x14ac:dyDescent="0.25">
      <c r="A31" s="330"/>
      <c r="B31" s="22" t="s">
        <v>27</v>
      </c>
      <c r="C31" s="218">
        <f>(C27+C29)</f>
        <v>31624.32</v>
      </c>
      <c r="D31" s="218">
        <f>D27</f>
        <v>0</v>
      </c>
      <c r="E31" s="218">
        <f>E27</f>
        <v>0</v>
      </c>
      <c r="F31" s="13">
        <f>C31-D31</f>
        <v>31624.32</v>
      </c>
      <c r="G31" s="13">
        <f>G30</f>
        <v>2078.41</v>
      </c>
      <c r="H31" s="331">
        <f>H30</f>
        <v>2240.5300000000002</v>
      </c>
      <c r="I31" s="3">
        <f t="shared" si="2"/>
        <v>29545.91</v>
      </c>
      <c r="J31" s="331">
        <f>J30</f>
        <v>32226.59</v>
      </c>
      <c r="K31" s="346">
        <f t="shared" si="0"/>
        <v>34467.120000000003</v>
      </c>
      <c r="L31" s="6">
        <f>F31*H9</f>
        <v>34091.016960000001</v>
      </c>
      <c r="N31" s="16">
        <f>H27+H29+H32</f>
        <v>2688.64</v>
      </c>
    </row>
    <row r="32" spans="1:14" ht="20.25" customHeight="1" x14ac:dyDescent="0.25">
      <c r="A32" s="11"/>
      <c r="B32" s="12" t="s">
        <v>11</v>
      </c>
      <c r="C32" s="83">
        <f>ROUND(C31*20%,2)+0.01</f>
        <v>6324.87</v>
      </c>
      <c r="D32" s="83">
        <v>0</v>
      </c>
      <c r="E32" s="83">
        <v>0</v>
      </c>
      <c r="F32" s="4">
        <f>C32-D32</f>
        <v>6324.87</v>
      </c>
      <c r="G32" s="4">
        <f>ROUND(G31*20%,2)</f>
        <v>415.68</v>
      </c>
      <c r="H32" s="215">
        <f>ROUND(H31*20%,2)</f>
        <v>448.11</v>
      </c>
      <c r="I32" s="4">
        <f t="shared" si="2"/>
        <v>5909.19</v>
      </c>
      <c r="J32" s="215">
        <f>ROUND(J31*20%,2)</f>
        <v>6445.32</v>
      </c>
      <c r="K32" s="27">
        <f t="shared" si="0"/>
        <v>6893.43</v>
      </c>
      <c r="M32" s="16">
        <f>G30+G32</f>
        <v>2494.09</v>
      </c>
    </row>
    <row r="33" spans="1:13" s="18" customFormat="1" ht="23.25" customHeight="1" x14ac:dyDescent="0.25">
      <c r="A33" s="92"/>
      <c r="B33" s="23" t="s">
        <v>3</v>
      </c>
      <c r="C33" s="90">
        <f>C27+C29+C32</f>
        <v>37949.19</v>
      </c>
      <c r="D33" s="90">
        <v>0</v>
      </c>
      <c r="E33" s="90">
        <v>0</v>
      </c>
      <c r="F33" s="90">
        <f>C33-D33</f>
        <v>37949.19</v>
      </c>
      <c r="G33" s="90">
        <f>G27+G29+G32</f>
        <v>2494.09</v>
      </c>
      <c r="H33" s="90">
        <f>H30+H32</f>
        <v>2688.64</v>
      </c>
      <c r="I33" s="90">
        <f t="shared" si="2"/>
        <v>35455.1</v>
      </c>
      <c r="J33" s="90">
        <f>J30+J32</f>
        <v>38671.910000000003</v>
      </c>
      <c r="K33" s="90">
        <f t="shared" si="0"/>
        <v>41360.550000000003</v>
      </c>
      <c r="L33" s="16"/>
      <c r="M33" s="9"/>
    </row>
    <row r="34" spans="1:13" ht="21.75" customHeight="1" x14ac:dyDescent="0.25">
      <c r="A34" s="11"/>
      <c r="B34" s="21" t="s">
        <v>4</v>
      </c>
      <c r="C34" s="14"/>
      <c r="D34" s="87"/>
      <c r="E34" s="87"/>
      <c r="F34" s="87"/>
      <c r="G34" s="87"/>
      <c r="H34" s="217"/>
      <c r="I34" s="86"/>
      <c r="J34" s="217"/>
      <c r="K34" s="37"/>
    </row>
    <row r="35" spans="1:13" s="30" customFormat="1" ht="24.75" customHeight="1" x14ac:dyDescent="0.25">
      <c r="A35" s="11">
        <v>1</v>
      </c>
      <c r="B35" s="10" t="s">
        <v>360</v>
      </c>
      <c r="C35" s="14">
        <v>625.44000000000005</v>
      </c>
      <c r="D35" s="79">
        <v>0</v>
      </c>
      <c r="E35" s="79">
        <f>C35-F35</f>
        <v>566.99</v>
      </c>
      <c r="F35" s="79">
        <f>F25*0.002</f>
        <v>58.45</v>
      </c>
      <c r="G35" s="79">
        <f>G25*0.002</f>
        <v>0.52</v>
      </c>
      <c r="H35" s="215">
        <f>H25*0.002</f>
        <v>0.56000000000000005</v>
      </c>
      <c r="I35" s="4">
        <f>F35-G35</f>
        <v>57.93</v>
      </c>
      <c r="J35" s="215">
        <f>J25*0.002</f>
        <v>63.19</v>
      </c>
      <c r="K35" s="27">
        <f>H35+J35</f>
        <v>63.75</v>
      </c>
      <c r="M35" s="30">
        <v>29.28378</v>
      </c>
    </row>
    <row r="36" spans="1:13" ht="31.5" customHeight="1" x14ac:dyDescent="0.25">
      <c r="A36" s="11">
        <v>2</v>
      </c>
      <c r="B36" s="10" t="s">
        <v>358</v>
      </c>
      <c r="C36" s="83">
        <v>28</v>
      </c>
      <c r="D36" s="79">
        <f t="shared" ref="D36:D43" si="3">C36</f>
        <v>28</v>
      </c>
      <c r="E36" s="79">
        <v>0</v>
      </c>
      <c r="F36" s="79">
        <v>0</v>
      </c>
      <c r="G36" s="79">
        <v>0</v>
      </c>
      <c r="H36" s="215">
        <f>C36-D36</f>
        <v>0</v>
      </c>
      <c r="I36" s="79">
        <v>0</v>
      </c>
      <c r="J36" s="215">
        <v>0</v>
      </c>
      <c r="K36" s="79">
        <v>0</v>
      </c>
    </row>
    <row r="37" spans="1:13" ht="36" customHeight="1" x14ac:dyDescent="0.25">
      <c r="A37" s="11">
        <v>3</v>
      </c>
      <c r="B37" s="10" t="s">
        <v>368</v>
      </c>
      <c r="C37" s="83">
        <v>16</v>
      </c>
      <c r="D37" s="79">
        <f t="shared" si="3"/>
        <v>16</v>
      </c>
      <c r="E37" s="79">
        <v>0</v>
      </c>
      <c r="F37" s="79">
        <v>0</v>
      </c>
      <c r="G37" s="79">
        <v>0</v>
      </c>
      <c r="H37" s="215">
        <f>C37-D37</f>
        <v>0</v>
      </c>
      <c r="I37" s="79">
        <v>0</v>
      </c>
      <c r="J37" s="215">
        <v>0</v>
      </c>
      <c r="K37" s="79">
        <v>0</v>
      </c>
    </row>
    <row r="38" spans="1:13" ht="30.75" customHeight="1" x14ac:dyDescent="0.25">
      <c r="A38" s="11">
        <v>4</v>
      </c>
      <c r="B38" s="10" t="s">
        <v>237</v>
      </c>
      <c r="C38" s="79">
        <v>581.04</v>
      </c>
      <c r="D38" s="79">
        <f t="shared" si="3"/>
        <v>581.04</v>
      </c>
      <c r="E38" s="79">
        <v>0</v>
      </c>
      <c r="F38" s="79">
        <f>C38-D38</f>
        <v>0</v>
      </c>
      <c r="G38" s="79">
        <v>0</v>
      </c>
      <c r="H38" s="215">
        <f>C38-D38</f>
        <v>0</v>
      </c>
      <c r="I38" s="4">
        <f t="shared" ref="I38:I45" si="4">F38-G38</f>
        <v>0</v>
      </c>
      <c r="J38" s="215">
        <v>0</v>
      </c>
      <c r="K38" s="27">
        <f t="shared" ref="K38:K49" si="5">H38+J38</f>
        <v>0</v>
      </c>
      <c r="L38" s="9" t="e">
        <f>C35+#REF!+#REF!+C28</f>
        <v>#REF!</v>
      </c>
      <c r="M38" s="6">
        <f>H25*0.2%</f>
        <v>0.55996000000000001</v>
      </c>
    </row>
    <row r="39" spans="1:13" ht="23.25" customHeight="1" x14ac:dyDescent="0.25">
      <c r="A39" s="11">
        <v>5</v>
      </c>
      <c r="B39" s="10" t="s">
        <v>172</v>
      </c>
      <c r="C39" s="83">
        <v>1197</v>
      </c>
      <c r="D39" s="4">
        <f t="shared" si="3"/>
        <v>1197</v>
      </c>
      <c r="E39" s="4">
        <v>0</v>
      </c>
      <c r="F39" s="4">
        <v>0</v>
      </c>
      <c r="G39" s="4">
        <v>0</v>
      </c>
      <c r="H39" s="215">
        <v>0</v>
      </c>
      <c r="I39" s="4">
        <f t="shared" si="4"/>
        <v>0</v>
      </c>
      <c r="J39" s="215">
        <v>0</v>
      </c>
      <c r="K39" s="27">
        <f t="shared" si="5"/>
        <v>0</v>
      </c>
      <c r="L39" s="6" t="e">
        <f>L38*0.2</f>
        <v>#REF!</v>
      </c>
    </row>
    <row r="40" spans="1:13" ht="34.5" customHeight="1" x14ac:dyDescent="0.25">
      <c r="A40" s="11">
        <v>6</v>
      </c>
      <c r="B40" s="10" t="s">
        <v>364</v>
      </c>
      <c r="C40" s="83">
        <v>610.41999999999996</v>
      </c>
      <c r="D40" s="4">
        <f t="shared" si="3"/>
        <v>610.41999999999996</v>
      </c>
      <c r="E40" s="4">
        <v>0</v>
      </c>
      <c r="F40" s="4">
        <v>0</v>
      </c>
      <c r="G40" s="4">
        <v>0</v>
      </c>
      <c r="H40" s="215">
        <v>0</v>
      </c>
      <c r="I40" s="4">
        <f t="shared" si="4"/>
        <v>0</v>
      </c>
      <c r="J40" s="215">
        <v>0</v>
      </c>
      <c r="K40" s="27">
        <f t="shared" si="5"/>
        <v>0</v>
      </c>
      <c r="M40" s="16" t="e">
        <f>C45+#REF!+C26</f>
        <v>#REF!</v>
      </c>
    </row>
    <row r="41" spans="1:13" ht="23.25" customHeight="1" x14ac:dyDescent="0.25">
      <c r="A41" s="11">
        <v>7</v>
      </c>
      <c r="B41" s="10" t="s">
        <v>362</v>
      </c>
      <c r="C41" s="83">
        <v>1500</v>
      </c>
      <c r="D41" s="4">
        <f t="shared" si="3"/>
        <v>1500</v>
      </c>
      <c r="E41" s="4">
        <v>0</v>
      </c>
      <c r="F41" s="4">
        <v>0</v>
      </c>
      <c r="G41" s="4">
        <v>0</v>
      </c>
      <c r="H41" s="215">
        <v>0</v>
      </c>
      <c r="I41" s="4">
        <f t="shared" si="4"/>
        <v>0</v>
      </c>
      <c r="J41" s="215">
        <v>0</v>
      </c>
      <c r="K41" s="27">
        <f t="shared" si="5"/>
        <v>0</v>
      </c>
      <c r="M41" s="16"/>
    </row>
    <row r="42" spans="1:13" ht="20.25" customHeight="1" x14ac:dyDescent="0.25">
      <c r="A42" s="11">
        <v>8</v>
      </c>
      <c r="B42" s="10" t="s">
        <v>363</v>
      </c>
      <c r="C42" s="83">
        <v>598.29999999999995</v>
      </c>
      <c r="D42" s="4">
        <f t="shared" si="3"/>
        <v>598.29999999999995</v>
      </c>
      <c r="E42" s="4">
        <v>0</v>
      </c>
      <c r="F42" s="4">
        <v>0</v>
      </c>
      <c r="G42" s="4">
        <v>0</v>
      </c>
      <c r="H42" s="215">
        <v>0</v>
      </c>
      <c r="I42" s="4">
        <f t="shared" si="4"/>
        <v>0</v>
      </c>
      <c r="J42" s="215">
        <v>0</v>
      </c>
      <c r="K42" s="27">
        <f t="shared" si="5"/>
        <v>0</v>
      </c>
      <c r="M42" s="16"/>
    </row>
    <row r="43" spans="1:13" ht="38.25" customHeight="1" x14ac:dyDescent="0.25">
      <c r="A43" s="11">
        <v>9</v>
      </c>
      <c r="B43" s="10" t="s">
        <v>238</v>
      </c>
      <c r="C43" s="83">
        <v>200.35</v>
      </c>
      <c r="D43" s="4">
        <f t="shared" si="3"/>
        <v>200.35</v>
      </c>
      <c r="E43" s="4">
        <v>0</v>
      </c>
      <c r="F43" s="4">
        <v>0</v>
      </c>
      <c r="G43" s="4">
        <v>0</v>
      </c>
      <c r="H43" s="215">
        <v>0</v>
      </c>
      <c r="I43" s="4">
        <f t="shared" si="4"/>
        <v>0</v>
      </c>
      <c r="J43" s="215">
        <v>0</v>
      </c>
      <c r="K43" s="27">
        <f t="shared" si="5"/>
        <v>0</v>
      </c>
    </row>
    <row r="44" spans="1:13" ht="21" customHeight="1" x14ac:dyDescent="0.25">
      <c r="A44" s="11"/>
      <c r="B44" s="20" t="s">
        <v>365</v>
      </c>
      <c r="C44" s="3">
        <f>ROUND(SUM(C35:C43),2)</f>
        <v>5356.55</v>
      </c>
      <c r="D44" s="3">
        <f>SUM(D35:D43)</f>
        <v>4731.1099999999997</v>
      </c>
      <c r="E44" s="3">
        <f>SUM(E35:E43)</f>
        <v>566.99</v>
      </c>
      <c r="F44" s="3">
        <f>C44-D44-E44</f>
        <v>58.45</v>
      </c>
      <c r="G44" s="3">
        <f>SUM(G35:G43)</f>
        <v>0.52</v>
      </c>
      <c r="H44" s="207">
        <f>SUM(H35:H43)</f>
        <v>0.56000000000000005</v>
      </c>
      <c r="I44" s="3">
        <f t="shared" si="4"/>
        <v>57.93</v>
      </c>
      <c r="J44" s="207">
        <f>SUM(J35:J43)</f>
        <v>63.19</v>
      </c>
      <c r="K44" s="344">
        <f t="shared" si="5"/>
        <v>63.75</v>
      </c>
      <c r="L44" s="16"/>
      <c r="M44" s="16">
        <f>C25+C29+C44</f>
        <v>36396.339999999997</v>
      </c>
    </row>
    <row r="45" spans="1:13" ht="22.5" customHeight="1" x14ac:dyDescent="0.25">
      <c r="A45" s="11" t="s">
        <v>366</v>
      </c>
      <c r="B45" s="12" t="s">
        <v>132</v>
      </c>
      <c r="C45" s="83">
        <f>ROUND(C44*2%,2)+ROUND(C28*2%,2)-0.01</f>
        <v>143.38999999999999</v>
      </c>
      <c r="D45" s="83">
        <v>0</v>
      </c>
      <c r="E45" s="83">
        <v>0</v>
      </c>
      <c r="F45" s="4">
        <f>C45-D45-E45</f>
        <v>143.38999999999999</v>
      </c>
      <c r="G45" s="4">
        <f>F45/2</f>
        <v>71.7</v>
      </c>
      <c r="H45" s="215">
        <f>G45*H9</f>
        <v>77.290000000000006</v>
      </c>
      <c r="I45" s="4">
        <f t="shared" si="4"/>
        <v>71.69</v>
      </c>
      <c r="J45" s="215">
        <f>I45*H9*J9</f>
        <v>81.38</v>
      </c>
      <c r="K45" s="27">
        <f t="shared" si="5"/>
        <v>158.66999999999999</v>
      </c>
      <c r="L45" s="16"/>
      <c r="M45" s="16">
        <f>C26+C45</f>
        <v>727.92</v>
      </c>
    </row>
    <row r="46" spans="1:13" s="205" customFormat="1" ht="20.25" customHeight="1" x14ac:dyDescent="0.25">
      <c r="A46" s="332"/>
      <c r="B46" s="202" t="s">
        <v>367</v>
      </c>
      <c r="C46" s="207">
        <f>ROUND(SUM(C44:C45),2)</f>
        <v>5499.94</v>
      </c>
      <c r="D46" s="207">
        <f>D44+D45</f>
        <v>4731.1099999999997</v>
      </c>
      <c r="E46" s="207">
        <f>E44+E45</f>
        <v>566.99</v>
      </c>
      <c r="F46" s="207">
        <f>F44+F45</f>
        <v>201.84</v>
      </c>
      <c r="G46" s="207">
        <f>G44+G45</f>
        <v>72.22</v>
      </c>
      <c r="H46" s="207">
        <f>H44+H45</f>
        <v>77.849999999999994</v>
      </c>
      <c r="I46" s="207">
        <f>F46-G46</f>
        <v>129.62</v>
      </c>
      <c r="J46" s="207">
        <f>J44+J45</f>
        <v>144.57</v>
      </c>
      <c r="K46" s="345">
        <f t="shared" si="5"/>
        <v>222.42</v>
      </c>
      <c r="L46" s="208"/>
      <c r="M46" s="16">
        <f>C27+C28+C46</f>
        <v>37124.26</v>
      </c>
    </row>
    <row r="47" spans="1:13" ht="18" customHeight="1" x14ac:dyDescent="0.25">
      <c r="A47" s="333"/>
      <c r="B47" s="22" t="s">
        <v>136</v>
      </c>
      <c r="C47" s="13">
        <f>ROUND((C46-C36-C37-C41-C42),2)</f>
        <v>3357.64</v>
      </c>
      <c r="D47" s="13">
        <f>D46</f>
        <v>4731.1099999999997</v>
      </c>
      <c r="E47" s="13">
        <f>E46</f>
        <v>566.99</v>
      </c>
      <c r="F47" s="13">
        <f>F46</f>
        <v>201.84</v>
      </c>
      <c r="G47" s="13">
        <f>G46</f>
        <v>72.22</v>
      </c>
      <c r="H47" s="331">
        <f>H46</f>
        <v>77.849999999999994</v>
      </c>
      <c r="I47" s="218">
        <f>F47-G47</f>
        <v>129.62</v>
      </c>
      <c r="J47" s="331">
        <f>J46</f>
        <v>144.57</v>
      </c>
      <c r="K47" s="346">
        <f t="shared" si="5"/>
        <v>222.42</v>
      </c>
      <c r="L47" s="16"/>
      <c r="M47" s="9"/>
    </row>
    <row r="48" spans="1:13" ht="18" customHeight="1" x14ac:dyDescent="0.25">
      <c r="A48" s="43"/>
      <c r="B48" s="12" t="s">
        <v>11</v>
      </c>
      <c r="C48" s="83">
        <f>ROUND(C47*20%,2)</f>
        <v>671.53</v>
      </c>
      <c r="D48" s="83">
        <f>D47*0.2</f>
        <v>946.22</v>
      </c>
      <c r="E48" s="4">
        <f>E47*0.2</f>
        <v>113.4</v>
      </c>
      <c r="F48" s="4">
        <f>F47*0.2</f>
        <v>40.369999999999997</v>
      </c>
      <c r="G48" s="4">
        <f>G47*0.2</f>
        <v>14.44</v>
      </c>
      <c r="H48" s="215">
        <f>G48*H9</f>
        <v>15.57</v>
      </c>
      <c r="I48" s="4">
        <f>F48-G48</f>
        <v>25.93</v>
      </c>
      <c r="J48" s="215">
        <f>J47*0.2</f>
        <v>28.91</v>
      </c>
      <c r="K48" s="27">
        <f t="shared" si="5"/>
        <v>44.48</v>
      </c>
      <c r="L48" s="16"/>
      <c r="M48" s="9">
        <f>C32+C48</f>
        <v>6996.4</v>
      </c>
    </row>
    <row r="49" spans="1:17" x14ac:dyDescent="0.25">
      <c r="A49" s="47"/>
      <c r="B49" s="23" t="s">
        <v>5</v>
      </c>
      <c r="C49" s="90">
        <f>C46+C48</f>
        <v>6171.47</v>
      </c>
      <c r="D49" s="90">
        <f>D46+D48</f>
        <v>5677.33</v>
      </c>
      <c r="E49" s="90">
        <f>E46+E48</f>
        <v>680.39</v>
      </c>
      <c r="F49" s="90">
        <f>F48+F46</f>
        <v>242.21</v>
      </c>
      <c r="G49" s="90">
        <f>G48+G46</f>
        <v>86.66</v>
      </c>
      <c r="H49" s="90">
        <f>H48+H46</f>
        <v>93.42</v>
      </c>
      <c r="I49" s="90">
        <f>I46+I48</f>
        <v>155.55000000000001</v>
      </c>
      <c r="J49" s="90">
        <f>J46+J48</f>
        <v>173.48</v>
      </c>
      <c r="K49" s="347">
        <f t="shared" si="5"/>
        <v>266.89999999999998</v>
      </c>
    </row>
    <row r="50" spans="1:17" ht="19.5" customHeight="1" x14ac:dyDescent="0.25">
      <c r="A50" s="47"/>
      <c r="B50" s="23" t="s">
        <v>8</v>
      </c>
      <c r="C50" s="90">
        <f>C33+C49</f>
        <v>44120.66</v>
      </c>
      <c r="D50" s="90">
        <f>D33+D49</f>
        <v>5677.33</v>
      </c>
      <c r="E50" s="90">
        <f>E49</f>
        <v>680.39</v>
      </c>
      <c r="F50" s="90">
        <f t="shared" ref="F50:K50" si="6">F33+F49</f>
        <v>38191.4</v>
      </c>
      <c r="G50" s="90">
        <f t="shared" si="6"/>
        <v>2580.75</v>
      </c>
      <c r="H50" s="90">
        <f t="shared" si="6"/>
        <v>2782.06</v>
      </c>
      <c r="I50" s="90">
        <f t="shared" si="6"/>
        <v>35610.65</v>
      </c>
      <c r="J50" s="90">
        <f t="shared" si="6"/>
        <v>38845.39</v>
      </c>
      <c r="K50" s="347">
        <f t="shared" si="6"/>
        <v>41627.449999999997</v>
      </c>
      <c r="L50" s="16">
        <f>H50+J50</f>
        <v>41627.449999999997</v>
      </c>
      <c r="M50" s="16">
        <f>C33+C49</f>
        <v>44120.66</v>
      </c>
    </row>
    <row r="51" spans="1:17" ht="24" customHeight="1" x14ac:dyDescent="0.25">
      <c r="A51" s="8"/>
      <c r="B51" s="8"/>
      <c r="C51" s="80"/>
      <c r="D51" s="88"/>
      <c r="E51" s="88"/>
      <c r="F51" s="88"/>
      <c r="G51" s="88"/>
      <c r="H51" s="88"/>
      <c r="I51" s="88"/>
      <c r="J51" s="88"/>
      <c r="K51" s="88"/>
      <c r="L51" s="16"/>
    </row>
    <row r="52" spans="1:17" ht="30" customHeight="1" x14ac:dyDescent="0.25">
      <c r="A52" s="497" t="s">
        <v>247</v>
      </c>
      <c r="B52" s="498"/>
      <c r="C52" s="498"/>
      <c r="D52" s="498"/>
      <c r="E52" s="498"/>
      <c r="F52" s="498"/>
      <c r="G52" s="498"/>
      <c r="H52" s="498"/>
      <c r="I52" s="498"/>
      <c r="J52" s="498"/>
      <c r="K52" s="498"/>
      <c r="L52" s="16"/>
      <c r="M52" s="16"/>
    </row>
    <row r="53" spans="1:17" x14ac:dyDescent="0.25">
      <c r="A53" s="223"/>
      <c r="B53" s="221"/>
      <c r="C53" s="221"/>
      <c r="D53" s="221"/>
      <c r="E53" s="221"/>
      <c r="F53" s="221"/>
      <c r="G53" s="221"/>
      <c r="H53" s="221"/>
      <c r="I53" s="221"/>
      <c r="J53" s="221"/>
      <c r="K53" s="221"/>
      <c r="L53" s="16"/>
      <c r="M53" s="16">
        <f>C48+C32</f>
        <v>6996.4</v>
      </c>
    </row>
    <row r="54" spans="1:17" ht="15.75" customHeight="1" x14ac:dyDescent="0.25">
      <c r="A54" s="511" t="s">
        <v>149</v>
      </c>
      <c r="B54" s="511"/>
      <c r="C54" s="334">
        <v>270</v>
      </c>
      <c r="E54" s="221"/>
      <c r="F54" s="221"/>
      <c r="G54" s="221"/>
      <c r="H54" s="221"/>
      <c r="I54" s="221"/>
      <c r="J54" s="221"/>
      <c r="K54" s="221"/>
      <c r="L54" s="16"/>
      <c r="M54" s="16"/>
    </row>
    <row r="55" spans="1:17" x14ac:dyDescent="0.25">
      <c r="A55" s="349"/>
      <c r="B55" s="349" t="s">
        <v>148</v>
      </c>
      <c r="C55" s="334">
        <f>598300/1000</f>
        <v>598.29999999999995</v>
      </c>
      <c r="D55" s="223"/>
      <c r="E55" s="221"/>
      <c r="F55" s="221"/>
      <c r="G55" s="221"/>
      <c r="H55" s="221"/>
      <c r="I55" s="221"/>
      <c r="J55" s="221"/>
      <c r="K55" s="221"/>
      <c r="L55" s="16"/>
      <c r="M55" s="16"/>
    </row>
    <row r="56" spans="1:17" x14ac:dyDescent="0.25">
      <c r="A56" s="349"/>
      <c r="B56" s="349" t="s">
        <v>144</v>
      </c>
      <c r="C56" s="334">
        <f>598000/1000</f>
        <v>598</v>
      </c>
      <c r="D56" s="221"/>
      <c r="E56" s="221"/>
      <c r="F56" s="221"/>
      <c r="G56" s="221"/>
      <c r="H56" s="221"/>
      <c r="I56" s="221"/>
      <c r="J56" s="221"/>
      <c r="K56" s="221"/>
      <c r="L56" s="16"/>
      <c r="M56" s="16"/>
    </row>
    <row r="57" spans="1:17" x14ac:dyDescent="0.25">
      <c r="A57" s="349"/>
      <c r="B57" s="349" t="s">
        <v>145</v>
      </c>
      <c r="C57" s="334">
        <f>599000/1000</f>
        <v>599</v>
      </c>
      <c r="D57" s="221"/>
      <c r="E57" s="221"/>
      <c r="F57" s="221"/>
      <c r="G57" s="221"/>
      <c r="H57" s="221"/>
      <c r="I57" s="221"/>
      <c r="J57" s="221"/>
      <c r="K57" s="221"/>
      <c r="L57" s="16"/>
      <c r="M57" s="16"/>
    </row>
    <row r="58" spans="1:17" ht="24" x14ac:dyDescent="0.25">
      <c r="A58" s="349"/>
      <c r="B58" s="349" t="s">
        <v>150</v>
      </c>
      <c r="C58" s="334">
        <f>732497.63/1000</f>
        <v>732.5</v>
      </c>
      <c r="D58" s="221"/>
      <c r="E58" s="221"/>
      <c r="F58" s="221"/>
      <c r="G58" s="221"/>
      <c r="H58" s="221"/>
      <c r="I58" s="221"/>
      <c r="J58" s="221"/>
      <c r="K58" s="221"/>
      <c r="L58" s="16"/>
      <c r="M58" s="16"/>
    </row>
    <row r="59" spans="1:17" x14ac:dyDescent="0.25">
      <c r="A59" s="223"/>
      <c r="B59" s="221"/>
      <c r="C59" s="221"/>
      <c r="D59" s="221"/>
      <c r="E59" s="221"/>
      <c r="F59" s="221"/>
      <c r="G59" s="221"/>
      <c r="H59" s="221"/>
      <c r="I59" s="221"/>
      <c r="J59" s="221"/>
      <c r="K59" s="221"/>
      <c r="L59" s="16"/>
      <c r="M59" s="16"/>
    </row>
    <row r="60" spans="1:17" x14ac:dyDescent="0.25">
      <c r="A60" s="223"/>
      <c r="B60" s="221"/>
      <c r="C60" s="224" t="s">
        <v>35</v>
      </c>
      <c r="D60" s="221"/>
      <c r="E60" s="72"/>
      <c r="F60" s="221"/>
      <c r="G60" s="221"/>
      <c r="H60" s="221"/>
      <c r="I60" s="221"/>
      <c r="J60" s="221"/>
      <c r="K60" s="224" t="s">
        <v>56</v>
      </c>
      <c r="L60" s="16"/>
      <c r="O60" s="16"/>
      <c r="Q60" s="16"/>
    </row>
    <row r="61" spans="1:17" s="18" customFormat="1" ht="22.5" customHeight="1" x14ac:dyDescent="0.25">
      <c r="A61" s="225"/>
      <c r="B61" s="226" t="s">
        <v>15</v>
      </c>
      <c r="C61" s="227">
        <f>(C54+C55+C56+C57+C58)</f>
        <v>2797.8</v>
      </c>
      <c r="D61" s="228" t="s">
        <v>16</v>
      </c>
      <c r="E61" s="229">
        <f>E50</f>
        <v>680.39</v>
      </c>
      <c r="F61" s="230"/>
      <c r="G61" s="230"/>
      <c r="H61" s="224">
        <f>ROUND(E61*H9,2)</f>
        <v>733.46</v>
      </c>
      <c r="I61" s="224"/>
      <c r="J61" s="224"/>
      <c r="K61" s="227">
        <f>C61</f>
        <v>2797.8</v>
      </c>
      <c r="L61" s="17">
        <f>D50</f>
        <v>5677.33</v>
      </c>
      <c r="O61" s="17"/>
    </row>
    <row r="62" spans="1:17" ht="21" customHeight="1" x14ac:dyDescent="0.25">
      <c r="A62" s="225"/>
      <c r="B62" s="226" t="s">
        <v>17</v>
      </c>
      <c r="C62" s="227" t="e">
        <f>C33+#REF!*1.2+F45*1.2</f>
        <v>#REF!</v>
      </c>
      <c r="D62" s="230"/>
      <c r="E62" s="224"/>
      <c r="F62" s="230"/>
      <c r="G62" s="230"/>
      <c r="H62" s="230"/>
      <c r="I62" s="230"/>
      <c r="J62" s="230"/>
      <c r="K62" s="227">
        <f>H50</f>
        <v>2782.06</v>
      </c>
      <c r="L62" s="227">
        <f>K50</f>
        <v>41627.449999999997</v>
      </c>
      <c r="O62" s="16"/>
    </row>
    <row r="63" spans="1:17" ht="22.5" customHeight="1" x14ac:dyDescent="0.25">
      <c r="A63" s="225"/>
      <c r="B63" s="226" t="s">
        <v>36</v>
      </c>
      <c r="C63" s="224" t="e">
        <f>C62+E61</f>
        <v>#REF!</v>
      </c>
      <c r="D63" s="230"/>
      <c r="E63" s="230"/>
      <c r="F63" s="230"/>
      <c r="G63" s="230"/>
      <c r="H63" s="230"/>
      <c r="I63" s="230"/>
      <c r="J63" s="230"/>
      <c r="K63" s="227">
        <f>K62+H61</f>
        <v>3515.52</v>
      </c>
      <c r="L63" s="227">
        <f>L62+H61</f>
        <v>42360.91</v>
      </c>
      <c r="M63" s="16"/>
      <c r="O63" s="16"/>
    </row>
    <row r="64" spans="1:17" ht="18.75" customHeight="1" x14ac:dyDescent="0.25">
      <c r="A64" s="225"/>
      <c r="B64" s="226" t="s">
        <v>18</v>
      </c>
      <c r="C64" s="231" t="e">
        <f>C61+C63</f>
        <v>#REF!</v>
      </c>
      <c r="D64" s="230"/>
      <c r="E64" s="230"/>
      <c r="F64" s="230"/>
      <c r="G64" s="230"/>
      <c r="H64" s="230"/>
      <c r="I64" s="230"/>
      <c r="J64" s="230"/>
      <c r="K64" s="232">
        <f>K61+K63</f>
        <v>6313.32</v>
      </c>
      <c r="L64" s="232">
        <f>L61+L63</f>
        <v>48038.239999999998</v>
      </c>
      <c r="O64" s="16"/>
    </row>
    <row r="65" spans="1:16" ht="15.75" customHeight="1" x14ac:dyDescent="0.25">
      <c r="A65" s="225"/>
      <c r="B65" s="233"/>
      <c r="C65" s="234"/>
      <c r="D65" s="235"/>
      <c r="E65" s="235"/>
      <c r="F65" s="235"/>
      <c r="G65" s="235"/>
      <c r="H65" s="235"/>
      <c r="I65" s="235"/>
      <c r="J65" s="235"/>
      <c r="K65" s="234"/>
      <c r="L65" s="234">
        <f>L64-K61</f>
        <v>45240.44</v>
      </c>
      <c r="O65" s="16"/>
    </row>
    <row r="66" spans="1:16" ht="27.75" customHeight="1" x14ac:dyDescent="0.25">
      <c r="A66" s="499" t="s">
        <v>369</v>
      </c>
      <c r="B66" s="499"/>
      <c r="C66" s="499"/>
      <c r="D66" s="499"/>
      <c r="E66" s="499"/>
      <c r="F66" s="499"/>
      <c r="G66" s="499"/>
      <c r="H66" s="499"/>
      <c r="I66" s="350"/>
      <c r="J66" s="350"/>
      <c r="K66" s="237"/>
    </row>
    <row r="67" spans="1:16" ht="17.25" customHeight="1" x14ac:dyDescent="0.25">
      <c r="A67" s="512" t="s">
        <v>143</v>
      </c>
      <c r="B67" s="512"/>
      <c r="C67" s="512"/>
      <c r="D67" s="512"/>
      <c r="E67" s="512"/>
      <c r="F67" s="512"/>
      <c r="G67" s="512"/>
      <c r="H67" s="512"/>
      <c r="I67" s="350"/>
      <c r="J67" s="350"/>
      <c r="K67" s="350"/>
      <c r="M67" s="335"/>
      <c r="O67" s="16"/>
      <c r="P67" s="16"/>
    </row>
    <row r="68" spans="1:16" hidden="1" x14ac:dyDescent="0.25">
      <c r="A68" s="350"/>
      <c r="B68" s="350"/>
      <c r="C68" s="350"/>
      <c r="D68" s="350"/>
      <c r="E68" s="350"/>
      <c r="F68" s="350"/>
      <c r="G68" s="350"/>
      <c r="H68" s="350"/>
      <c r="I68" s="350"/>
      <c r="J68" s="350"/>
      <c r="K68" s="350"/>
      <c r="M68" s="335"/>
      <c r="O68" s="16"/>
      <c r="P68" s="16"/>
    </row>
    <row r="69" spans="1:16" ht="24" hidden="1" customHeight="1" x14ac:dyDescent="0.25">
      <c r="A69" s="354"/>
      <c r="B69" s="354"/>
      <c r="C69" s="354"/>
      <c r="D69" s="354"/>
      <c r="E69" s="354"/>
      <c r="F69" s="354"/>
      <c r="G69" s="354"/>
      <c r="H69" s="354"/>
      <c r="I69" s="354"/>
      <c r="J69" s="354"/>
      <c r="K69" s="354"/>
      <c r="M69" s="16"/>
      <c r="O69" s="16"/>
      <c r="P69" s="16"/>
    </row>
    <row r="70" spans="1:16" ht="17.25" hidden="1" customHeight="1" x14ac:dyDescent="0.25">
      <c r="A70" s="513"/>
      <c r="B70" s="514"/>
      <c r="C70" s="514"/>
      <c r="D70" s="239"/>
      <c r="E70" s="239"/>
      <c r="F70" s="239"/>
      <c r="G70" s="239"/>
      <c r="H70" s="240"/>
      <c r="I70" s="240"/>
      <c r="J70" s="240"/>
      <c r="K70" s="240"/>
    </row>
    <row r="71" spans="1:16" ht="15" customHeight="1" x14ac:dyDescent="0.25">
      <c r="A71" s="351"/>
      <c r="B71" s="352"/>
      <c r="C71" s="352"/>
      <c r="D71" s="239"/>
      <c r="E71" s="239"/>
      <c r="F71" s="239"/>
      <c r="G71" s="239"/>
      <c r="H71" s="240"/>
      <c r="I71" s="240"/>
      <c r="J71" s="240"/>
      <c r="K71" s="6"/>
      <c r="L71" s="16"/>
      <c r="M71" s="16"/>
    </row>
    <row r="72" spans="1:16" ht="15" customHeight="1" x14ac:dyDescent="0.25">
      <c r="A72" s="509" t="s">
        <v>28</v>
      </c>
      <c r="B72" s="509"/>
      <c r="C72" s="352"/>
      <c r="D72" s="239"/>
      <c r="E72" s="239"/>
      <c r="F72" s="239"/>
      <c r="G72" s="239"/>
      <c r="H72" s="240"/>
      <c r="I72" s="240"/>
      <c r="J72" s="240"/>
      <c r="K72" s="240" t="s">
        <v>153</v>
      </c>
      <c r="L72" s="16"/>
      <c r="M72" s="16"/>
    </row>
    <row r="73" spans="1:16" ht="17.25" customHeight="1" x14ac:dyDescent="0.25">
      <c r="A73" s="509"/>
      <c r="B73" s="509"/>
      <c r="C73" s="509"/>
      <c r="D73" s="239"/>
      <c r="E73" s="239"/>
      <c r="F73" s="239"/>
      <c r="G73" s="239"/>
      <c r="H73" s="240"/>
      <c r="I73" s="240"/>
      <c r="J73" s="240"/>
      <c r="K73" s="240"/>
      <c r="L73" s="16"/>
    </row>
    <row r="74" spans="1:16" ht="18.75" customHeight="1" x14ac:dyDescent="0.25">
      <c r="A74" s="509" t="s">
        <v>151</v>
      </c>
      <c r="B74" s="509"/>
      <c r="C74" s="348"/>
      <c r="D74" s="239"/>
      <c r="E74" s="239"/>
      <c r="F74" s="239"/>
      <c r="G74" s="239"/>
      <c r="H74" s="240"/>
      <c r="I74" s="240"/>
      <c r="J74" s="240"/>
      <c r="K74" s="240" t="s">
        <v>152</v>
      </c>
      <c r="P74" s="16"/>
    </row>
    <row r="75" spans="1:16" ht="18.75" customHeight="1" x14ac:dyDescent="0.25">
      <c r="A75" s="348"/>
      <c r="B75" s="348"/>
      <c r="C75" s="348"/>
      <c r="D75" s="239"/>
      <c r="E75" s="239"/>
      <c r="F75" s="239"/>
      <c r="G75" s="239"/>
      <c r="H75" s="240"/>
      <c r="I75" s="240"/>
      <c r="J75" s="240"/>
      <c r="K75" s="240"/>
      <c r="P75" s="16"/>
    </row>
    <row r="76" spans="1:16" x14ac:dyDescent="0.25">
      <c r="A76" s="510"/>
      <c r="B76" s="510"/>
      <c r="C76" s="336"/>
      <c r="D76" s="336"/>
      <c r="E76" s="336"/>
      <c r="F76" s="336"/>
      <c r="G76" s="336"/>
      <c r="H76" s="336"/>
      <c r="I76" s="336"/>
      <c r="J76" s="336"/>
    </row>
    <row r="77" spans="1:16" x14ac:dyDescent="0.25">
      <c r="A77" s="490" t="s">
        <v>248</v>
      </c>
      <c r="B77" s="491"/>
      <c r="C77" s="9"/>
      <c r="D77" s="9"/>
      <c r="E77" s="9"/>
      <c r="F77" s="9"/>
      <c r="G77" s="9"/>
      <c r="H77" s="9"/>
      <c r="I77" s="9"/>
      <c r="J77" s="9"/>
    </row>
    <row r="78" spans="1:16" ht="12" customHeight="1" x14ac:dyDescent="0.25">
      <c r="B78" s="19"/>
      <c r="C78" s="9"/>
      <c r="D78" s="9"/>
      <c r="E78" s="9"/>
      <c r="F78" s="9"/>
      <c r="G78" s="9"/>
      <c r="H78" s="9"/>
      <c r="I78" s="9"/>
      <c r="J78" s="9"/>
      <c r="K78" s="63"/>
    </row>
    <row r="79" spans="1:16" ht="30" customHeight="1" x14ac:dyDescent="0.25">
      <c r="C79" s="9"/>
      <c r="D79" s="9"/>
      <c r="E79" s="9"/>
      <c r="F79" s="9"/>
      <c r="G79" s="9"/>
      <c r="H79" s="9"/>
      <c r="I79" s="9"/>
      <c r="J79" s="9"/>
    </row>
    <row r="80" spans="1:16" s="337" customFormat="1" ht="18.75" customHeight="1" x14ac:dyDescent="0.25">
      <c r="A80" s="6"/>
      <c r="B80" s="6"/>
      <c r="C80" s="7"/>
      <c r="D80" s="7"/>
      <c r="E80" s="7"/>
      <c r="F80" s="7"/>
      <c r="G80" s="7"/>
      <c r="H80" s="7"/>
      <c r="I80" s="7"/>
      <c r="J80" s="7"/>
      <c r="K80" s="9"/>
    </row>
    <row r="81" spans="1:18" s="337" customFormat="1" ht="18.75" customHeight="1" x14ac:dyDescent="0.25">
      <c r="A81" s="6"/>
      <c r="B81" s="6"/>
      <c r="C81" s="7"/>
      <c r="D81" s="7"/>
      <c r="E81" s="7"/>
      <c r="F81" s="7"/>
      <c r="G81" s="7"/>
      <c r="H81" s="7"/>
      <c r="I81" s="7"/>
      <c r="J81" s="7"/>
      <c r="K81" s="9"/>
    </row>
    <row r="82" spans="1:18" s="337" customFormat="1" ht="18.75" customHeight="1" x14ac:dyDescent="0.25">
      <c r="A82" s="6"/>
      <c r="B82" s="6"/>
      <c r="C82" s="7"/>
      <c r="D82" s="7"/>
      <c r="E82" s="7"/>
      <c r="F82" s="7"/>
      <c r="G82" s="7"/>
      <c r="H82" s="7"/>
      <c r="I82" s="7"/>
      <c r="J82" s="7"/>
      <c r="K82" s="9"/>
    </row>
    <row r="83" spans="1:18" s="337" customFormat="1" ht="18.75" customHeight="1" x14ac:dyDescent="0.25">
      <c r="A83" s="6"/>
      <c r="B83" s="6"/>
      <c r="C83" s="7"/>
      <c r="D83" s="7"/>
      <c r="E83" s="7"/>
      <c r="F83" s="7"/>
      <c r="G83" s="7"/>
      <c r="H83" s="7"/>
      <c r="I83" s="7"/>
      <c r="J83" s="7"/>
      <c r="K83" s="9"/>
    </row>
    <row r="84" spans="1:18" ht="17.25" customHeight="1" x14ac:dyDescent="0.25"/>
    <row r="85" spans="1:18" ht="38.25" customHeight="1" x14ac:dyDescent="0.25">
      <c r="O85" s="16"/>
    </row>
    <row r="86" spans="1:18" ht="36" customHeight="1" x14ac:dyDescent="0.25"/>
    <row r="87" spans="1:18" s="9" customFormat="1" ht="36" customHeight="1" x14ac:dyDescent="0.25">
      <c r="A87" s="6"/>
      <c r="B87" s="6"/>
      <c r="C87" s="7"/>
      <c r="D87" s="7"/>
      <c r="E87" s="7"/>
      <c r="F87" s="7"/>
      <c r="G87" s="7"/>
      <c r="H87" s="7"/>
      <c r="I87" s="7"/>
      <c r="J87" s="7"/>
      <c r="L87" s="6"/>
      <c r="M87" s="6"/>
      <c r="N87" s="6"/>
      <c r="O87" s="6"/>
      <c r="P87" s="6"/>
      <c r="Q87" s="6"/>
      <c r="R87" s="6"/>
    </row>
  </sheetData>
  <mergeCells count="15">
    <mergeCell ref="A52:K52"/>
    <mergeCell ref="A74:B74"/>
    <mergeCell ref="A76:B76"/>
    <mergeCell ref="A77:B77"/>
    <mergeCell ref="A54:B54"/>
    <mergeCell ref="A66:H66"/>
    <mergeCell ref="A67:H67"/>
    <mergeCell ref="A70:C70"/>
    <mergeCell ref="A72:B72"/>
    <mergeCell ref="A73:C73"/>
    <mergeCell ref="A1:C5"/>
    <mergeCell ref="F1:K5"/>
    <mergeCell ref="A7:K7"/>
    <mergeCell ref="B8:K8"/>
    <mergeCell ref="O9:O10"/>
  </mergeCells>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topLeftCell="A22" zoomScaleNormal="100" zoomScaleSheetLayoutView="100" workbookViewId="0">
      <selection activeCell="D24" sqref="D24:E24"/>
    </sheetView>
  </sheetViews>
  <sheetFormatPr defaultRowHeight="12.75" x14ac:dyDescent="0.2"/>
  <cols>
    <col min="1" max="1" width="4.5703125" customWidth="1"/>
    <col min="2" max="2" width="15.5703125" customWidth="1"/>
    <col min="3" max="3" width="28.5703125" customWidth="1"/>
    <col min="4" max="8" width="11.85546875" customWidth="1"/>
  </cols>
  <sheetData>
    <row r="1" spans="1:8" ht="59.25" customHeight="1" x14ac:dyDescent="0.2"/>
    <row r="2" spans="1:8" x14ac:dyDescent="0.2">
      <c r="A2" s="515" t="s">
        <v>0</v>
      </c>
      <c r="B2" s="515" t="s">
        <v>20</v>
      </c>
      <c r="C2" s="515" t="s">
        <v>249</v>
      </c>
      <c r="D2" s="515" t="s">
        <v>37</v>
      </c>
      <c r="E2" s="515"/>
      <c r="F2" s="515"/>
      <c r="G2" s="515"/>
      <c r="H2" s="515"/>
    </row>
    <row r="3" spans="1:8" ht="89.25" x14ac:dyDescent="0.2">
      <c r="A3" s="515"/>
      <c r="B3" s="515"/>
      <c r="C3" s="515"/>
      <c r="D3" s="247" t="s">
        <v>250</v>
      </c>
      <c r="E3" s="247" t="s">
        <v>22</v>
      </c>
      <c r="F3" s="247" t="s">
        <v>23</v>
      </c>
      <c r="G3" s="247" t="s">
        <v>24</v>
      </c>
      <c r="H3" s="247" t="s">
        <v>38</v>
      </c>
    </row>
    <row r="4" spans="1:8" x14ac:dyDescent="0.2">
      <c r="A4" s="248" t="s">
        <v>251</v>
      </c>
      <c r="B4" s="248" t="s">
        <v>252</v>
      </c>
      <c r="C4" s="248" t="s">
        <v>253</v>
      </c>
      <c r="D4" s="248" t="s">
        <v>254</v>
      </c>
      <c r="E4" s="248" t="s">
        <v>255</v>
      </c>
      <c r="F4" s="248" t="s">
        <v>256</v>
      </c>
      <c r="G4" s="248" t="s">
        <v>257</v>
      </c>
      <c r="H4" s="248" t="s">
        <v>258</v>
      </c>
    </row>
    <row r="5" spans="1:8" x14ac:dyDescent="0.2">
      <c r="A5" s="516" t="s">
        <v>259</v>
      </c>
      <c r="B5" s="516"/>
      <c r="C5" s="516"/>
      <c r="D5" s="516"/>
      <c r="E5" s="516"/>
      <c r="F5" s="516"/>
      <c r="G5" s="516"/>
      <c r="H5" s="516"/>
    </row>
    <row r="6" spans="1:8" ht="63.75" x14ac:dyDescent="0.2">
      <c r="A6" s="250" t="s">
        <v>251</v>
      </c>
      <c r="B6" s="251" t="s">
        <v>160</v>
      </c>
      <c r="C6" s="251" t="s">
        <v>161</v>
      </c>
      <c r="D6" s="252">
        <v>145.97</v>
      </c>
      <c r="E6" s="252">
        <v>2.25</v>
      </c>
      <c r="F6" s="253"/>
      <c r="G6" s="253"/>
      <c r="H6" s="252">
        <v>148.22</v>
      </c>
    </row>
    <row r="7" spans="1:8" ht="38.25" x14ac:dyDescent="0.2">
      <c r="A7" s="250" t="s">
        <v>252</v>
      </c>
      <c r="B7" s="251" t="s">
        <v>162</v>
      </c>
      <c r="C7" s="251" t="s">
        <v>231</v>
      </c>
      <c r="D7" s="253"/>
      <c r="E7" s="253"/>
      <c r="F7" s="253"/>
      <c r="G7" s="252">
        <v>108.42</v>
      </c>
      <c r="H7" s="252">
        <v>108.42</v>
      </c>
    </row>
    <row r="8" spans="1:8" x14ac:dyDescent="0.2">
      <c r="A8" s="254"/>
      <c r="B8" s="249"/>
      <c r="C8" s="249" t="s">
        <v>163</v>
      </c>
      <c r="D8" s="255">
        <v>145.97</v>
      </c>
      <c r="E8" s="255">
        <v>2.25</v>
      </c>
      <c r="F8" s="256"/>
      <c r="G8" s="255">
        <v>108.42</v>
      </c>
      <c r="H8" s="255">
        <v>256.64</v>
      </c>
    </row>
    <row r="9" spans="1:8" ht="12.75" customHeight="1" x14ac:dyDescent="0.2">
      <c r="A9" s="518" t="s">
        <v>260</v>
      </c>
      <c r="B9" s="519"/>
      <c r="C9" s="519"/>
      <c r="D9" s="519"/>
      <c r="E9" s="519"/>
      <c r="F9" s="519"/>
      <c r="G9" s="519"/>
      <c r="H9" s="520"/>
    </row>
    <row r="10" spans="1:8" ht="25.5" x14ac:dyDescent="0.2">
      <c r="A10" s="250" t="s">
        <v>253</v>
      </c>
      <c r="B10" s="251" t="s">
        <v>164</v>
      </c>
      <c r="C10" s="251" t="s">
        <v>78</v>
      </c>
      <c r="D10" s="252">
        <v>7003.7</v>
      </c>
      <c r="E10" s="252">
        <v>2735.28</v>
      </c>
      <c r="F10" s="253"/>
      <c r="G10" s="253"/>
      <c r="H10" s="252">
        <v>9738.98</v>
      </c>
    </row>
    <row r="11" spans="1:8" ht="25.5" x14ac:dyDescent="0.2">
      <c r="A11" s="250" t="s">
        <v>254</v>
      </c>
      <c r="B11" s="251" t="s">
        <v>261</v>
      </c>
      <c r="C11" s="251" t="s">
        <v>262</v>
      </c>
      <c r="D11" s="252">
        <v>21395.91</v>
      </c>
      <c r="E11" s="252">
        <v>114.37</v>
      </c>
      <c r="F11" s="253"/>
      <c r="G11" s="253"/>
      <c r="H11" s="252">
        <v>21510.28</v>
      </c>
    </row>
    <row r="12" spans="1:8" ht="25.5" x14ac:dyDescent="0.2">
      <c r="A12" s="250" t="s">
        <v>255</v>
      </c>
      <c r="B12" s="251" t="s">
        <v>263</v>
      </c>
      <c r="C12" s="251" t="s">
        <v>264</v>
      </c>
      <c r="D12" s="252">
        <v>-727.03</v>
      </c>
      <c r="E12" s="252">
        <v>-543.04999999999995</v>
      </c>
      <c r="F12" s="253"/>
      <c r="G12" s="253"/>
      <c r="H12" s="252">
        <v>-1270.08</v>
      </c>
    </row>
    <row r="13" spans="1:8" x14ac:dyDescent="0.2">
      <c r="A13" s="254"/>
      <c r="B13" s="249"/>
      <c r="C13" s="249" t="s">
        <v>39</v>
      </c>
      <c r="D13" s="255">
        <v>27672.58</v>
      </c>
      <c r="E13" s="255">
        <v>2306.6</v>
      </c>
      <c r="F13" s="256"/>
      <c r="G13" s="256"/>
      <c r="H13" s="255">
        <v>29979.18</v>
      </c>
    </row>
    <row r="14" spans="1:8" x14ac:dyDescent="0.2">
      <c r="A14" s="516" t="s">
        <v>265</v>
      </c>
      <c r="B14" s="516"/>
      <c r="C14" s="516"/>
      <c r="D14" s="516"/>
      <c r="E14" s="516"/>
      <c r="F14" s="516"/>
      <c r="G14" s="516"/>
      <c r="H14" s="516"/>
    </row>
    <row r="15" spans="1:8" ht="25.5" x14ac:dyDescent="0.2">
      <c r="A15" s="250" t="s">
        <v>256</v>
      </c>
      <c r="B15" s="251" t="s">
        <v>165</v>
      </c>
      <c r="C15" s="251" t="s">
        <v>155</v>
      </c>
      <c r="D15" s="253"/>
      <c r="E15" s="252">
        <v>115.87</v>
      </c>
      <c r="F15" s="252">
        <v>226.09</v>
      </c>
      <c r="G15" s="253"/>
      <c r="H15" s="252">
        <v>341.96</v>
      </c>
    </row>
    <row r="16" spans="1:8" x14ac:dyDescent="0.2">
      <c r="A16" s="254"/>
      <c r="B16" s="249"/>
      <c r="C16" s="249" t="s">
        <v>166</v>
      </c>
      <c r="D16" s="256"/>
      <c r="E16" s="255">
        <v>115.87</v>
      </c>
      <c r="F16" s="255">
        <v>226.09</v>
      </c>
      <c r="G16" s="256"/>
      <c r="H16" s="255">
        <v>341.96</v>
      </c>
    </row>
    <row r="17" spans="1:8" x14ac:dyDescent="0.2">
      <c r="A17" s="516" t="s">
        <v>266</v>
      </c>
      <c r="B17" s="516"/>
      <c r="C17" s="516"/>
      <c r="D17" s="516"/>
      <c r="E17" s="516"/>
      <c r="F17" s="516"/>
      <c r="G17" s="516"/>
      <c r="H17" s="516"/>
    </row>
    <row r="18" spans="1:8" x14ac:dyDescent="0.2">
      <c r="A18" s="250" t="s">
        <v>257</v>
      </c>
      <c r="B18" s="251" t="s">
        <v>167</v>
      </c>
      <c r="C18" s="251" t="s">
        <v>156</v>
      </c>
      <c r="D18" s="252">
        <v>800.27</v>
      </c>
      <c r="E18" s="253"/>
      <c r="F18" s="253"/>
      <c r="G18" s="253"/>
      <c r="H18" s="252">
        <v>800.27</v>
      </c>
    </row>
    <row r="19" spans="1:8" x14ac:dyDescent="0.2">
      <c r="A19" s="254"/>
      <c r="B19" s="249"/>
      <c r="C19" s="249" t="s">
        <v>168</v>
      </c>
      <c r="D19" s="255">
        <v>800.27</v>
      </c>
      <c r="E19" s="256"/>
      <c r="F19" s="256"/>
      <c r="G19" s="256"/>
      <c r="H19" s="255">
        <v>800.27</v>
      </c>
    </row>
    <row r="20" spans="1:8" x14ac:dyDescent="0.2">
      <c r="A20" s="516" t="s">
        <v>267</v>
      </c>
      <c r="B20" s="516"/>
      <c r="C20" s="516"/>
      <c r="D20" s="516"/>
      <c r="E20" s="516"/>
      <c r="F20" s="516"/>
      <c r="G20" s="516"/>
      <c r="H20" s="516"/>
    </row>
    <row r="21" spans="1:8" ht="25.5" x14ac:dyDescent="0.2">
      <c r="A21" s="250" t="s">
        <v>258</v>
      </c>
      <c r="B21" s="251" t="s">
        <v>169</v>
      </c>
      <c r="C21" s="251" t="s">
        <v>88</v>
      </c>
      <c r="D21" s="252">
        <v>1477.68</v>
      </c>
      <c r="E21" s="253"/>
      <c r="F21" s="253"/>
      <c r="G21" s="253"/>
      <c r="H21" s="252">
        <v>1477.68</v>
      </c>
    </row>
    <row r="22" spans="1:8" x14ac:dyDescent="0.2">
      <c r="A22" s="250" t="s">
        <v>268</v>
      </c>
      <c r="B22" s="251" t="s">
        <v>170</v>
      </c>
      <c r="C22" s="251" t="s">
        <v>157</v>
      </c>
      <c r="D22" s="252">
        <v>34.479999999999997</v>
      </c>
      <c r="E22" s="252">
        <v>1789.8</v>
      </c>
      <c r="F22" s="252">
        <v>32.17</v>
      </c>
      <c r="G22" s="253"/>
      <c r="H22" s="252">
        <v>1856.45</v>
      </c>
    </row>
    <row r="23" spans="1:8" x14ac:dyDescent="0.2">
      <c r="A23" s="254"/>
      <c r="B23" s="249"/>
      <c r="C23" s="249" t="s">
        <v>89</v>
      </c>
      <c r="D23" s="255">
        <v>1512.16</v>
      </c>
      <c r="E23" s="255">
        <v>1789.8</v>
      </c>
      <c r="F23" s="255">
        <v>32.17</v>
      </c>
      <c r="G23" s="256"/>
      <c r="H23" s="255">
        <v>3334.13</v>
      </c>
    </row>
    <row r="24" spans="1:8" x14ac:dyDescent="0.2">
      <c r="A24" s="250"/>
      <c r="B24" s="251"/>
      <c r="C24" s="251" t="s">
        <v>41</v>
      </c>
      <c r="D24" s="252">
        <v>30130.98</v>
      </c>
      <c r="E24" s="252">
        <v>4214.5200000000004</v>
      </c>
      <c r="F24" s="252">
        <v>258.26</v>
      </c>
      <c r="G24" s="252">
        <v>108.42</v>
      </c>
      <c r="H24" s="252">
        <v>34712.18</v>
      </c>
    </row>
    <row r="25" spans="1:8" x14ac:dyDescent="0.2">
      <c r="A25" s="516" t="s">
        <v>269</v>
      </c>
      <c r="B25" s="516"/>
      <c r="C25" s="516"/>
      <c r="D25" s="516"/>
      <c r="E25" s="516"/>
      <c r="F25" s="516"/>
      <c r="G25" s="516"/>
      <c r="H25" s="516"/>
    </row>
    <row r="26" spans="1:8" ht="38.25" x14ac:dyDescent="0.2">
      <c r="A26" s="250" t="s">
        <v>270</v>
      </c>
      <c r="B26" s="251" t="s">
        <v>271</v>
      </c>
      <c r="C26" s="251" t="s">
        <v>272</v>
      </c>
      <c r="D26" s="252">
        <v>361.56</v>
      </c>
      <c r="E26" s="252">
        <v>50.57</v>
      </c>
      <c r="F26" s="253"/>
      <c r="G26" s="253"/>
      <c r="H26" s="252">
        <v>412.13</v>
      </c>
    </row>
    <row r="27" spans="1:8" x14ac:dyDescent="0.2">
      <c r="A27" s="254"/>
      <c r="B27" s="249"/>
      <c r="C27" s="249" t="s">
        <v>42</v>
      </c>
      <c r="D27" s="255">
        <v>361.56</v>
      </c>
      <c r="E27" s="255">
        <v>50.57</v>
      </c>
      <c r="F27" s="256"/>
      <c r="G27" s="256"/>
      <c r="H27" s="255">
        <v>412.13</v>
      </c>
    </row>
    <row r="28" spans="1:8" x14ac:dyDescent="0.2">
      <c r="A28" s="250"/>
      <c r="B28" s="251"/>
      <c r="C28" s="251" t="s">
        <v>43</v>
      </c>
      <c r="D28" s="252">
        <v>30492.54</v>
      </c>
      <c r="E28" s="252">
        <v>4265.09</v>
      </c>
      <c r="F28" s="252">
        <v>258.26</v>
      </c>
      <c r="G28" s="252">
        <v>108.42</v>
      </c>
      <c r="H28" s="252">
        <v>35124.31</v>
      </c>
    </row>
    <row r="29" spans="1:8" x14ac:dyDescent="0.2">
      <c r="A29" s="516" t="s">
        <v>273</v>
      </c>
      <c r="B29" s="516"/>
      <c r="C29" s="516"/>
      <c r="D29" s="516"/>
      <c r="E29" s="516"/>
      <c r="F29" s="516"/>
      <c r="G29" s="516"/>
      <c r="H29" s="516"/>
    </row>
    <row r="30" spans="1:8" ht="51" x14ac:dyDescent="0.2">
      <c r="A30" s="250" t="s">
        <v>274</v>
      </c>
      <c r="B30" s="251" t="s">
        <v>101</v>
      </c>
      <c r="C30" s="251" t="s">
        <v>171</v>
      </c>
      <c r="D30" s="253"/>
      <c r="E30" s="253"/>
      <c r="F30" s="253"/>
      <c r="G30" s="252">
        <v>0.59</v>
      </c>
      <c r="H30" s="252">
        <v>0.59</v>
      </c>
    </row>
    <row r="31" spans="1:8" ht="38.25" x14ac:dyDescent="0.2">
      <c r="A31" s="250" t="s">
        <v>275</v>
      </c>
      <c r="B31" s="251" t="s">
        <v>276</v>
      </c>
      <c r="C31" s="251" t="s">
        <v>158</v>
      </c>
      <c r="D31" s="253"/>
      <c r="E31" s="253"/>
      <c r="F31" s="253"/>
      <c r="G31" s="252">
        <v>7.0000000000000007E-2</v>
      </c>
      <c r="H31" s="252">
        <v>7.0000000000000007E-2</v>
      </c>
    </row>
    <row r="32" spans="1:8" x14ac:dyDescent="0.2">
      <c r="A32" s="254"/>
      <c r="B32" s="249"/>
      <c r="C32" s="249" t="s">
        <v>44</v>
      </c>
      <c r="D32" s="256"/>
      <c r="E32" s="256"/>
      <c r="F32" s="256"/>
      <c r="G32" s="255">
        <v>0.66</v>
      </c>
      <c r="H32" s="255">
        <v>0.66</v>
      </c>
    </row>
    <row r="33" spans="1:8" s="257" customFormat="1" x14ac:dyDescent="0.2">
      <c r="A33" s="338"/>
      <c r="B33" s="339"/>
      <c r="C33" s="339" t="s">
        <v>45</v>
      </c>
      <c r="D33" s="260">
        <v>30492.54</v>
      </c>
      <c r="E33" s="260">
        <v>4265.09</v>
      </c>
      <c r="F33" s="260">
        <v>258.26</v>
      </c>
      <c r="G33" s="260">
        <v>109.08</v>
      </c>
      <c r="H33" s="260">
        <v>35124.97</v>
      </c>
    </row>
    <row r="34" spans="1:8" ht="38.25" x14ac:dyDescent="0.2">
      <c r="A34" s="250">
        <v>13</v>
      </c>
      <c r="B34" s="251" t="s">
        <v>173</v>
      </c>
      <c r="C34" s="251" t="s">
        <v>277</v>
      </c>
      <c r="D34" s="340"/>
      <c r="E34" s="340"/>
      <c r="F34" s="340"/>
      <c r="G34" s="260">
        <v>1813.5</v>
      </c>
      <c r="H34" s="260">
        <v>1813.5</v>
      </c>
    </row>
    <row r="35" spans="1:8" x14ac:dyDescent="0.2">
      <c r="A35" s="250"/>
      <c r="B35" s="251"/>
      <c r="C35" s="251" t="s">
        <v>50</v>
      </c>
      <c r="D35" s="260">
        <f>D33+D34</f>
        <v>30492.54</v>
      </c>
      <c r="E35" s="260">
        <f>E33+E34</f>
        <v>4265.09</v>
      </c>
      <c r="F35" s="260">
        <f>F33+F34</f>
        <v>258.26</v>
      </c>
      <c r="G35" s="260">
        <f>G33+G34</f>
        <v>1922.58</v>
      </c>
      <c r="H35" s="260">
        <f>H33+H34</f>
        <v>36938.47</v>
      </c>
    </row>
    <row r="36" spans="1:8" ht="38.25" x14ac:dyDescent="0.2">
      <c r="A36" s="250">
        <v>14</v>
      </c>
      <c r="B36" s="251" t="s">
        <v>51</v>
      </c>
      <c r="C36" s="251" t="s">
        <v>278</v>
      </c>
      <c r="D36" s="260">
        <f>D33*0.02</f>
        <v>609.85</v>
      </c>
      <c r="E36" s="260">
        <f>E33*0.02</f>
        <v>85.3</v>
      </c>
      <c r="F36" s="260">
        <f>F33*0.02</f>
        <v>5.17</v>
      </c>
      <c r="G36" s="260">
        <f>G33*0.02</f>
        <v>2.1800000000000002</v>
      </c>
      <c r="H36" s="260">
        <f>H33*0.02</f>
        <v>702.5</v>
      </c>
    </row>
    <row r="37" spans="1:8" ht="25.5" x14ac:dyDescent="0.2">
      <c r="A37" s="250"/>
      <c r="B37" s="251"/>
      <c r="C37" s="251" t="s">
        <v>52</v>
      </c>
      <c r="D37" s="260">
        <f>D36+D35</f>
        <v>31102.39</v>
      </c>
      <c r="E37" s="260">
        <f>E36+E35</f>
        <v>4350.3900000000003</v>
      </c>
      <c r="F37" s="260">
        <f>F36+F35</f>
        <v>263.43</v>
      </c>
      <c r="G37" s="260">
        <f>G36+G35</f>
        <v>1924.76</v>
      </c>
      <c r="H37" s="260">
        <f>H36+H35</f>
        <v>37640.97</v>
      </c>
    </row>
    <row r="38" spans="1:8" ht="38.25" x14ac:dyDescent="0.2">
      <c r="A38" s="250">
        <v>15</v>
      </c>
      <c r="B38" s="251" t="s">
        <v>53</v>
      </c>
      <c r="C38" s="251" t="s">
        <v>279</v>
      </c>
      <c r="D38" s="260">
        <f>D37*0.2</f>
        <v>6220.48</v>
      </c>
      <c r="E38" s="260">
        <f>E37*0.2</f>
        <v>870.08</v>
      </c>
      <c r="F38" s="260">
        <f>F37*0.2</f>
        <v>52.69</v>
      </c>
      <c r="G38" s="260">
        <f>G37*0.2</f>
        <v>384.95</v>
      </c>
      <c r="H38" s="260">
        <f>H37*0.2+0.01</f>
        <v>7528.2</v>
      </c>
    </row>
    <row r="39" spans="1:8" ht="24" x14ac:dyDescent="0.2">
      <c r="A39" s="341"/>
      <c r="B39" s="342"/>
      <c r="C39" s="342" t="s">
        <v>54</v>
      </c>
      <c r="D39" s="343">
        <f>D38+D37</f>
        <v>37322.870000000003</v>
      </c>
      <c r="E39" s="343">
        <f>E38+E37</f>
        <v>5220.47</v>
      </c>
      <c r="F39" s="343">
        <f>F38+F37</f>
        <v>316.12</v>
      </c>
      <c r="G39" s="343">
        <f>G38+G37</f>
        <v>2309.71</v>
      </c>
      <c r="H39" s="343">
        <f>H38+H37</f>
        <v>45169.17</v>
      </c>
    </row>
    <row r="40" spans="1:8" x14ac:dyDescent="0.2">
      <c r="A40" s="517"/>
      <c r="B40" s="517"/>
      <c r="C40" s="517"/>
      <c r="D40" s="517"/>
      <c r="E40" s="517"/>
      <c r="F40" s="517"/>
      <c r="G40" s="517"/>
      <c r="H40" s="517"/>
    </row>
  </sheetData>
  <mergeCells count="12">
    <mergeCell ref="A29:H29"/>
    <mergeCell ref="A40:H40"/>
    <mergeCell ref="A9:H9"/>
    <mergeCell ref="A14:H14"/>
    <mergeCell ref="A17:H17"/>
    <mergeCell ref="A20:H20"/>
    <mergeCell ref="A25:H25"/>
    <mergeCell ref="A2:A3"/>
    <mergeCell ref="B2:B3"/>
    <mergeCell ref="C2:C3"/>
    <mergeCell ref="D2:H2"/>
    <mergeCell ref="A5:H5"/>
  </mergeCell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33"/>
  <sheetViews>
    <sheetView view="pageBreakPreview" topLeftCell="A19" zoomScaleNormal="100" zoomScaleSheetLayoutView="100" workbookViewId="0">
      <selection activeCell="B20" sqref="B20"/>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36" t="s">
        <v>228</v>
      </c>
      <c r="B10" s="537"/>
      <c r="C10" s="537"/>
      <c r="D10" s="537"/>
      <c r="E10" s="537"/>
      <c r="F10" s="537"/>
    </row>
    <row r="11" spans="1:256" ht="15.75" x14ac:dyDescent="0.25">
      <c r="A11" s="538" t="s">
        <v>222</v>
      </c>
      <c r="B11" s="538"/>
      <c r="C11" s="538"/>
      <c r="D11" s="538"/>
      <c r="E11" s="538"/>
      <c r="F11" s="538"/>
    </row>
    <row r="12" spans="1:256" ht="15.75" x14ac:dyDescent="0.25">
      <c r="A12" s="539" t="s">
        <v>221</v>
      </c>
      <c r="B12" s="539"/>
      <c r="C12" s="539"/>
      <c r="D12" s="539"/>
      <c r="E12" s="539"/>
      <c r="F12" s="53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323"/>
      <c r="J17" s="133">
        <v>7</v>
      </c>
      <c r="K17" s="133">
        <v>8</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308" t="s">
        <v>190</v>
      </c>
      <c r="B18" s="135">
        <f>34345.5-B27</f>
        <v>12835.22</v>
      </c>
      <c r="C18" s="134">
        <f>F74</f>
        <v>1.0575000000000001</v>
      </c>
      <c r="D18" s="135">
        <f t="shared" ref="D18:D24" si="0">B18*C18</f>
        <v>13573.25</v>
      </c>
      <c r="E18" s="134">
        <f>D109</f>
        <v>1.0233000000000001</v>
      </c>
      <c r="F18" s="135">
        <f>D18*E18</f>
        <v>13889.51</v>
      </c>
      <c r="G18" s="136"/>
      <c r="H18" s="136"/>
      <c r="I18" s="283"/>
      <c r="J18" s="136"/>
      <c r="K18" s="136"/>
      <c r="L18" s="137"/>
      <c r="M18" s="137"/>
      <c r="N18" s="137"/>
      <c r="O18" s="137"/>
      <c r="P18" s="138"/>
    </row>
    <row r="19" spans="1:256" ht="15.75" x14ac:dyDescent="0.25">
      <c r="A19" s="308" t="s">
        <v>308</v>
      </c>
      <c r="B19" s="135">
        <v>258.26</v>
      </c>
      <c r="C19" s="134">
        <f>F74</f>
        <v>1.0575000000000001</v>
      </c>
      <c r="D19" s="135">
        <f t="shared" si="0"/>
        <v>273.11</v>
      </c>
      <c r="E19" s="134">
        <f>D109</f>
        <v>1.0233000000000001</v>
      </c>
      <c r="F19" s="135">
        <f t="shared" ref="F19:F24" si="1">D19*E19</f>
        <v>279.47000000000003</v>
      </c>
      <c r="G19" s="136"/>
      <c r="H19" s="136"/>
      <c r="I19" s="283"/>
      <c r="J19" s="136"/>
      <c r="K19" s="136"/>
      <c r="L19" s="137">
        <f>(B18+B19+B27)*0.012</f>
        <v>415.24511999999999</v>
      </c>
      <c r="M19" s="137">
        <f>D23*E22</f>
        <v>14742.744498</v>
      </c>
      <c r="N19" s="137"/>
      <c r="O19" s="137"/>
      <c r="P19" s="138"/>
    </row>
    <row r="20" spans="1:256" ht="31.5" x14ac:dyDescent="0.25">
      <c r="A20" s="309" t="s">
        <v>312</v>
      </c>
      <c r="B20" s="135">
        <f>(B18)*0.012-0.01</f>
        <v>154.01</v>
      </c>
      <c r="C20" s="134">
        <f>F74</f>
        <v>1.0575000000000001</v>
      </c>
      <c r="D20" s="135">
        <f t="shared" si="0"/>
        <v>162.87</v>
      </c>
      <c r="E20" s="134">
        <f>D109</f>
        <v>1.0233000000000001</v>
      </c>
      <c r="F20" s="135">
        <f t="shared" si="1"/>
        <v>166.66</v>
      </c>
      <c r="G20" s="136"/>
      <c r="H20" s="136"/>
      <c r="I20" s="283"/>
      <c r="J20" s="136"/>
      <c r="K20" s="136"/>
      <c r="L20" s="140">
        <f>B20+B28</f>
        <v>412.13</v>
      </c>
      <c r="M20" s="137"/>
      <c r="N20" s="137"/>
      <c r="O20" s="137"/>
      <c r="P20" s="138"/>
    </row>
    <row r="21" spans="1:256" ht="15.75" x14ac:dyDescent="0.25">
      <c r="A21" s="308" t="s">
        <v>309</v>
      </c>
      <c r="B21" s="135">
        <v>109.08</v>
      </c>
      <c r="C21" s="134">
        <f>F74</f>
        <v>1.0575000000000001</v>
      </c>
      <c r="D21" s="135">
        <f t="shared" si="0"/>
        <v>115.35</v>
      </c>
      <c r="E21" s="134">
        <f>D109</f>
        <v>1.0233000000000001</v>
      </c>
      <c r="F21" s="135">
        <f t="shared" si="1"/>
        <v>118.04</v>
      </c>
      <c r="G21" s="136"/>
      <c r="H21" s="136"/>
      <c r="I21" s="283"/>
      <c r="J21" s="136"/>
      <c r="K21" s="136"/>
      <c r="L21" s="140">
        <f>B18+B19+B20+B21+B27+B28</f>
        <v>35124.97</v>
      </c>
      <c r="M21" s="140" t="e">
        <f>C18+#REF!+C19+C20+C21</f>
        <v>#REF!</v>
      </c>
      <c r="N21" s="140" t="e">
        <f>D18+#REF!+D19+D20+D21</f>
        <v>#REF!</v>
      </c>
      <c r="O21" s="140" t="e">
        <f>F18+#REF!+F19+F20+F21</f>
        <v>#REF!</v>
      </c>
      <c r="P21" s="138"/>
    </row>
    <row r="22" spans="1:256" ht="31.5" x14ac:dyDescent="0.25">
      <c r="A22" s="310" t="s">
        <v>191</v>
      </c>
      <c r="B22" s="135">
        <f>(B18+B19+B20+B21)*0.02</f>
        <v>267.13</v>
      </c>
      <c r="C22" s="134">
        <f>F74</f>
        <v>1.0575000000000001</v>
      </c>
      <c r="D22" s="135">
        <f t="shared" si="0"/>
        <v>282.49</v>
      </c>
      <c r="E22" s="134">
        <f>D109</f>
        <v>1.0233000000000001</v>
      </c>
      <c r="F22" s="135">
        <f t="shared" si="1"/>
        <v>289.07</v>
      </c>
      <c r="G22" s="136"/>
      <c r="H22" s="136"/>
      <c r="I22" s="283"/>
      <c r="J22" s="136"/>
      <c r="K22" s="136"/>
      <c r="L22" s="140">
        <f>L21*0.02</f>
        <v>702.5</v>
      </c>
      <c r="M22" s="140" t="e">
        <f>M21*0.02</f>
        <v>#REF!</v>
      </c>
      <c r="N22" s="140" t="e">
        <f>N21*0.02</f>
        <v>#REF!</v>
      </c>
      <c r="O22" s="137">
        <f>D22*E21</f>
        <v>289.07201700000002</v>
      </c>
      <c r="P22" s="138"/>
    </row>
    <row r="23" spans="1:256" ht="15.75" x14ac:dyDescent="0.25">
      <c r="A23" s="308" t="s">
        <v>192</v>
      </c>
      <c r="B23" s="135">
        <f>SUM(B18:B22)</f>
        <v>13623.7</v>
      </c>
      <c r="C23" s="134">
        <f>F74</f>
        <v>1.0575000000000001</v>
      </c>
      <c r="D23" s="135">
        <f t="shared" si="0"/>
        <v>14407.06</v>
      </c>
      <c r="E23" s="134">
        <f>D109</f>
        <v>1.0233000000000001</v>
      </c>
      <c r="F23" s="135">
        <f t="shared" si="1"/>
        <v>14742.74</v>
      </c>
      <c r="G23" s="136"/>
      <c r="H23" s="136"/>
      <c r="I23" s="283"/>
      <c r="J23" s="136"/>
      <c r="K23" s="136"/>
      <c r="L23" s="140">
        <f>D18+D19+D20+D21+D22</f>
        <v>14407.07</v>
      </c>
      <c r="M23" s="140">
        <f>E18+E19+E20+E21+E22</f>
        <v>5.12</v>
      </c>
      <c r="N23" s="140">
        <f>F18+F19+F20+F21+F22</f>
        <v>14742.75</v>
      </c>
      <c r="O23" s="137"/>
      <c r="P23" s="138"/>
    </row>
    <row r="24" spans="1:256" ht="15.75" x14ac:dyDescent="0.25">
      <c r="A24" s="308" t="s">
        <v>193</v>
      </c>
      <c r="B24" s="135">
        <f>B23*0.2+0.01</f>
        <v>2724.75</v>
      </c>
      <c r="C24" s="134">
        <f>F74</f>
        <v>1.0575000000000001</v>
      </c>
      <c r="D24" s="135">
        <f t="shared" si="0"/>
        <v>2881.42</v>
      </c>
      <c r="E24" s="134">
        <f>D109</f>
        <v>1.0233000000000001</v>
      </c>
      <c r="F24" s="135">
        <f t="shared" si="1"/>
        <v>2948.56</v>
      </c>
      <c r="G24" s="136"/>
      <c r="H24" s="136"/>
      <c r="I24" s="283"/>
      <c r="J24" s="136"/>
      <c r="K24" s="136"/>
      <c r="L24" s="137">
        <f>D23*0.2</f>
        <v>2881.4119999999998</v>
      </c>
      <c r="M24" s="137">
        <f>D23*0.2</f>
        <v>2881.4119999999998</v>
      </c>
      <c r="N24" s="137">
        <f>N23*0.2</f>
        <v>2948.55</v>
      </c>
      <c r="O24" s="137"/>
      <c r="P24" s="138"/>
    </row>
    <row r="25" spans="1:256" ht="15.75" x14ac:dyDescent="0.25">
      <c r="A25" s="272" t="s">
        <v>346</v>
      </c>
      <c r="B25" s="135">
        <f>B23+B24</f>
        <v>16348.45</v>
      </c>
      <c r="C25" s="134"/>
      <c r="D25" s="135">
        <f>D23+D24</f>
        <v>17288.48</v>
      </c>
      <c r="E25" s="134"/>
      <c r="F25" s="135">
        <f>F23+F24</f>
        <v>17691.3</v>
      </c>
      <c r="G25" s="136"/>
      <c r="H25" s="136"/>
      <c r="I25" s="283"/>
      <c r="J25" s="135"/>
      <c r="K25" s="135"/>
      <c r="L25" s="137">
        <f>J25+K25</f>
        <v>0</v>
      </c>
      <c r="M25" s="137"/>
      <c r="N25" s="137"/>
      <c r="O25" s="137"/>
      <c r="P25" s="138"/>
    </row>
    <row r="26" spans="1:256" ht="15.75" x14ac:dyDescent="0.25">
      <c r="A26" s="272"/>
      <c r="B26" s="135"/>
      <c r="C26" s="134"/>
      <c r="D26" s="135"/>
      <c r="E26" s="134"/>
      <c r="F26" s="135"/>
      <c r="G26" s="136"/>
      <c r="H26" s="136"/>
      <c r="I26" s="283"/>
      <c r="J26" s="136"/>
      <c r="K26" s="136"/>
      <c r="L26" s="137">
        <f>B25*C24</f>
        <v>17288.485874999998</v>
      </c>
      <c r="M26" s="137"/>
      <c r="N26" s="137"/>
      <c r="O26" s="137"/>
      <c r="P26" s="138"/>
    </row>
    <row r="27" spans="1:256" ht="47.25" x14ac:dyDescent="0.25">
      <c r="A27" s="311" t="s">
        <v>339</v>
      </c>
      <c r="B27" s="135">
        <v>21510.28</v>
      </c>
      <c r="C27" s="134">
        <f>F77</f>
        <v>1.0172000000000001</v>
      </c>
      <c r="D27" s="135">
        <f>B27*C27</f>
        <v>21880.26</v>
      </c>
      <c r="E27" s="134">
        <f>D109</f>
        <v>1.0233000000000001</v>
      </c>
      <c r="F27" s="135">
        <f>D27*E27</f>
        <v>22390.07</v>
      </c>
      <c r="G27" s="136"/>
      <c r="H27" s="136"/>
      <c r="I27" s="283"/>
      <c r="J27" s="136"/>
      <c r="K27" s="136"/>
      <c r="L27" s="140">
        <f>B18+B27</f>
        <v>34345.5</v>
      </c>
      <c r="M27" s="137"/>
      <c r="N27" s="137"/>
      <c r="O27" s="137"/>
      <c r="P27" s="138"/>
    </row>
    <row r="28" spans="1:256" ht="31.5" x14ac:dyDescent="0.25">
      <c r="A28" s="311" t="s">
        <v>312</v>
      </c>
      <c r="B28" s="135">
        <f>B27*0.012</f>
        <v>258.12</v>
      </c>
      <c r="C28" s="134">
        <f>F77</f>
        <v>1.0172000000000001</v>
      </c>
      <c r="D28" s="135">
        <f>B28*C28</f>
        <v>262.56</v>
      </c>
      <c r="E28" s="134">
        <f>D109</f>
        <v>1.0233000000000001</v>
      </c>
      <c r="F28" s="135">
        <f>D28*E28</f>
        <v>268.68</v>
      </c>
      <c r="G28" s="136"/>
      <c r="H28" s="136"/>
      <c r="I28" s="283"/>
      <c r="J28" s="136"/>
      <c r="K28" s="136"/>
      <c r="L28" s="137"/>
      <c r="M28" s="137"/>
      <c r="N28" s="137"/>
      <c r="O28" s="137"/>
      <c r="P28" s="138"/>
    </row>
    <row r="29" spans="1:256" ht="31.5" x14ac:dyDescent="0.25">
      <c r="A29" s="312" t="s">
        <v>191</v>
      </c>
      <c r="B29" s="135">
        <f>(B27+B28)*0.02</f>
        <v>435.37</v>
      </c>
      <c r="C29" s="134">
        <f>F77</f>
        <v>1.0172000000000001</v>
      </c>
      <c r="D29" s="135">
        <f>B29*C29</f>
        <v>442.86</v>
      </c>
      <c r="E29" s="134">
        <f>D109</f>
        <v>1.0233000000000001</v>
      </c>
      <c r="F29" s="135">
        <f>D29*E29-0.01</f>
        <v>453.17</v>
      </c>
      <c r="G29" s="136"/>
      <c r="H29" s="136"/>
      <c r="I29" s="283"/>
      <c r="J29" s="136"/>
      <c r="K29" s="136"/>
      <c r="L29" s="137"/>
      <c r="M29" s="140">
        <f>B22+B29</f>
        <v>702.5</v>
      </c>
      <c r="N29" s="137"/>
      <c r="O29" s="137"/>
      <c r="P29" s="138"/>
    </row>
    <row r="30" spans="1:256" ht="15.75" x14ac:dyDescent="0.25">
      <c r="A30" s="313" t="s">
        <v>192</v>
      </c>
      <c r="B30" s="135">
        <f>B27+B28+B29</f>
        <v>22203.77</v>
      </c>
      <c r="C30" s="134">
        <f>F77</f>
        <v>1.0172000000000001</v>
      </c>
      <c r="D30" s="135">
        <f>B30*C30</f>
        <v>22585.67</v>
      </c>
      <c r="E30" s="134">
        <f>D109</f>
        <v>1.0233000000000001</v>
      </c>
      <c r="F30" s="135">
        <f>D30*E30</f>
        <v>23111.919999999998</v>
      </c>
      <c r="G30" s="136"/>
      <c r="H30" s="136"/>
      <c r="I30" s="283"/>
      <c r="J30" s="136"/>
      <c r="K30" s="136"/>
      <c r="L30" s="140">
        <f>D27+D28+D29</f>
        <v>22585.68</v>
      </c>
      <c r="M30" s="137"/>
      <c r="N30" s="137"/>
      <c r="O30" s="137"/>
      <c r="P30" s="138"/>
    </row>
    <row r="31" spans="1:256" ht="15.75" x14ac:dyDescent="0.25">
      <c r="A31" s="313" t="s">
        <v>193</v>
      </c>
      <c r="B31" s="135">
        <f>B30*0.2</f>
        <v>4440.75</v>
      </c>
      <c r="C31" s="134">
        <f>F77</f>
        <v>1.0172000000000001</v>
      </c>
      <c r="D31" s="135">
        <f>B31*C31</f>
        <v>4517.13</v>
      </c>
      <c r="E31" s="134">
        <f>D109</f>
        <v>1.0233000000000001</v>
      </c>
      <c r="F31" s="135">
        <f>D31*E31</f>
        <v>4622.38</v>
      </c>
      <c r="G31" s="136"/>
      <c r="H31" s="136"/>
      <c r="I31" s="283"/>
      <c r="J31" s="136"/>
      <c r="K31" s="136"/>
      <c r="L31" s="140">
        <f>L30*0.2</f>
        <v>4517.1400000000003</v>
      </c>
      <c r="M31" s="137">
        <f>F30*0.2</f>
        <v>4622.384</v>
      </c>
      <c r="N31" s="137"/>
      <c r="O31" s="137"/>
      <c r="P31" s="138"/>
    </row>
    <row r="32" spans="1:256" ht="15.75" x14ac:dyDescent="0.25">
      <c r="A32" s="271" t="s">
        <v>346</v>
      </c>
      <c r="B32" s="275">
        <f>B30+B31</f>
        <v>26644.52</v>
      </c>
      <c r="C32" s="134"/>
      <c r="D32" s="275">
        <f>D30+D31</f>
        <v>27102.799999999999</v>
      </c>
      <c r="E32" s="134"/>
      <c r="F32" s="135">
        <f>F30+F31</f>
        <v>27734.3</v>
      </c>
      <c r="G32" s="136"/>
      <c r="H32" s="136"/>
      <c r="I32" s="283"/>
      <c r="J32" s="136"/>
      <c r="K32" s="136"/>
      <c r="L32" s="137">
        <f>B32*C31</f>
        <v>27102.805744000001</v>
      </c>
      <c r="M32" s="137"/>
      <c r="N32" s="137">
        <f>D32*E31</f>
        <v>27734.295239999999</v>
      </c>
      <c r="O32" s="137"/>
      <c r="P32" s="138"/>
    </row>
    <row r="33" spans="1:256" ht="15.75" x14ac:dyDescent="0.25">
      <c r="A33" s="271" t="s">
        <v>310</v>
      </c>
      <c r="B33" s="275">
        <f>B25+B32</f>
        <v>42992.97</v>
      </c>
      <c r="C33" s="134"/>
      <c r="D33" s="275">
        <f>D25+D32</f>
        <v>44391.28</v>
      </c>
      <c r="E33" s="134"/>
      <c r="F33" s="275">
        <f>F25+F32</f>
        <v>45425.599999999999</v>
      </c>
      <c r="G33" s="136"/>
      <c r="H33" s="136"/>
      <c r="I33" s="283"/>
      <c r="J33" s="275">
        <f>F33*E81</f>
        <v>272.55</v>
      </c>
      <c r="K33" s="275">
        <f>F33*E82</f>
        <v>45153.05</v>
      </c>
      <c r="L33" s="140">
        <f>B33*C18</f>
        <v>45465.07</v>
      </c>
      <c r="M33" s="140">
        <f>J33+K33</f>
        <v>45425.599999999999</v>
      </c>
      <c r="N33" s="137"/>
      <c r="O33" s="137"/>
      <c r="P33" s="138"/>
    </row>
    <row r="34" spans="1:256" ht="15.75" x14ac:dyDescent="0.25">
      <c r="A34" s="271"/>
      <c r="B34" s="275"/>
      <c r="C34" s="282"/>
      <c r="D34" s="275"/>
      <c r="E34" s="282"/>
      <c r="F34" s="275"/>
      <c r="G34" s="136"/>
      <c r="H34" s="136"/>
      <c r="I34" s="283"/>
      <c r="J34" s="275"/>
      <c r="K34" s="275"/>
      <c r="L34" s="140"/>
      <c r="M34" s="140"/>
      <c r="N34" s="137"/>
      <c r="O34" s="137"/>
      <c r="P34" s="138"/>
    </row>
    <row r="35" spans="1:256" ht="15.75" x14ac:dyDescent="0.25">
      <c r="A35" s="314" t="s">
        <v>311</v>
      </c>
      <c r="B35" s="135">
        <v>1813.5</v>
      </c>
      <c r="C35" s="134">
        <f>F74</f>
        <v>1.0575000000000001</v>
      </c>
      <c r="D35" s="135">
        <f>B35*C35</f>
        <v>1917.78</v>
      </c>
      <c r="E35" s="134">
        <f>C120</f>
        <v>1.0158</v>
      </c>
      <c r="F35" s="135">
        <f>D35*E35</f>
        <v>1948.08</v>
      </c>
      <c r="G35" s="136"/>
      <c r="H35" s="136"/>
      <c r="I35" s="283"/>
      <c r="J35" s="136"/>
      <c r="K35" s="136"/>
      <c r="L35" s="137"/>
      <c r="M35" s="137"/>
      <c r="N35" s="137"/>
      <c r="O35" s="137"/>
      <c r="P35" s="138"/>
    </row>
    <row r="36" spans="1:256" ht="15.75" x14ac:dyDescent="0.25">
      <c r="A36" s="314" t="s">
        <v>192</v>
      </c>
      <c r="B36" s="135">
        <f>B35</f>
        <v>1813.5</v>
      </c>
      <c r="C36" s="134">
        <f>F74</f>
        <v>1.0575000000000001</v>
      </c>
      <c r="D36" s="135">
        <f>B36*C36</f>
        <v>1917.78</v>
      </c>
      <c r="E36" s="134">
        <f>C120</f>
        <v>1.0158</v>
      </c>
      <c r="F36" s="135">
        <f>D36*E36</f>
        <v>1948.08</v>
      </c>
      <c r="G36" s="136"/>
      <c r="H36" s="136"/>
      <c r="I36" s="283"/>
      <c r="J36" s="136"/>
      <c r="K36" s="136"/>
      <c r="L36" s="137"/>
      <c r="M36" s="137"/>
      <c r="N36" s="137"/>
      <c r="O36" s="137"/>
      <c r="S36" s="138"/>
    </row>
    <row r="37" spans="1:256" ht="15.75" x14ac:dyDescent="0.25">
      <c r="A37" s="314" t="s">
        <v>193</v>
      </c>
      <c r="B37" s="141">
        <f>B36*0.2</f>
        <v>362.7</v>
      </c>
      <c r="C37" s="134">
        <f>F74</f>
        <v>1.0575000000000001</v>
      </c>
      <c r="D37" s="135">
        <f>B37*C37</f>
        <v>383.56</v>
      </c>
      <c r="E37" s="134">
        <f>C120</f>
        <v>1.0158</v>
      </c>
      <c r="F37" s="135">
        <f>F36*0.2</f>
        <v>389.62</v>
      </c>
      <c r="G37" s="136"/>
      <c r="H37" s="136"/>
      <c r="I37" s="283"/>
      <c r="J37" s="136"/>
      <c r="K37" s="136"/>
      <c r="L37" s="140">
        <f>D36*0.2</f>
        <v>383.56</v>
      </c>
      <c r="M37" s="137"/>
      <c r="N37" s="137">
        <f>D37*E35</f>
        <v>389.620248</v>
      </c>
      <c r="O37" s="137"/>
      <c r="S37" s="138"/>
      <c r="T37" s="139"/>
    </row>
    <row r="38" spans="1:256" ht="37.5" customHeight="1" x14ac:dyDescent="0.25">
      <c r="A38" s="271" t="s">
        <v>310</v>
      </c>
      <c r="B38" s="276">
        <f>B36+B37</f>
        <v>2176.1999999999998</v>
      </c>
      <c r="C38" s="261"/>
      <c r="D38" s="275">
        <f>D36+D37</f>
        <v>2301.34</v>
      </c>
      <c r="E38" s="134"/>
      <c r="F38" s="275">
        <f>F36+F37</f>
        <v>2337.6999999999998</v>
      </c>
      <c r="G38" s="136"/>
      <c r="H38" s="136"/>
      <c r="I38" s="283"/>
      <c r="J38" s="275">
        <f>F38</f>
        <v>2337.6999999999998</v>
      </c>
      <c r="K38" s="275"/>
      <c r="L38" s="140">
        <f>B38*C35</f>
        <v>2301.33</v>
      </c>
      <c r="M38" s="137">
        <f>D37*E36</f>
        <v>389.620248</v>
      </c>
      <c r="N38" s="140"/>
      <c r="O38" s="137"/>
      <c r="S38" s="138"/>
      <c r="T38" s="138"/>
    </row>
    <row r="39" spans="1:256" s="280" customFormat="1" ht="15.75" x14ac:dyDescent="0.25">
      <c r="A39" s="198" t="s">
        <v>313</v>
      </c>
      <c r="B39" s="199">
        <f>B33+B38</f>
        <v>45169.17</v>
      </c>
      <c r="C39" s="281"/>
      <c r="D39" s="199">
        <f>D33+D38</f>
        <v>46692.62</v>
      </c>
      <c r="E39" s="199"/>
      <c r="F39" s="199">
        <f t="shared" ref="F39:K39" si="2">F33+F38</f>
        <v>47763.3</v>
      </c>
      <c r="G39" s="199">
        <f t="shared" si="2"/>
        <v>0</v>
      </c>
      <c r="H39" s="199">
        <f t="shared" si="2"/>
        <v>0</v>
      </c>
      <c r="I39" s="199">
        <f t="shared" si="2"/>
        <v>0</v>
      </c>
      <c r="J39" s="199">
        <f t="shared" si="2"/>
        <v>2610.25</v>
      </c>
      <c r="K39" s="199">
        <f t="shared" si="2"/>
        <v>45153.05</v>
      </c>
      <c r="L39" s="278"/>
      <c r="M39" s="279" t="e">
        <f>B18+B39+#REF!</f>
        <v>#REF!</v>
      </c>
      <c r="N39" s="278"/>
      <c r="O39" s="278"/>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7"/>
      <c r="BR39" s="277"/>
      <c r="BS39" s="277"/>
      <c r="BT39" s="277"/>
      <c r="BU39" s="277"/>
      <c r="BV39" s="277"/>
      <c r="BW39" s="277"/>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7"/>
      <c r="CW39" s="277"/>
      <c r="CX39" s="277"/>
      <c r="CY39" s="277"/>
      <c r="CZ39" s="277"/>
      <c r="DA39" s="277"/>
      <c r="DB39" s="277"/>
      <c r="DC39" s="277"/>
      <c r="DD39" s="277"/>
      <c r="DE39" s="277"/>
      <c r="DF39" s="277"/>
      <c r="DG39" s="277"/>
      <c r="DH39" s="277"/>
      <c r="DI39" s="277"/>
      <c r="DJ39" s="277"/>
      <c r="DK39" s="277"/>
      <c r="DL39" s="277"/>
      <c r="DM39" s="277"/>
      <c r="DN39" s="277"/>
      <c r="DO39" s="277"/>
      <c r="DP39" s="277"/>
      <c r="DQ39" s="277"/>
      <c r="DR39" s="277"/>
      <c r="DS39" s="277"/>
      <c r="DT39" s="277"/>
      <c r="DU39" s="277"/>
      <c r="DV39" s="277"/>
      <c r="DW39" s="277"/>
      <c r="DX39" s="277"/>
      <c r="DY39" s="277"/>
      <c r="DZ39" s="277"/>
      <c r="EA39" s="277"/>
      <c r="EB39" s="277"/>
      <c r="EC39" s="277"/>
      <c r="ED39" s="277"/>
      <c r="EE39" s="277"/>
      <c r="EF39" s="277"/>
      <c r="EG39" s="277"/>
      <c r="EH39" s="277"/>
      <c r="EI39" s="277"/>
      <c r="EJ39" s="277"/>
      <c r="EK39" s="277"/>
      <c r="EL39" s="277"/>
      <c r="EM39" s="277"/>
      <c r="EN39" s="277"/>
      <c r="EO39" s="277"/>
      <c r="EP39" s="277"/>
      <c r="EQ39" s="277"/>
      <c r="ER39" s="277"/>
      <c r="ES39" s="277"/>
      <c r="ET39" s="277"/>
      <c r="EU39" s="277"/>
      <c r="EV39" s="277"/>
      <c r="EW39" s="277"/>
      <c r="EX39" s="277"/>
      <c r="EY39" s="277"/>
      <c r="EZ39" s="277"/>
      <c r="FA39" s="277"/>
      <c r="FB39" s="277"/>
      <c r="FC39" s="277"/>
      <c r="FD39" s="277"/>
      <c r="FE39" s="277"/>
      <c r="FF39" s="277"/>
      <c r="FG39" s="277"/>
      <c r="FH39" s="277"/>
      <c r="FI39" s="277"/>
      <c r="FJ39" s="277"/>
      <c r="FK39" s="277"/>
      <c r="FL39" s="277"/>
      <c r="FM39" s="277"/>
      <c r="FN39" s="277"/>
      <c r="FO39" s="277"/>
      <c r="FP39" s="277"/>
      <c r="FQ39" s="277"/>
      <c r="FR39" s="277"/>
      <c r="FS39" s="277"/>
      <c r="FT39" s="277"/>
      <c r="FU39" s="277"/>
      <c r="FV39" s="277"/>
      <c r="FW39" s="277"/>
      <c r="FX39" s="277"/>
      <c r="FY39" s="277"/>
      <c r="FZ39" s="277"/>
      <c r="GA39" s="277"/>
      <c r="GB39" s="277"/>
      <c r="GC39" s="277"/>
      <c r="GD39" s="277"/>
      <c r="GE39" s="277"/>
      <c r="GF39" s="277"/>
      <c r="GG39" s="277"/>
      <c r="GH39" s="277"/>
      <c r="GI39" s="277"/>
      <c r="GJ39" s="277"/>
      <c r="GK39" s="277"/>
      <c r="GL39" s="277"/>
      <c r="GM39" s="277"/>
      <c r="GN39" s="277"/>
      <c r="GO39" s="277"/>
      <c r="GP39" s="277"/>
      <c r="GQ39" s="277"/>
      <c r="GR39" s="277"/>
      <c r="GS39" s="277"/>
      <c r="GT39" s="277"/>
      <c r="GU39" s="277"/>
      <c r="GV39" s="277"/>
      <c r="GW39" s="277"/>
      <c r="GX39" s="277"/>
      <c r="GY39" s="277"/>
      <c r="GZ39" s="277"/>
      <c r="HA39" s="277"/>
      <c r="HB39" s="277"/>
      <c r="HC39" s="277"/>
      <c r="HD39" s="277"/>
      <c r="HE39" s="277"/>
      <c r="HF39" s="277"/>
      <c r="HG39" s="277"/>
      <c r="HH39" s="277"/>
      <c r="HI39" s="277"/>
      <c r="HJ39" s="277"/>
      <c r="HK39" s="277"/>
      <c r="HL39" s="277"/>
      <c r="HM39" s="277"/>
      <c r="HN39" s="277"/>
      <c r="HO39" s="277"/>
      <c r="HP39" s="277"/>
      <c r="HQ39" s="277"/>
      <c r="HR39" s="277"/>
      <c r="HS39" s="277"/>
      <c r="HT39" s="277"/>
      <c r="HU39" s="277"/>
      <c r="HV39" s="277"/>
      <c r="HW39" s="277"/>
      <c r="HX39" s="277"/>
      <c r="HY39" s="277"/>
      <c r="HZ39" s="277"/>
      <c r="IA39" s="277"/>
      <c r="IB39" s="277"/>
      <c r="IC39" s="277"/>
      <c r="ID39" s="277"/>
      <c r="IE39" s="277"/>
      <c r="IF39" s="277"/>
      <c r="IG39" s="277"/>
      <c r="IH39" s="277"/>
      <c r="II39" s="277"/>
      <c r="IJ39" s="277"/>
      <c r="IK39" s="277"/>
      <c r="IL39" s="277"/>
      <c r="IM39" s="277"/>
      <c r="IN39" s="277"/>
      <c r="IO39" s="277"/>
      <c r="IP39" s="277"/>
      <c r="IQ39" s="277"/>
      <c r="IR39" s="277"/>
      <c r="IS39" s="277"/>
      <c r="IT39" s="277"/>
      <c r="IU39" s="277"/>
      <c r="IV39" s="277"/>
    </row>
    <row r="40" spans="1:256" ht="12" customHeight="1" x14ac:dyDescent="0.25">
      <c r="A40" s="535"/>
      <c r="B40" s="535"/>
      <c r="C40" s="535"/>
      <c r="D40" s="535"/>
      <c r="E40" s="535"/>
      <c r="F40" s="535"/>
      <c r="G40" s="143"/>
      <c r="H40" s="144"/>
      <c r="I40" s="144"/>
      <c r="J40" s="144"/>
      <c r="K40" s="144"/>
      <c r="L40" s="145"/>
      <c r="M40" s="146"/>
      <c r="N40" s="145"/>
      <c r="O40" s="137"/>
    </row>
    <row r="41" spans="1:256" hidden="1" x14ac:dyDescent="0.25">
      <c r="A41" s="535"/>
      <c r="B41" s="535"/>
      <c r="C41" s="535"/>
      <c r="D41" s="535"/>
      <c r="E41" s="535"/>
      <c r="F41" s="535"/>
      <c r="H41" s="144"/>
      <c r="I41" s="144"/>
      <c r="J41" s="144"/>
      <c r="K41" s="144"/>
      <c r="L41" s="145"/>
      <c r="M41" s="146"/>
      <c r="N41" s="145"/>
      <c r="O41" s="137"/>
    </row>
    <row r="42" spans="1:256" hidden="1" x14ac:dyDescent="0.25">
      <c r="A42" s="530"/>
      <c r="B42" s="530"/>
      <c r="C42" s="530"/>
      <c r="D42" s="148"/>
      <c r="E42" s="324"/>
      <c r="F42" s="324"/>
      <c r="H42" s="149"/>
      <c r="I42" s="144"/>
      <c r="J42" s="144"/>
      <c r="K42" s="144"/>
      <c r="L42" s="145"/>
      <c r="M42" s="146"/>
      <c r="N42" s="145"/>
      <c r="O42" s="137"/>
    </row>
    <row r="43" spans="1:256" ht="12" customHeight="1" x14ac:dyDescent="0.25">
      <c r="A43" s="324"/>
      <c r="G43" s="150"/>
      <c r="H43" s="150"/>
      <c r="I43" s="150"/>
      <c r="J43" s="150"/>
      <c r="K43" s="150"/>
      <c r="L43" s="151"/>
      <c r="M43" s="151"/>
      <c r="N43" s="145"/>
      <c r="O43" s="137"/>
    </row>
    <row r="44" spans="1:256" x14ac:dyDescent="0.25">
      <c r="A44" s="152" t="s">
        <v>194</v>
      </c>
      <c r="B44" s="153" t="s">
        <v>285</v>
      </c>
      <c r="C44" s="154"/>
      <c r="D44" s="197"/>
      <c r="F44" s="131"/>
      <c r="G44" s="125"/>
      <c r="H44" s="125"/>
      <c r="I44" s="144"/>
      <c r="J44" s="144"/>
      <c r="K44" s="144"/>
      <c r="L44" s="155"/>
      <c r="M44" s="145"/>
      <c r="N44" s="145"/>
      <c r="O44" s="15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c r="DT44" s="125"/>
      <c r="DU44" s="125"/>
      <c r="DV44" s="125"/>
      <c r="DW44" s="125"/>
      <c r="DX44" s="125"/>
      <c r="DY44" s="125"/>
      <c r="DZ44" s="125"/>
      <c r="EA44" s="125"/>
      <c r="EB44" s="125"/>
      <c r="EC44" s="125"/>
      <c r="ED44" s="125"/>
      <c r="EE44" s="125"/>
      <c r="EF44" s="125"/>
      <c r="EG44" s="125"/>
      <c r="EH44" s="125"/>
      <c r="EI44" s="125"/>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c r="GE44" s="125"/>
      <c r="GF44" s="125"/>
      <c r="GG44" s="125"/>
      <c r="GH44" s="125"/>
      <c r="GI44" s="125"/>
      <c r="GJ44" s="125"/>
      <c r="GK44" s="125"/>
      <c r="GL44" s="125"/>
      <c r="GM44" s="125"/>
      <c r="GN44" s="125"/>
      <c r="GO44" s="125"/>
      <c r="GP44" s="125"/>
      <c r="GQ44" s="125"/>
      <c r="GR44" s="125"/>
      <c r="GS44" s="125"/>
      <c r="GT44" s="125"/>
      <c r="GU44" s="125"/>
      <c r="GV44" s="125"/>
      <c r="GW44" s="125"/>
      <c r="GX44" s="125"/>
      <c r="GY44" s="125"/>
      <c r="GZ44" s="125"/>
      <c r="HA44" s="125"/>
      <c r="HB44" s="125"/>
      <c r="HC44" s="125"/>
      <c r="HD44" s="125"/>
      <c r="HE44" s="125"/>
      <c r="HF44" s="125"/>
      <c r="HG44" s="125"/>
      <c r="HH44" s="125"/>
      <c r="HI44" s="125"/>
      <c r="HJ44" s="125"/>
      <c r="HK44" s="125"/>
      <c r="HL44" s="125"/>
      <c r="HM44" s="125"/>
      <c r="HN44" s="125"/>
      <c r="HO44" s="125"/>
      <c r="HP44" s="125"/>
      <c r="HQ44" s="125"/>
      <c r="HR44" s="125"/>
      <c r="HS44" s="125"/>
      <c r="HT44" s="125"/>
      <c r="HU44" s="125"/>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c r="IV44" s="125"/>
    </row>
    <row r="45" spans="1:256" x14ac:dyDescent="0.25">
      <c r="A45" s="152" t="s">
        <v>195</v>
      </c>
      <c r="B45" s="263" t="s">
        <v>283</v>
      </c>
      <c r="C45" s="129"/>
      <c r="D45" s="156"/>
      <c r="E45" s="156"/>
      <c r="F45" s="142"/>
      <c r="G45" s="157"/>
      <c r="H45" s="125"/>
      <c r="I45" s="144"/>
      <c r="J45" s="144"/>
      <c r="K45" s="144"/>
      <c r="L45" s="125"/>
      <c r="M45" s="307">
        <f>J39+K39</f>
        <v>47763.3</v>
      </c>
      <c r="N45" s="157"/>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ht="15.75" x14ac:dyDescent="0.25">
      <c r="A46" s="152" t="s">
        <v>196</v>
      </c>
      <c r="B46" s="263" t="s">
        <v>284</v>
      </c>
      <c r="C46" s="129" t="s">
        <v>197</v>
      </c>
      <c r="D46" s="129"/>
      <c r="E46" s="156"/>
      <c r="F46" s="158"/>
      <c r="G46" s="155"/>
      <c r="H46" s="159"/>
      <c r="I46" s="144"/>
      <c r="J46" s="144"/>
      <c r="K46" s="144"/>
      <c r="L46" s="144"/>
      <c r="M46" s="144"/>
      <c r="N46" s="144"/>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x14ac:dyDescent="0.25">
      <c r="A47" s="129"/>
      <c r="B47" s="129"/>
      <c r="C47" s="129"/>
      <c r="D47" s="129"/>
      <c r="E47" s="129"/>
      <c r="F47" s="160"/>
      <c r="G47" s="125"/>
      <c r="H47" s="125"/>
      <c r="I47" s="161"/>
      <c r="J47" s="161"/>
      <c r="K47" s="161"/>
      <c r="L47" s="162"/>
      <c r="M47" s="125"/>
      <c r="N47" s="144"/>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ht="25.5" customHeight="1" x14ac:dyDescent="0.25">
      <c r="A48" s="152" t="s">
        <v>198</v>
      </c>
      <c r="B48" s="527" t="s">
        <v>281</v>
      </c>
      <c r="C48" s="527"/>
      <c r="D48" s="129"/>
      <c r="E48" s="129"/>
      <c r="F48" s="129"/>
      <c r="G48" s="125"/>
      <c r="H48" s="125"/>
      <c r="I48" s="125"/>
      <c r="J48" s="125"/>
      <c r="K48" s="125"/>
      <c r="L48" s="163"/>
      <c r="M48" s="144"/>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x14ac:dyDescent="0.25">
      <c r="A49" s="152" t="s">
        <v>199</v>
      </c>
      <c r="B49" s="325" t="s">
        <v>282</v>
      </c>
      <c r="C49" s="129"/>
      <c r="D49" s="129"/>
      <c r="E49" s="129"/>
      <c r="F49" s="129"/>
      <c r="G49" s="125"/>
      <c r="H49" s="125"/>
      <c r="I49" s="125"/>
      <c r="J49" s="125"/>
      <c r="K49" s="125"/>
      <c r="L49" s="125"/>
      <c r="M49" s="144"/>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c r="B50" s="325"/>
      <c r="C50" s="129"/>
      <c r="D50" s="129"/>
      <c r="E50" s="129"/>
      <c r="F50" s="129"/>
      <c r="G50" s="125"/>
      <c r="H50" s="157"/>
      <c r="I50" s="125"/>
      <c r="J50" s="125"/>
      <c r="K50" s="125"/>
      <c r="L50" s="125"/>
      <c r="M50" s="144"/>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8.25" customHeight="1" x14ac:dyDescent="0.25">
      <c r="A51" s="129"/>
      <c r="B51" s="165"/>
      <c r="C51" s="129"/>
      <c r="D51" s="129"/>
      <c r="E51" s="129"/>
      <c r="F51" s="129"/>
      <c r="H51" s="125"/>
      <c r="I51" s="125"/>
      <c r="J51" s="125"/>
      <c r="K51" s="125"/>
      <c r="L51" s="125"/>
      <c r="M51" s="161"/>
      <c r="N51" s="144"/>
    </row>
    <row r="52" spans="1:256" ht="33" customHeight="1" x14ac:dyDescent="0.25">
      <c r="A52" s="528" t="s">
        <v>200</v>
      </c>
      <c r="B52" s="528"/>
      <c r="C52" s="528"/>
      <c r="D52" s="528"/>
      <c r="E52" s="528"/>
      <c r="F52" s="528"/>
      <c r="G52" s="125"/>
      <c r="H52" s="125"/>
      <c r="I52" s="125"/>
      <c r="J52" s="125"/>
      <c r="K52" s="125"/>
      <c r="L52" s="125"/>
      <c r="M52" s="144"/>
      <c r="N52" s="144"/>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row>
    <row r="53" spans="1:256" ht="6.75" customHeight="1" x14ac:dyDescent="0.25">
      <c r="A53" s="166"/>
      <c r="B53" s="166"/>
      <c r="C53" s="166"/>
      <c r="D53" s="166"/>
      <c r="E53" s="166"/>
      <c r="F53" s="166"/>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29.25" x14ac:dyDescent="0.25">
      <c r="A54" s="167" t="s">
        <v>201</v>
      </c>
      <c r="B54" s="167" t="s">
        <v>202</v>
      </c>
      <c r="C54" s="167" t="s">
        <v>203</v>
      </c>
      <c r="D54" s="168"/>
      <c r="E54" s="166"/>
      <c r="F54" s="166"/>
      <c r="G54" s="125"/>
      <c r="H54" s="125"/>
      <c r="I54" s="125" t="e">
        <f>#REF!-#REF!</f>
        <v>#REF!</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x14ac:dyDescent="0.25">
      <c r="A55" s="169" t="s">
        <v>204</v>
      </c>
      <c r="B55" s="267">
        <v>100.45</v>
      </c>
      <c r="C55" s="266">
        <v>1.0044999999999999</v>
      </c>
      <c r="D55" s="170"/>
      <c r="E55" s="170"/>
      <c r="F55" s="147"/>
      <c r="G55" s="171"/>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205</v>
      </c>
      <c r="B56" s="268">
        <v>100.32</v>
      </c>
      <c r="C56" s="266">
        <v>1.0032000000000001</v>
      </c>
      <c r="D56" s="170"/>
      <c r="E56" s="170"/>
      <c r="F56" s="153"/>
      <c r="G56" s="172"/>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206</v>
      </c>
      <c r="B57" s="268">
        <v>100.49</v>
      </c>
      <c r="C57" s="266">
        <v>1.0048999999999999</v>
      </c>
      <c r="D57" s="173"/>
      <c r="E57" s="173"/>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207</v>
      </c>
      <c r="B58" s="268">
        <v>100.64</v>
      </c>
      <c r="C58" s="266">
        <v>1.0064</v>
      </c>
      <c r="D58" s="174"/>
      <c r="E58" s="147"/>
      <c r="F58" s="175"/>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208</v>
      </c>
      <c r="B59" s="268" t="s">
        <v>293</v>
      </c>
      <c r="C59" s="266">
        <v>1.0062</v>
      </c>
      <c r="D59" s="529"/>
      <c r="E59" s="530"/>
      <c r="F59" s="176"/>
      <c r="G59" s="172"/>
      <c r="H59" s="128"/>
      <c r="I59" s="128"/>
      <c r="J59" s="128"/>
      <c r="K59" s="128"/>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77" t="s">
        <v>209</v>
      </c>
      <c r="B60" s="268" t="s">
        <v>294</v>
      </c>
      <c r="C60" s="266">
        <v>1.0047999999999999</v>
      </c>
      <c r="D60" s="125"/>
      <c r="E60" s="125"/>
      <c r="F60" s="178"/>
      <c r="G60" s="172"/>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9" t="s">
        <v>210</v>
      </c>
      <c r="B61" s="268" t="s">
        <v>295</v>
      </c>
      <c r="C61" s="266" t="s">
        <v>303</v>
      </c>
      <c r="D61" s="529"/>
      <c r="E61" s="530"/>
      <c r="F61" s="530"/>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264" t="s">
        <v>212</v>
      </c>
      <c r="B62" s="268" t="s">
        <v>296</v>
      </c>
      <c r="C62" s="266">
        <v>0.99080000000000001</v>
      </c>
      <c r="D62" s="174"/>
      <c r="E62" s="147"/>
      <c r="F62" s="147"/>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286</v>
      </c>
      <c r="B63" s="268" t="s">
        <v>297</v>
      </c>
      <c r="C63" s="266">
        <v>0.99870000000000003</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287</v>
      </c>
      <c r="B64" s="268" t="s">
        <v>298</v>
      </c>
      <c r="C64" s="266">
        <v>0.98370000000000002</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288</v>
      </c>
      <c r="B65" s="268" t="s">
        <v>299</v>
      </c>
      <c r="C65" s="266" t="s">
        <v>301</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289</v>
      </c>
      <c r="B66" s="268" t="s">
        <v>300</v>
      </c>
      <c r="C66" s="266" t="s">
        <v>302</v>
      </c>
      <c r="D66" s="174"/>
      <c r="E66" s="147"/>
      <c r="F66" s="147"/>
      <c r="G66" s="172"/>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290</v>
      </c>
      <c r="B67" s="268">
        <v>100.57</v>
      </c>
      <c r="C67" s="266">
        <v>1.0057</v>
      </c>
      <c r="D67" s="529"/>
      <c r="E67" s="530"/>
      <c r="F67" s="530"/>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291</v>
      </c>
      <c r="B68" s="268">
        <v>100.57</v>
      </c>
      <c r="C68" s="266">
        <v>1.0057</v>
      </c>
      <c r="D68" s="529" t="s">
        <v>211</v>
      </c>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179" t="s">
        <v>292</v>
      </c>
      <c r="B69" s="268">
        <v>100.57</v>
      </c>
      <c r="C69" s="266">
        <v>1.0057</v>
      </c>
      <c r="D69" s="529" t="s">
        <v>211</v>
      </c>
      <c r="E69" s="530"/>
      <c r="F69" s="530"/>
      <c r="G69" s="172"/>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80"/>
      <c r="B70" s="173"/>
      <c r="C70" s="181"/>
      <c r="D70" s="147"/>
      <c r="E70" s="147"/>
      <c r="F70" s="178"/>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76" t="s">
        <v>213</v>
      </c>
      <c r="B71" s="182"/>
      <c r="C71" s="153"/>
      <c r="D71" s="153"/>
      <c r="E71" s="153"/>
      <c r="F71" s="183"/>
      <c r="G71" s="172"/>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265" t="s">
        <v>304</v>
      </c>
      <c r="B72" s="182"/>
      <c r="C72" s="153"/>
      <c r="D72" s="153"/>
      <c r="E72" s="153"/>
      <c r="F72" s="183"/>
      <c r="G72" s="172"/>
      <c r="H72" s="125"/>
      <c r="I72" s="125"/>
      <c r="J72" s="125"/>
      <c r="K72" s="125"/>
      <c r="L72" s="125"/>
      <c r="M72" s="125">
        <f>PRODUCT(C55:C69)</f>
        <v>1.0201967785683801</v>
      </c>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ht="9.75" customHeight="1" x14ac:dyDescent="0.25">
      <c r="A73" s="184"/>
      <c r="B73" s="185"/>
      <c r="C73" s="129"/>
      <c r="D73" s="156"/>
      <c r="E73" s="129"/>
      <c r="F73" s="186"/>
      <c r="G73" s="172"/>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ht="36" customHeight="1" x14ac:dyDescent="0.25">
      <c r="A74" s="531" t="s">
        <v>370</v>
      </c>
      <c r="B74" s="531"/>
      <c r="C74" s="531"/>
      <c r="D74" s="531"/>
      <c r="E74" s="531"/>
      <c r="F74" s="175">
        <f>C55*C56*C57*C58*C59*C60*C61*C62*C63*C64*C65*C66*C67*C68*C69</f>
        <v>1.0575000000000001</v>
      </c>
      <c r="H74" s="125"/>
      <c r="I74" s="125"/>
      <c r="J74" s="125"/>
      <c r="K74" s="125"/>
      <c r="L74" s="125"/>
      <c r="M74" s="269">
        <f>C55*C56*C57*C58*C59*C60*C61*C62*C63*C64*C65*C66*C67*C68*C69</f>
        <v>1.0575000000000001</v>
      </c>
      <c r="N74" s="125"/>
      <c r="O74" s="125">
        <f>PRODUCT(C55:C69)</f>
        <v>1.0201967785683801</v>
      </c>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8.25" customHeight="1" x14ac:dyDescent="0.25">
      <c r="A75" s="244"/>
      <c r="B75" s="244"/>
      <c r="C75" s="244"/>
      <c r="D75" s="244"/>
      <c r="E75" s="244"/>
      <c r="F75" s="17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18" customHeight="1" x14ac:dyDescent="0.25">
      <c r="A76" s="265" t="s">
        <v>305</v>
      </c>
      <c r="B76" s="244"/>
      <c r="C76" s="244"/>
      <c r="D76" s="244"/>
      <c r="E76" s="244"/>
      <c r="F76" s="17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23.25" customHeight="1" x14ac:dyDescent="0.25">
      <c r="A77" s="531" t="s">
        <v>371</v>
      </c>
      <c r="B77" s="531"/>
      <c r="C77" s="531"/>
      <c r="D77" s="531"/>
      <c r="E77" s="531"/>
      <c r="F77" s="175">
        <f>C67*C68*C69</f>
        <v>1.0172000000000001</v>
      </c>
      <c r="H77" s="125"/>
      <c r="I77" s="125"/>
      <c r="J77" s="125"/>
      <c r="K77" s="125"/>
      <c r="L77" s="125"/>
      <c r="M77" s="125">
        <f>C67*C68*C69</f>
        <v>1.017197655193</v>
      </c>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x14ac:dyDescent="0.25">
      <c r="A78" s="176" t="s">
        <v>197</v>
      </c>
      <c r="B78" s="176"/>
      <c r="C78" s="176"/>
      <c r="D78" s="125"/>
      <c r="E78" s="176"/>
      <c r="F78" s="187"/>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78" t="s">
        <v>214</v>
      </c>
      <c r="B79" s="178"/>
      <c r="C79" s="178"/>
      <c r="D79" s="178"/>
      <c r="E79" s="178"/>
      <c r="F79" s="187"/>
      <c r="G79" s="188"/>
      <c r="H79" s="189"/>
      <c r="I79" s="188"/>
      <c r="J79" s="188"/>
      <c r="K79" s="188"/>
      <c r="L79" s="188"/>
      <c r="M79" s="188"/>
    </row>
    <row r="80" spans="1:256" x14ac:dyDescent="0.25">
      <c r="A80" s="191"/>
      <c r="B80" s="191"/>
      <c r="C80" s="191"/>
      <c r="D80" s="191"/>
      <c r="E80" s="191"/>
      <c r="F80" s="192"/>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pans="1:256" ht="38.25" customHeight="1" x14ac:dyDescent="0.25">
      <c r="A81" s="153" t="s">
        <v>315</v>
      </c>
      <c r="B81" s="153"/>
      <c r="C81" s="153"/>
      <c r="D81" s="125"/>
      <c r="E81" s="305">
        <v>6.0000000000000001E-3</v>
      </c>
      <c r="F81" s="190"/>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pans="1:256" x14ac:dyDescent="0.25">
      <c r="A82" s="153" t="s">
        <v>316</v>
      </c>
      <c r="B82" s="153"/>
      <c r="C82" s="153"/>
      <c r="D82" s="125"/>
      <c r="E82" s="305">
        <v>0.99399999999999999</v>
      </c>
      <c r="F82" s="190"/>
      <c r="G82" s="125"/>
      <c r="H82" s="125"/>
      <c r="I82" s="125"/>
      <c r="J82" s="125"/>
      <c r="K82" s="125"/>
      <c r="L82" s="125"/>
      <c r="M82" s="125"/>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c r="BZ82" s="188"/>
      <c r="CA82" s="188"/>
      <c r="CB82" s="188"/>
      <c r="CC82" s="188"/>
      <c r="CD82" s="188"/>
      <c r="CE82" s="188"/>
      <c r="CF82" s="188"/>
      <c r="CG82" s="188"/>
      <c r="CH82" s="188"/>
      <c r="CI82" s="188"/>
      <c r="CJ82" s="188"/>
      <c r="CK82" s="188"/>
      <c r="CL82" s="188"/>
      <c r="CM82" s="188"/>
      <c r="CN82" s="188"/>
      <c r="CO82" s="188"/>
      <c r="CP82" s="188"/>
      <c r="CQ82" s="188"/>
      <c r="CR82" s="188"/>
      <c r="CS82" s="188"/>
      <c r="CT82" s="188"/>
      <c r="CU82" s="188"/>
      <c r="CV82" s="188"/>
      <c r="CW82" s="188"/>
      <c r="CX82" s="188"/>
      <c r="CY82" s="188"/>
      <c r="CZ82" s="188"/>
      <c r="DA82" s="188"/>
      <c r="DB82" s="188"/>
      <c r="DC82" s="188"/>
      <c r="DD82" s="188"/>
      <c r="DE82" s="188"/>
      <c r="DF82" s="188"/>
      <c r="DG82" s="188"/>
      <c r="DH82" s="188"/>
      <c r="DI82" s="188"/>
      <c r="DJ82" s="188"/>
      <c r="DK82" s="188"/>
      <c r="DL82" s="188"/>
      <c r="DM82" s="188"/>
      <c r="DN82" s="188"/>
      <c r="DO82" s="188"/>
      <c r="DP82" s="188"/>
      <c r="DQ82" s="188"/>
      <c r="DR82" s="188"/>
      <c r="DS82" s="188"/>
      <c r="DT82" s="188"/>
      <c r="DU82" s="188"/>
      <c r="DV82" s="188"/>
      <c r="DW82" s="188"/>
      <c r="DX82" s="188"/>
      <c r="DY82" s="188"/>
      <c r="DZ82" s="188"/>
      <c r="EA82" s="188"/>
      <c r="EB82" s="188"/>
      <c r="EC82" s="188"/>
      <c r="ED82" s="188"/>
      <c r="EE82" s="188"/>
      <c r="EF82" s="188"/>
      <c r="EG82" s="188"/>
      <c r="EH82" s="188"/>
      <c r="EI82" s="188"/>
      <c r="EJ82" s="188"/>
      <c r="EK82" s="188"/>
      <c r="EL82" s="188"/>
      <c r="EM82" s="188"/>
      <c r="EN82" s="188"/>
      <c r="EO82" s="188"/>
      <c r="EP82" s="188"/>
      <c r="EQ82" s="188"/>
      <c r="ER82" s="188"/>
      <c r="ES82" s="188"/>
      <c r="ET82" s="188"/>
      <c r="EU82" s="188"/>
      <c r="EV82" s="188"/>
      <c r="EW82" s="188"/>
      <c r="EX82" s="188"/>
      <c r="EY82" s="188"/>
      <c r="EZ82" s="188"/>
      <c r="FA82" s="188"/>
      <c r="FB82" s="188"/>
      <c r="FC82" s="188"/>
      <c r="FD82" s="188"/>
      <c r="FE82" s="188"/>
      <c r="FF82" s="188"/>
      <c r="FG82" s="188"/>
      <c r="FH82" s="188"/>
      <c r="FI82" s="188"/>
      <c r="FJ82" s="188"/>
      <c r="FK82" s="188"/>
      <c r="FL82" s="188"/>
      <c r="FM82" s="188"/>
      <c r="FN82" s="188"/>
      <c r="FO82" s="188"/>
      <c r="FP82" s="188"/>
      <c r="FQ82" s="188"/>
      <c r="FR82" s="188"/>
      <c r="FS82" s="188"/>
      <c r="FT82" s="188"/>
      <c r="FU82" s="188"/>
      <c r="FV82" s="188"/>
      <c r="FW82" s="188"/>
      <c r="FX82" s="188"/>
      <c r="FY82" s="188"/>
      <c r="FZ82" s="188"/>
      <c r="GA82" s="188"/>
      <c r="GB82" s="188"/>
      <c r="GC82" s="188"/>
      <c r="GD82" s="188"/>
      <c r="GE82" s="188"/>
      <c r="GF82" s="188"/>
      <c r="GG82" s="188"/>
      <c r="GH82" s="188"/>
      <c r="GI82" s="188"/>
      <c r="GJ82" s="188"/>
      <c r="GK82" s="188"/>
      <c r="GL82" s="188"/>
      <c r="GM82" s="188"/>
      <c r="GN82" s="188"/>
      <c r="GO82" s="188"/>
      <c r="GP82" s="188"/>
      <c r="GQ82" s="188"/>
      <c r="GR82" s="188"/>
      <c r="GS82" s="188"/>
      <c r="GT82" s="188"/>
      <c r="GU82" s="188"/>
      <c r="GV82" s="188"/>
      <c r="GW82" s="188"/>
      <c r="GX82" s="188"/>
      <c r="GY82" s="188"/>
      <c r="GZ82" s="188"/>
      <c r="HA82" s="188"/>
      <c r="HB82" s="188"/>
      <c r="HC82" s="188"/>
      <c r="HD82" s="188"/>
      <c r="HE82" s="188"/>
      <c r="HF82" s="188"/>
      <c r="HG82" s="188"/>
      <c r="HH82" s="188"/>
      <c r="HI82" s="188"/>
      <c r="HJ82" s="188"/>
      <c r="HK82" s="188"/>
      <c r="HL82" s="188"/>
      <c r="HM82" s="188"/>
      <c r="HN82" s="188"/>
      <c r="HO82" s="188"/>
      <c r="HP82" s="188"/>
      <c r="HQ82" s="188"/>
      <c r="HR82" s="188"/>
      <c r="HS82" s="188"/>
      <c r="HT82" s="188"/>
      <c r="HU82" s="188"/>
      <c r="HV82" s="188"/>
      <c r="HW82" s="188"/>
      <c r="HX82" s="188"/>
      <c r="HY82" s="188"/>
      <c r="HZ82" s="188"/>
      <c r="IA82" s="188"/>
      <c r="IB82" s="188"/>
      <c r="IC82" s="188"/>
      <c r="ID82" s="188"/>
      <c r="IE82" s="188"/>
      <c r="IF82" s="188"/>
      <c r="IG82" s="188"/>
      <c r="IH82" s="188"/>
      <c r="II82" s="188"/>
      <c r="IJ82" s="188"/>
      <c r="IK82" s="188"/>
      <c r="IL82" s="188"/>
      <c r="IM82" s="188"/>
      <c r="IN82" s="188"/>
      <c r="IO82" s="188"/>
      <c r="IP82" s="188"/>
      <c r="IQ82" s="188"/>
      <c r="IR82" s="188"/>
      <c r="IS82" s="188"/>
      <c r="IT82" s="188"/>
      <c r="IU82" s="188"/>
      <c r="IV82" s="188"/>
    </row>
    <row r="83" spans="1:256" ht="18.75" customHeight="1" x14ac:dyDescent="0.25">
      <c r="A83" s="153"/>
      <c r="B83" s="178"/>
      <c r="C83" s="178"/>
      <c r="D83" s="178"/>
      <c r="E83" s="183"/>
      <c r="F83" s="190"/>
      <c r="G83" s="125"/>
      <c r="H83" s="125"/>
      <c r="I83" s="125"/>
      <c r="J83" s="125"/>
      <c r="K83" s="125"/>
      <c r="L83" s="125"/>
      <c r="M83" s="125"/>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row>
    <row r="84" spans="1:256" ht="42" customHeight="1" x14ac:dyDescent="0.25">
      <c r="A84" s="522" t="s">
        <v>215</v>
      </c>
      <c r="B84" s="522"/>
      <c r="C84" s="522"/>
      <c r="D84" s="522"/>
      <c r="E84" s="522"/>
      <c r="F84" s="153"/>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row>
    <row r="85" spans="1:256" x14ac:dyDescent="0.25">
      <c r="A85" s="187"/>
      <c r="B85" s="187" t="s">
        <v>202</v>
      </c>
      <c r="C85" s="284" t="s">
        <v>216</v>
      </c>
      <c r="D85" s="187"/>
      <c r="E85" s="187"/>
      <c r="F85" s="190"/>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3" t="s">
        <v>217</v>
      </c>
      <c r="B86" s="183">
        <v>107.8</v>
      </c>
      <c r="C86" s="190">
        <f>B86/100</f>
        <v>1.0780000000000001</v>
      </c>
      <c r="D86" s="190"/>
      <c r="E86" s="190"/>
      <c r="F86" s="190"/>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317</v>
      </c>
      <c r="B87" s="183">
        <v>105.3</v>
      </c>
      <c r="C87" s="190">
        <f>B87/100</f>
        <v>1.0529999999999999</v>
      </c>
      <c r="D87" s="190"/>
      <c r="E87" s="190"/>
      <c r="F87" s="183"/>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c r="B88" s="183"/>
      <c r="C88" s="190"/>
      <c r="D88" s="190"/>
      <c r="E88" s="190"/>
      <c r="F88" s="183"/>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ht="30.75" customHeight="1" x14ac:dyDescent="0.25">
      <c r="A89" s="153" t="s">
        <v>318</v>
      </c>
      <c r="B89" s="153"/>
      <c r="C89" s="153"/>
      <c r="D89" s="190"/>
      <c r="E89" s="190"/>
      <c r="F89" s="183"/>
      <c r="G89" s="522"/>
      <c r="H89" s="522"/>
      <c r="I89" s="522"/>
      <c r="J89" s="522"/>
      <c r="K89" s="522"/>
      <c r="L89" s="522"/>
      <c r="M89" s="125"/>
    </row>
    <row r="90" spans="1:256" x14ac:dyDescent="0.25">
      <c r="A90" s="180"/>
      <c r="B90" s="180"/>
      <c r="C90" s="193"/>
      <c r="D90" s="180"/>
      <c r="E90" s="190"/>
      <c r="F90" s="285"/>
      <c r="G90" s="522"/>
      <c r="H90" s="522"/>
      <c r="I90" s="522"/>
      <c r="J90" s="522"/>
      <c r="K90" s="522"/>
      <c r="L90" s="522"/>
      <c r="M90" s="125"/>
    </row>
    <row r="91" spans="1:256" ht="15" customHeight="1" x14ac:dyDescent="0.25">
      <c r="A91" s="180" t="s">
        <v>319</v>
      </c>
      <c r="B91" s="286" t="s">
        <v>320</v>
      </c>
      <c r="C91" s="193" t="s">
        <v>218</v>
      </c>
      <c r="D91" s="180">
        <f>ROUND(POWER(C86,1/12),4)</f>
        <v>1.0063</v>
      </c>
      <c r="E91" s="153"/>
      <c r="F91" s="285"/>
      <c r="G91" s="522"/>
      <c r="H91" s="522"/>
      <c r="I91" s="522"/>
      <c r="J91" s="522"/>
      <c r="K91" s="522"/>
      <c r="L91" s="522"/>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row>
    <row r="92" spans="1:256" ht="18" x14ac:dyDescent="0.25">
      <c r="A92" s="180" t="s">
        <v>321</v>
      </c>
      <c r="B92" s="286" t="s">
        <v>322</v>
      </c>
      <c r="C92" s="193" t="s">
        <v>218</v>
      </c>
      <c r="D92" s="180">
        <f>ROUND(POWER(C87,1/12),4)</f>
        <v>1.0043</v>
      </c>
      <c r="E92" s="153"/>
      <c r="F92" s="64"/>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8.75" customHeight="1" x14ac:dyDescent="0.25">
      <c r="A93" s="180"/>
      <c r="B93" s="286"/>
      <c r="C93" s="193"/>
      <c r="D93" s="180"/>
      <c r="E93" s="190"/>
      <c r="F93" s="183"/>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x14ac:dyDescent="0.25">
      <c r="A94" s="183" t="s">
        <v>323</v>
      </c>
      <c r="B94" s="183"/>
      <c r="C94" s="183"/>
      <c r="D94" s="183"/>
      <c r="E94" s="183"/>
      <c r="F94" s="183"/>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183" t="s">
        <v>324</v>
      </c>
      <c r="B95" s="183"/>
      <c r="C95" s="183"/>
      <c r="D95" s="183"/>
      <c r="E95" s="183"/>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ht="20.25" customHeight="1" x14ac:dyDescent="0.25">
      <c r="A96" s="194" t="s">
        <v>325</v>
      </c>
      <c r="B96" s="195"/>
      <c r="C96" s="195"/>
      <c r="D96" s="195"/>
      <c r="E96" s="183"/>
      <c r="F96" s="64"/>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ht="49.5" customHeight="1" x14ac:dyDescent="0.25">
      <c r="A97" s="524" t="s">
        <v>335</v>
      </c>
      <c r="B97" s="524"/>
      <c r="C97" s="524"/>
      <c r="D97" s="524"/>
      <c r="E97" s="304">
        <f>ROUND(POWER(D91,3),4)</f>
        <v>1.0189999999999999</v>
      </c>
      <c r="F97" s="6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40.5" customHeight="1" x14ac:dyDescent="0.25">
      <c r="A98" s="524" t="s">
        <v>326</v>
      </c>
      <c r="B98" s="524"/>
      <c r="C98" s="524"/>
      <c r="D98" s="524"/>
      <c r="E98" s="288"/>
      <c r="F98" s="64"/>
      <c r="H98" s="196"/>
      <c r="I98" s="196"/>
      <c r="J98" s="196"/>
      <c r="K98" s="196"/>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15" customHeight="1" x14ac:dyDescent="0.25">
      <c r="A99" s="525" t="s">
        <v>336</v>
      </c>
      <c r="B99" s="525"/>
      <c r="C99" s="525"/>
      <c r="D99" s="525"/>
      <c r="E99" s="289">
        <f>(E97-1)/2+1</f>
        <v>1.0095000000000001</v>
      </c>
      <c r="F99" s="290"/>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x14ac:dyDescent="0.25">
      <c r="A100" s="287"/>
      <c r="B100" s="287"/>
      <c r="C100" s="287"/>
      <c r="D100" s="287"/>
      <c r="E100" s="291"/>
      <c r="F100" s="290"/>
      <c r="G100" s="200"/>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ht="15.75" customHeight="1" x14ac:dyDescent="0.25">
      <c r="A101" s="178" t="s">
        <v>327</v>
      </c>
      <c r="B101" s="183"/>
      <c r="C101" s="292"/>
      <c r="D101" s="293"/>
      <c r="E101" s="183"/>
      <c r="F101" s="153"/>
      <c r="G101" s="20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ht="55.5" customHeight="1" x14ac:dyDescent="0.25">
      <c r="A102" s="526" t="s">
        <v>337</v>
      </c>
      <c r="B102" s="526"/>
      <c r="C102" s="526"/>
      <c r="D102" s="526"/>
      <c r="E102" s="526"/>
      <c r="F102" s="526"/>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x14ac:dyDescent="0.25">
      <c r="A103" s="64"/>
      <c r="B103" s="125"/>
      <c r="C103" s="64"/>
      <c r="D103" s="64"/>
      <c r="E103" s="64"/>
      <c r="F103" s="125"/>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ht="15.75" customHeight="1" x14ac:dyDescent="0.25">
      <c r="A104" s="178" t="s">
        <v>328</v>
      </c>
      <c r="B104" s="294" t="s">
        <v>338</v>
      </c>
      <c r="C104" s="125"/>
      <c r="D104" s="292" t="s">
        <v>218</v>
      </c>
      <c r="E104" s="295">
        <f>ROUND(E97*(POWER(D92,1)+POWER(D92,1))/2,4)</f>
        <v>1.0234000000000001</v>
      </c>
      <c r="F104" s="296"/>
      <c r="G104" s="200"/>
      <c r="L104" s="131"/>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x14ac:dyDescent="0.25">
      <c r="A105" s="178"/>
      <c r="B105" s="294"/>
      <c r="C105" s="125"/>
      <c r="D105" s="292"/>
      <c r="E105" s="295"/>
      <c r="F105" s="296"/>
      <c r="G105" s="200"/>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x14ac:dyDescent="0.25">
      <c r="A106" s="178"/>
      <c r="B106" s="183"/>
      <c r="C106" s="292"/>
      <c r="D106" s="183"/>
      <c r="E106" s="183"/>
      <c r="F106" s="297"/>
    </row>
    <row r="107" spans="1:256" ht="36" customHeight="1" x14ac:dyDescent="0.25">
      <c r="A107" s="524" t="s">
        <v>329</v>
      </c>
      <c r="B107" s="524"/>
      <c r="C107" s="524"/>
      <c r="D107" s="524"/>
      <c r="E107" s="524"/>
      <c r="F107" s="524"/>
    </row>
    <row r="108" spans="1:256" x14ac:dyDescent="0.25">
      <c r="A108" s="183"/>
      <c r="B108" s="125"/>
      <c r="C108" s="125"/>
      <c r="D108" s="125"/>
      <c r="E108" s="125"/>
      <c r="F108" s="297"/>
      <c r="G108" s="125"/>
      <c r="H108" s="125"/>
      <c r="I108" s="125"/>
      <c r="J108" s="125"/>
      <c r="K108" s="125"/>
      <c r="L108" s="125"/>
      <c r="M108" s="125"/>
    </row>
    <row r="109" spans="1:256" x14ac:dyDescent="0.25">
      <c r="A109" s="521" t="s">
        <v>355</v>
      </c>
      <c r="B109" s="521"/>
      <c r="C109" s="521"/>
      <c r="D109" s="295">
        <f>ROUND((E81*E99+E82*E104),4)</f>
        <v>1.0233000000000001</v>
      </c>
      <c r="E109" s="183"/>
      <c r="F109" s="297"/>
    </row>
    <row r="110" spans="1:256" x14ac:dyDescent="0.25">
      <c r="A110" s="298"/>
      <c r="B110" s="299"/>
      <c r="C110" s="299"/>
      <c r="D110" s="295"/>
      <c r="E110" s="183"/>
      <c r="F110" s="297"/>
    </row>
    <row r="111" spans="1:256" x14ac:dyDescent="0.25">
      <c r="A111" s="298" t="s">
        <v>311</v>
      </c>
      <c r="B111" s="299"/>
      <c r="C111" s="299"/>
      <c r="D111" s="295"/>
      <c r="E111" s="183"/>
      <c r="F111" s="297"/>
    </row>
    <row r="112" spans="1:256" x14ac:dyDescent="0.25">
      <c r="A112" s="183" t="s">
        <v>330</v>
      </c>
      <c r="B112" s="306" t="s">
        <v>283</v>
      </c>
      <c r="C112" s="299"/>
      <c r="D112" s="295"/>
      <c r="E112" s="183"/>
      <c r="F112" s="297"/>
    </row>
    <row r="113" spans="1:256" x14ac:dyDescent="0.25">
      <c r="A113" s="183" t="s">
        <v>331</v>
      </c>
      <c r="B113" s="306" t="s">
        <v>341</v>
      </c>
      <c r="C113" s="299"/>
      <c r="D113" s="295"/>
      <c r="E113" s="183"/>
      <c r="F113" s="297"/>
    </row>
    <row r="114" spans="1:256" x14ac:dyDescent="0.25">
      <c r="A114" s="183" t="s">
        <v>198</v>
      </c>
      <c r="B114" s="300" t="s">
        <v>340</v>
      </c>
      <c r="C114" s="299"/>
      <c r="D114" s="295"/>
      <c r="E114" s="183"/>
      <c r="F114" s="297"/>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25"/>
      <c r="DG114" s="125"/>
      <c r="DH114" s="125"/>
      <c r="DI114" s="125"/>
      <c r="DJ114" s="125"/>
      <c r="DK114" s="125"/>
      <c r="DL114" s="125"/>
      <c r="DM114" s="125"/>
      <c r="DN114" s="125"/>
      <c r="DO114" s="125"/>
      <c r="DP114" s="125"/>
      <c r="DQ114" s="125"/>
      <c r="DR114" s="125"/>
      <c r="DS114" s="125"/>
      <c r="DT114" s="125"/>
      <c r="DU114" s="125"/>
      <c r="DV114" s="125"/>
      <c r="DW114" s="125"/>
      <c r="DX114" s="125"/>
      <c r="DY114" s="125"/>
      <c r="DZ114" s="125"/>
      <c r="EA114" s="125"/>
      <c r="EB114" s="125"/>
      <c r="EC114" s="125"/>
      <c r="ED114" s="125"/>
      <c r="EE114" s="125"/>
      <c r="EF114" s="125"/>
      <c r="EG114" s="125"/>
      <c r="EH114" s="125"/>
      <c r="EI114" s="125"/>
      <c r="EJ114" s="125"/>
      <c r="EK114" s="125"/>
      <c r="EL114" s="125"/>
      <c r="EM114" s="125"/>
      <c r="EN114" s="125"/>
      <c r="EO114" s="125"/>
      <c r="EP114" s="125"/>
      <c r="EQ114" s="125"/>
      <c r="ER114" s="125"/>
      <c r="ES114" s="125"/>
      <c r="ET114" s="125"/>
      <c r="EU114" s="125"/>
      <c r="EV114" s="125"/>
      <c r="EW114" s="125"/>
      <c r="EX114" s="125"/>
      <c r="EY114" s="125"/>
      <c r="EZ114" s="125"/>
      <c r="FA114" s="125"/>
      <c r="FB114" s="125"/>
      <c r="FC114" s="125"/>
      <c r="FD114" s="125"/>
      <c r="FE114" s="125"/>
      <c r="FF114" s="125"/>
      <c r="FG114" s="125"/>
      <c r="FH114" s="125"/>
      <c r="FI114" s="125"/>
      <c r="FJ114" s="125"/>
      <c r="FK114" s="125"/>
      <c r="FL114" s="125"/>
      <c r="FM114" s="125"/>
      <c r="FN114" s="125"/>
      <c r="FO114" s="125"/>
      <c r="FP114" s="125"/>
      <c r="FQ114" s="125"/>
      <c r="FR114" s="125"/>
      <c r="FS114" s="125"/>
      <c r="FT114" s="125"/>
      <c r="FU114" s="125"/>
      <c r="FV114" s="125"/>
      <c r="FW114" s="125"/>
      <c r="FX114" s="125"/>
      <c r="FY114" s="125"/>
      <c r="FZ114" s="125"/>
      <c r="GA114" s="125"/>
      <c r="GB114" s="125"/>
      <c r="GC114" s="125"/>
      <c r="GD114" s="125"/>
      <c r="GE114" s="125"/>
      <c r="GF114" s="125"/>
      <c r="GG114" s="125"/>
      <c r="GH114" s="125"/>
      <c r="GI114" s="125"/>
      <c r="GJ114" s="125"/>
      <c r="GK114" s="125"/>
      <c r="GL114" s="125"/>
      <c r="GM114" s="125"/>
      <c r="GN114" s="125"/>
      <c r="GO114" s="125"/>
      <c r="GP114" s="125"/>
      <c r="GQ114" s="125"/>
      <c r="GR114" s="125"/>
      <c r="GS114" s="125"/>
      <c r="GT114" s="125"/>
      <c r="GU114" s="125"/>
      <c r="GV114" s="125"/>
      <c r="GW114" s="125"/>
      <c r="GX114" s="125"/>
      <c r="GY114" s="125"/>
      <c r="GZ114" s="125"/>
      <c r="HA114" s="125"/>
      <c r="HB114" s="125"/>
      <c r="HC114" s="125"/>
      <c r="HD114" s="125"/>
      <c r="HE114" s="125"/>
      <c r="HF114" s="125"/>
      <c r="HG114" s="125"/>
      <c r="HH114" s="125"/>
      <c r="HI114" s="125"/>
      <c r="HJ114" s="125"/>
      <c r="HK114" s="125"/>
      <c r="HL114" s="125"/>
      <c r="HM114" s="125"/>
      <c r="HN114" s="125"/>
      <c r="HO114" s="125"/>
      <c r="HP114" s="125"/>
      <c r="HQ114" s="125"/>
      <c r="HR114" s="125"/>
      <c r="HS114" s="125"/>
      <c r="HT114" s="125"/>
      <c r="HU114" s="125"/>
      <c r="HV114" s="125"/>
      <c r="HW114" s="125"/>
      <c r="HX114" s="125"/>
      <c r="HY114" s="125"/>
      <c r="HZ114" s="125"/>
      <c r="IA114" s="125"/>
      <c r="IB114" s="125"/>
      <c r="IC114" s="125"/>
      <c r="ID114" s="125"/>
      <c r="IE114" s="125"/>
      <c r="IF114" s="125"/>
      <c r="IG114" s="125"/>
      <c r="IH114" s="125"/>
      <c r="II114" s="125"/>
      <c r="IJ114" s="125"/>
      <c r="IK114" s="125"/>
      <c r="IL114" s="125"/>
      <c r="IM114" s="125"/>
      <c r="IN114" s="125"/>
      <c r="IO114" s="125"/>
      <c r="IP114" s="125"/>
      <c r="IQ114" s="125"/>
      <c r="IR114" s="125"/>
      <c r="IS114" s="125"/>
      <c r="IT114" s="125"/>
      <c r="IU114" s="125"/>
      <c r="IV114" s="125"/>
    </row>
    <row r="115" spans="1:256" x14ac:dyDescent="0.25">
      <c r="A115" s="183" t="s">
        <v>199</v>
      </c>
      <c r="B115" s="181" t="s">
        <v>282</v>
      </c>
      <c r="C115" s="299"/>
      <c r="D115" s="295"/>
      <c r="E115" s="183"/>
      <c r="F115" s="297"/>
    </row>
    <row r="116" spans="1:256" x14ac:dyDescent="0.25">
      <c r="A116" s="183"/>
      <c r="B116" s="181"/>
      <c r="C116" s="299"/>
      <c r="D116" s="295"/>
      <c r="E116" s="183"/>
      <c r="F116" s="297"/>
    </row>
    <row r="117" spans="1:256" x14ac:dyDescent="0.25">
      <c r="A117" s="178" t="s">
        <v>332</v>
      </c>
      <c r="B117" s="181"/>
      <c r="C117" s="299"/>
      <c r="D117" s="295"/>
      <c r="E117" s="183"/>
      <c r="F117" s="297"/>
    </row>
    <row r="118" spans="1:256" x14ac:dyDescent="0.25">
      <c r="A118" s="178"/>
      <c r="B118" s="181"/>
      <c r="C118" s="299"/>
      <c r="D118" s="295"/>
      <c r="E118" s="183"/>
      <c r="F118" s="297"/>
    </row>
    <row r="119" spans="1:256" ht="53.25" customHeight="1" x14ac:dyDescent="0.25">
      <c r="A119" s="522" t="s">
        <v>343</v>
      </c>
      <c r="B119" s="522"/>
      <c r="C119" s="522"/>
      <c r="D119" s="522"/>
      <c r="E119" s="522"/>
      <c r="F119" s="522"/>
    </row>
    <row r="120" spans="1:256" x14ac:dyDescent="0.25">
      <c r="A120" s="301" t="s">
        <v>333</v>
      </c>
      <c r="B120" s="301" t="s">
        <v>342</v>
      </c>
      <c r="C120" s="302">
        <f>ROUND((D91*D91+POWER(D91,3))/2,4)</f>
        <v>1.0158</v>
      </c>
      <c r="D120" s="287"/>
      <c r="E120" s="287"/>
      <c r="F120" s="287"/>
    </row>
    <row r="121" spans="1:256" x14ac:dyDescent="0.25">
      <c r="A121" s="178"/>
      <c r="B121" s="293"/>
      <c r="C121" s="293"/>
      <c r="D121" s="295"/>
      <c r="E121" s="183"/>
      <c r="F121" s="297"/>
    </row>
    <row r="122" spans="1:256" ht="72" customHeight="1" x14ac:dyDescent="0.25">
      <c r="A122" s="522" t="s">
        <v>348</v>
      </c>
      <c r="B122" s="522"/>
      <c r="C122" s="522"/>
      <c r="D122" s="522"/>
      <c r="E122" s="522"/>
      <c r="F122" s="522"/>
    </row>
    <row r="123" spans="1:256" x14ac:dyDescent="0.25">
      <c r="A123" s="153" t="s">
        <v>197</v>
      </c>
      <c r="B123" s="153"/>
      <c r="C123" s="153"/>
      <c r="D123" s="153"/>
      <c r="E123" s="153"/>
      <c r="F123" s="297"/>
    </row>
    <row r="124" spans="1:256" x14ac:dyDescent="0.25">
      <c r="A124" s="296" t="s">
        <v>334</v>
      </c>
      <c r="B124" s="153"/>
      <c r="C124" s="153"/>
      <c r="D124" s="303"/>
      <c r="E124" s="153"/>
      <c r="F124" s="297"/>
    </row>
    <row r="125" spans="1:256" ht="21" customHeight="1" x14ac:dyDescent="0.25">
      <c r="A125" s="317">
        <v>45904</v>
      </c>
      <c r="B125" s="296"/>
      <c r="C125" s="296"/>
      <c r="D125" s="296"/>
      <c r="E125" s="296"/>
      <c r="F125" s="180"/>
    </row>
    <row r="128" spans="1:256" x14ac:dyDescent="0.25">
      <c r="A128" s="183" t="s">
        <v>227</v>
      </c>
      <c r="B128" s="296"/>
      <c r="C128" s="296"/>
      <c r="D128" s="296"/>
    </row>
    <row r="129" spans="1:4" x14ac:dyDescent="0.25">
      <c r="A129" s="296" t="s">
        <v>349</v>
      </c>
      <c r="B129" s="296" t="s">
        <v>350</v>
      </c>
      <c r="C129" s="296"/>
      <c r="D129" s="296" t="s">
        <v>351</v>
      </c>
    </row>
    <row r="130" spans="1:4" x14ac:dyDescent="0.25">
      <c r="A130" s="125"/>
      <c r="B130" s="296"/>
      <c r="C130" s="296"/>
      <c r="D130" s="296"/>
    </row>
    <row r="131" spans="1:4" x14ac:dyDescent="0.25">
      <c r="A131" s="296" t="s">
        <v>352</v>
      </c>
      <c r="B131" s="296"/>
      <c r="C131" s="296"/>
      <c r="D131" s="296"/>
    </row>
    <row r="132" spans="1:4" x14ac:dyDescent="0.25">
      <c r="A132" s="296" t="s">
        <v>353</v>
      </c>
      <c r="B132" s="296" t="s">
        <v>350</v>
      </c>
      <c r="C132" s="296"/>
      <c r="D132" s="296" t="s">
        <v>354</v>
      </c>
    </row>
    <row r="133" spans="1:4" ht="15.75" x14ac:dyDescent="0.25">
      <c r="A133" s="523"/>
      <c r="B133" s="523"/>
      <c r="C133" s="315"/>
      <c r="D133" s="316"/>
    </row>
  </sheetData>
  <mergeCells count="44">
    <mergeCell ref="A9:F9"/>
    <mergeCell ref="D1:F1"/>
    <mergeCell ref="A3:F3"/>
    <mergeCell ref="A4:F4"/>
    <mergeCell ref="A6:F6"/>
    <mergeCell ref="A7:F7"/>
    <mergeCell ref="A42:C42"/>
    <mergeCell ref="A10:F10"/>
    <mergeCell ref="A11:F11"/>
    <mergeCell ref="A12:F12"/>
    <mergeCell ref="A13:F13"/>
    <mergeCell ref="A15:A16"/>
    <mergeCell ref="B15:B16"/>
    <mergeCell ref="C15:C16"/>
    <mergeCell ref="D15:D16"/>
    <mergeCell ref="E15:E16"/>
    <mergeCell ref="F15:F16"/>
    <mergeCell ref="G15:H15"/>
    <mergeCell ref="I15:I16"/>
    <mergeCell ref="J15:K15"/>
    <mergeCell ref="A40:F40"/>
    <mergeCell ref="A41:F41"/>
    <mergeCell ref="G90:L90"/>
    <mergeCell ref="B48:C48"/>
    <mergeCell ref="A52:F52"/>
    <mergeCell ref="D59:E59"/>
    <mergeCell ref="D61:F61"/>
    <mergeCell ref="D67:F67"/>
    <mergeCell ref="D68:F68"/>
    <mergeCell ref="D69:F69"/>
    <mergeCell ref="A74:E74"/>
    <mergeCell ref="A77:E77"/>
    <mergeCell ref="A84:E84"/>
    <mergeCell ref="G89:L89"/>
    <mergeCell ref="A109:C109"/>
    <mergeCell ref="A119:F119"/>
    <mergeCell ref="A122:F122"/>
    <mergeCell ref="A133:B133"/>
    <mergeCell ref="G91:L91"/>
    <mergeCell ref="A97:D97"/>
    <mergeCell ref="A98:D98"/>
    <mergeCell ref="A99:D99"/>
    <mergeCell ref="A102:F102"/>
    <mergeCell ref="A107:F107"/>
  </mergeCells>
  <pageMargins left="0.7" right="0.7" top="0.75" bottom="0.75" header="0.3" footer="0.3"/>
  <pageSetup paperSize="9" scale="47" orientation="portrait" r:id="rId1"/>
  <rowBreaks count="1" manualBreakCount="1">
    <brk id="77" max="10" man="1"/>
  </rowBreaks>
  <colBreaks count="1" manualBreakCount="1">
    <brk id="11" max="8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33"/>
  <sheetViews>
    <sheetView view="pageBreakPreview" topLeftCell="A28" zoomScaleNormal="100" zoomScaleSheetLayoutView="100" workbookViewId="0">
      <selection activeCell="D86" sqref="D86"/>
    </sheetView>
  </sheetViews>
  <sheetFormatPr defaultRowHeight="15" x14ac:dyDescent="0.25"/>
  <cols>
    <col min="1" max="1" width="41.140625" style="122" customWidth="1"/>
    <col min="2" max="2" width="22.85546875" style="122" customWidth="1"/>
    <col min="3" max="3" width="14.42578125" style="122" customWidth="1"/>
    <col min="4" max="4" width="24.42578125" style="122" customWidth="1"/>
    <col min="5" max="5" width="16.42578125" style="122" customWidth="1"/>
    <col min="6" max="6" width="23.140625" style="122" customWidth="1"/>
    <col min="7" max="7" width="21.140625" style="122" hidden="1" customWidth="1"/>
    <col min="8" max="8" width="19.7109375" style="122" hidden="1" customWidth="1"/>
    <col min="9" max="9" width="22.7109375" style="122" hidden="1" customWidth="1"/>
    <col min="10" max="11" width="22.7109375" style="122" customWidth="1"/>
    <col min="12" max="12" width="24" style="122" customWidth="1"/>
    <col min="13" max="13" width="19" style="122" customWidth="1"/>
    <col min="14" max="14" width="16.7109375" style="122" bestFit="1" customWidth="1"/>
    <col min="15" max="15" width="18.85546875" style="122" customWidth="1"/>
    <col min="16" max="16" width="16.5703125" style="122" bestFit="1" customWidth="1"/>
    <col min="17" max="17" width="15.42578125" style="122" bestFit="1" customWidth="1"/>
    <col min="18" max="16384" width="9.140625" style="122"/>
  </cols>
  <sheetData>
    <row r="1" spans="1:256" ht="9" customHeight="1" x14ac:dyDescent="0.25">
      <c r="B1" s="123"/>
      <c r="C1" s="123"/>
      <c r="D1" s="545"/>
      <c r="E1" s="545"/>
      <c r="F1" s="545"/>
      <c r="G1" s="124"/>
    </row>
    <row r="2" spans="1:256" ht="9" customHeight="1" x14ac:dyDescent="0.25">
      <c r="A2" s="124"/>
      <c r="B2" s="124"/>
      <c r="C2" s="124"/>
      <c r="D2" s="124"/>
      <c r="E2" s="124"/>
      <c r="F2" s="124"/>
    </row>
    <row r="3" spans="1:256" ht="15.75" x14ac:dyDescent="0.25">
      <c r="A3" s="546" t="s">
        <v>177</v>
      </c>
      <c r="B3" s="546"/>
      <c r="C3" s="546"/>
      <c r="D3" s="546"/>
      <c r="E3" s="546"/>
      <c r="F3" s="546"/>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75" x14ac:dyDescent="0.25">
      <c r="A4" s="547" t="s">
        <v>178</v>
      </c>
      <c r="B4" s="547"/>
      <c r="C4" s="547"/>
      <c r="D4" s="547"/>
      <c r="E4" s="547"/>
      <c r="F4" s="547"/>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75" x14ac:dyDescent="0.25">
      <c r="A5" s="126"/>
      <c r="B5" s="126"/>
      <c r="C5" s="126"/>
      <c r="D5" s="126"/>
      <c r="E5" s="126"/>
      <c r="F5" s="126"/>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15.75" x14ac:dyDescent="0.25">
      <c r="A6" s="548" t="s">
        <v>219</v>
      </c>
      <c r="B6" s="549"/>
      <c r="C6" s="549"/>
      <c r="D6" s="549"/>
      <c r="E6" s="549"/>
      <c r="F6" s="549"/>
    </row>
    <row r="7" spans="1:256" ht="15.75" x14ac:dyDescent="0.25">
      <c r="A7" s="548" t="s">
        <v>220</v>
      </c>
      <c r="B7" s="549"/>
      <c r="C7" s="549"/>
      <c r="D7" s="549"/>
      <c r="E7" s="549"/>
      <c r="F7" s="549"/>
    </row>
    <row r="8" spans="1:256" ht="15.75" x14ac:dyDescent="0.25">
      <c r="A8" s="124"/>
      <c r="B8" s="124"/>
      <c r="C8" s="124"/>
      <c r="D8" s="124"/>
      <c r="E8" s="124"/>
      <c r="F8" s="124"/>
    </row>
    <row r="9" spans="1:256" ht="15.75" x14ac:dyDescent="0.25">
      <c r="A9" s="543" t="s">
        <v>179</v>
      </c>
      <c r="B9" s="544"/>
      <c r="C9" s="544"/>
      <c r="D9" s="544"/>
      <c r="E9" s="544"/>
      <c r="F9" s="544"/>
    </row>
    <row r="10" spans="1:256" ht="15.75" x14ac:dyDescent="0.25">
      <c r="A10" s="536" t="s">
        <v>228</v>
      </c>
      <c r="B10" s="537"/>
      <c r="C10" s="537"/>
      <c r="D10" s="537"/>
      <c r="E10" s="537"/>
      <c r="F10" s="537"/>
    </row>
    <row r="11" spans="1:256" ht="15.75" x14ac:dyDescent="0.25">
      <c r="A11" s="538" t="s">
        <v>222</v>
      </c>
      <c r="B11" s="538"/>
      <c r="C11" s="538"/>
      <c r="D11" s="538"/>
      <c r="E11" s="538"/>
      <c r="F11" s="538"/>
    </row>
    <row r="12" spans="1:256" ht="15.75" x14ac:dyDescent="0.25">
      <c r="A12" s="539" t="s">
        <v>221</v>
      </c>
      <c r="B12" s="539"/>
      <c r="C12" s="539"/>
      <c r="D12" s="539"/>
      <c r="E12" s="539"/>
      <c r="F12" s="539"/>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15.75" customHeight="1" x14ac:dyDescent="0.25">
      <c r="A13" s="540" t="s">
        <v>180</v>
      </c>
      <c r="B13" s="540"/>
      <c r="C13" s="540"/>
      <c r="D13" s="540"/>
      <c r="E13" s="540"/>
      <c r="F13" s="540"/>
      <c r="G13" s="127"/>
      <c r="H13" s="125"/>
      <c r="I13" s="125"/>
      <c r="J13" s="125"/>
      <c r="K13" s="125"/>
      <c r="L13" s="125"/>
      <c r="M13" s="128"/>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x14ac:dyDescent="0.25">
      <c r="A14" s="129" t="s">
        <v>181</v>
      </c>
      <c r="B14" s="129"/>
      <c r="C14" s="129"/>
      <c r="D14" s="129"/>
      <c r="E14" s="129"/>
      <c r="F14" s="130" t="s">
        <v>182</v>
      </c>
    </row>
    <row r="15" spans="1:256" ht="15.75" x14ac:dyDescent="0.25">
      <c r="A15" s="541" t="s">
        <v>183</v>
      </c>
      <c r="B15" s="541" t="s">
        <v>347</v>
      </c>
      <c r="C15" s="541" t="s">
        <v>184</v>
      </c>
      <c r="D15" s="541" t="s">
        <v>314</v>
      </c>
      <c r="E15" s="541" t="s">
        <v>185</v>
      </c>
      <c r="F15" s="541" t="s">
        <v>186</v>
      </c>
      <c r="G15" s="532" t="s">
        <v>187</v>
      </c>
      <c r="H15" s="533"/>
      <c r="I15" s="534" t="s">
        <v>188</v>
      </c>
      <c r="J15" s="534" t="s">
        <v>187</v>
      </c>
      <c r="K15" s="534"/>
      <c r="M15" s="131"/>
    </row>
    <row r="16" spans="1:256" ht="129" customHeight="1" x14ac:dyDescent="0.25">
      <c r="A16" s="542"/>
      <c r="B16" s="542"/>
      <c r="C16" s="542"/>
      <c r="D16" s="542" t="s">
        <v>189</v>
      </c>
      <c r="E16" s="542"/>
      <c r="F16" s="542"/>
      <c r="G16" s="132">
        <v>2025</v>
      </c>
      <c r="H16" s="132">
        <v>2026</v>
      </c>
      <c r="I16" s="534"/>
      <c r="J16" s="132">
        <v>2025</v>
      </c>
      <c r="K16" s="132">
        <v>2026</v>
      </c>
    </row>
    <row r="17" spans="1:256" ht="15.75" x14ac:dyDescent="0.25">
      <c r="A17" s="133">
        <v>1</v>
      </c>
      <c r="B17" s="133">
        <v>2</v>
      </c>
      <c r="C17" s="133">
        <v>3</v>
      </c>
      <c r="D17" s="133">
        <v>4</v>
      </c>
      <c r="E17" s="133">
        <v>5</v>
      </c>
      <c r="F17" s="133">
        <v>6</v>
      </c>
      <c r="G17" s="133">
        <v>7</v>
      </c>
      <c r="H17" s="133">
        <v>8</v>
      </c>
      <c r="I17" s="245"/>
      <c r="J17" s="133">
        <v>7</v>
      </c>
      <c r="K17" s="133">
        <v>8</v>
      </c>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ht="15.75" x14ac:dyDescent="0.25">
      <c r="A18" s="308" t="s">
        <v>190</v>
      </c>
      <c r="B18" s="135">
        <f>34345.5-B27</f>
        <v>12835.22</v>
      </c>
      <c r="C18" s="134">
        <f>F74</f>
        <v>1.1113999999999999</v>
      </c>
      <c r="D18" s="135">
        <f t="shared" ref="D18:D24" si="0">B18*C18</f>
        <v>14265.06</v>
      </c>
      <c r="E18" s="134">
        <f>D109</f>
        <v>1.0233000000000001</v>
      </c>
      <c r="F18" s="135">
        <f>D18*E18</f>
        <v>14597.44</v>
      </c>
      <c r="G18" s="136"/>
      <c r="H18" s="136"/>
      <c r="I18" s="283"/>
      <c r="J18" s="136"/>
      <c r="K18" s="136"/>
      <c r="L18" s="137"/>
      <c r="M18" s="137"/>
      <c r="N18" s="137"/>
      <c r="O18" s="137"/>
      <c r="P18" s="138"/>
    </row>
    <row r="19" spans="1:256" ht="15.75" x14ac:dyDescent="0.25">
      <c r="A19" s="308" t="s">
        <v>308</v>
      </c>
      <c r="B19" s="135">
        <v>258.26</v>
      </c>
      <c r="C19" s="134">
        <f>F74</f>
        <v>1.1113999999999999</v>
      </c>
      <c r="D19" s="135">
        <f t="shared" si="0"/>
        <v>287.02999999999997</v>
      </c>
      <c r="E19" s="134">
        <f>D109</f>
        <v>1.0233000000000001</v>
      </c>
      <c r="F19" s="135">
        <f t="shared" ref="F19:F24" si="1">D19*E19</f>
        <v>293.72000000000003</v>
      </c>
      <c r="G19" s="136"/>
      <c r="H19" s="136"/>
      <c r="I19" s="283"/>
      <c r="J19" s="136"/>
      <c r="K19" s="136"/>
      <c r="L19" s="137">
        <f>(B18+B19+B27)*0.012</f>
        <v>415.24511999999999</v>
      </c>
      <c r="M19" s="137">
        <f>D23*E22</f>
        <v>15494.174154</v>
      </c>
      <c r="N19" s="137"/>
      <c r="O19" s="137"/>
      <c r="P19" s="138"/>
    </row>
    <row r="20" spans="1:256" ht="31.5" x14ac:dyDescent="0.25">
      <c r="A20" s="309" t="s">
        <v>312</v>
      </c>
      <c r="B20" s="135">
        <f>(B18)*0.012-0.01</f>
        <v>154.01</v>
      </c>
      <c r="C20" s="134">
        <f>F74</f>
        <v>1.1113999999999999</v>
      </c>
      <c r="D20" s="135">
        <f t="shared" si="0"/>
        <v>171.17</v>
      </c>
      <c r="E20" s="134">
        <f>D109</f>
        <v>1.0233000000000001</v>
      </c>
      <c r="F20" s="135">
        <f t="shared" si="1"/>
        <v>175.16</v>
      </c>
      <c r="G20" s="136"/>
      <c r="H20" s="136"/>
      <c r="I20" s="283"/>
      <c r="J20" s="136"/>
      <c r="K20" s="136"/>
      <c r="L20" s="140">
        <f>B20+B28</f>
        <v>412.13</v>
      </c>
      <c r="M20" s="137"/>
      <c r="N20" s="137"/>
      <c r="O20" s="137"/>
      <c r="P20" s="138"/>
    </row>
    <row r="21" spans="1:256" ht="15.75" x14ac:dyDescent="0.25">
      <c r="A21" s="308" t="s">
        <v>309</v>
      </c>
      <c r="B21" s="135">
        <v>109.08</v>
      </c>
      <c r="C21" s="134">
        <f>F74</f>
        <v>1.1113999999999999</v>
      </c>
      <c r="D21" s="135">
        <f t="shared" si="0"/>
        <v>121.23</v>
      </c>
      <c r="E21" s="134">
        <f>D109</f>
        <v>1.0233000000000001</v>
      </c>
      <c r="F21" s="135">
        <f t="shared" si="1"/>
        <v>124.05</v>
      </c>
      <c r="G21" s="136"/>
      <c r="H21" s="136"/>
      <c r="I21" s="283"/>
      <c r="J21" s="136"/>
      <c r="K21" s="136"/>
      <c r="L21" s="140">
        <f>B18+B19+B20+B21+B27+B28</f>
        <v>35124.97</v>
      </c>
      <c r="M21" s="140" t="e">
        <f>C18+#REF!+C19+C20+C21</f>
        <v>#REF!</v>
      </c>
      <c r="N21" s="140" t="e">
        <f>D18+#REF!+D19+D20+D21</f>
        <v>#REF!</v>
      </c>
      <c r="O21" s="140" t="e">
        <f>F18+#REF!+F19+F20+F21</f>
        <v>#REF!</v>
      </c>
      <c r="P21" s="138"/>
    </row>
    <row r="22" spans="1:256" ht="31.5" x14ac:dyDescent="0.25">
      <c r="A22" s="310" t="s">
        <v>191</v>
      </c>
      <c r="B22" s="135">
        <f>(B18+B19+B20+B21)*0.02</f>
        <v>267.13</v>
      </c>
      <c r="C22" s="134">
        <f>F74</f>
        <v>1.1113999999999999</v>
      </c>
      <c r="D22" s="135">
        <f t="shared" si="0"/>
        <v>296.89</v>
      </c>
      <c r="E22" s="134">
        <f>D109</f>
        <v>1.0233000000000001</v>
      </c>
      <c r="F22" s="135">
        <f t="shared" si="1"/>
        <v>303.81</v>
      </c>
      <c r="G22" s="136"/>
      <c r="H22" s="136"/>
      <c r="I22" s="283"/>
      <c r="J22" s="136"/>
      <c r="K22" s="136"/>
      <c r="L22" s="140">
        <f>L21*0.02</f>
        <v>702.5</v>
      </c>
      <c r="M22" s="140" t="e">
        <f>M21*0.02</f>
        <v>#REF!</v>
      </c>
      <c r="N22" s="140" t="e">
        <f>N21*0.02</f>
        <v>#REF!</v>
      </c>
      <c r="O22" s="137">
        <f>D22*E21</f>
        <v>303.80753700000002</v>
      </c>
      <c r="P22" s="138"/>
    </row>
    <row r="23" spans="1:256" ht="15.75" x14ac:dyDescent="0.25">
      <c r="A23" s="308" t="s">
        <v>192</v>
      </c>
      <c r="B23" s="135">
        <f>SUM(B18:B22)</f>
        <v>13623.7</v>
      </c>
      <c r="C23" s="134">
        <f>F74</f>
        <v>1.1113999999999999</v>
      </c>
      <c r="D23" s="135">
        <f t="shared" si="0"/>
        <v>15141.38</v>
      </c>
      <c r="E23" s="134">
        <f>D109</f>
        <v>1.0233000000000001</v>
      </c>
      <c r="F23" s="135">
        <f t="shared" si="1"/>
        <v>15494.17</v>
      </c>
      <c r="G23" s="136"/>
      <c r="H23" s="136"/>
      <c r="I23" s="283"/>
      <c r="J23" s="136"/>
      <c r="K23" s="136"/>
      <c r="L23" s="140">
        <f>D18+D19+D20+D21+D22</f>
        <v>15141.38</v>
      </c>
      <c r="M23" s="140">
        <f>E18+E19+E20+E21+E22</f>
        <v>5.12</v>
      </c>
      <c r="N23" s="140">
        <f>F18+F19+F20+F21+F22</f>
        <v>15494.18</v>
      </c>
      <c r="O23" s="137"/>
      <c r="P23" s="138"/>
    </row>
    <row r="24" spans="1:256" ht="15.75" x14ac:dyDescent="0.25">
      <c r="A24" s="308" t="s">
        <v>193</v>
      </c>
      <c r="B24" s="135">
        <f>B23*0.2+0.01</f>
        <v>2724.75</v>
      </c>
      <c r="C24" s="134">
        <f>F74</f>
        <v>1.1113999999999999</v>
      </c>
      <c r="D24" s="135">
        <f t="shared" si="0"/>
        <v>3028.29</v>
      </c>
      <c r="E24" s="134">
        <f>D109</f>
        <v>1.0233000000000001</v>
      </c>
      <c r="F24" s="135">
        <f t="shared" si="1"/>
        <v>3098.85</v>
      </c>
      <c r="G24" s="136"/>
      <c r="H24" s="136"/>
      <c r="I24" s="283"/>
      <c r="J24" s="136"/>
      <c r="K24" s="136"/>
      <c r="L24" s="137">
        <f>D23*0.2</f>
        <v>3028.2759999999998</v>
      </c>
      <c r="M24" s="137">
        <f>D23*0.2</f>
        <v>3028.2759999999998</v>
      </c>
      <c r="N24" s="137">
        <f>N23*0.2</f>
        <v>3098.8359999999998</v>
      </c>
      <c r="O24" s="137"/>
      <c r="P24" s="138"/>
    </row>
    <row r="25" spans="1:256" ht="15.75" x14ac:dyDescent="0.25">
      <c r="A25" s="272" t="s">
        <v>346</v>
      </c>
      <c r="B25" s="135">
        <f>B23+B24</f>
        <v>16348.45</v>
      </c>
      <c r="C25" s="134"/>
      <c r="D25" s="135">
        <f>D23+D24</f>
        <v>18169.669999999998</v>
      </c>
      <c r="E25" s="134"/>
      <c r="F25" s="135">
        <f>F23+F24</f>
        <v>18593.02</v>
      </c>
      <c r="G25" s="136"/>
      <c r="H25" s="136"/>
      <c r="I25" s="283"/>
      <c r="J25" s="135"/>
      <c r="K25" s="135"/>
      <c r="L25" s="137">
        <f>J25+K25</f>
        <v>0</v>
      </c>
      <c r="M25" s="137"/>
      <c r="N25" s="137"/>
      <c r="O25" s="137"/>
      <c r="P25" s="138"/>
    </row>
    <row r="26" spans="1:256" ht="15.75" x14ac:dyDescent="0.25">
      <c r="A26" s="272"/>
      <c r="B26" s="135"/>
      <c r="C26" s="134"/>
      <c r="D26" s="135"/>
      <c r="E26" s="134"/>
      <c r="F26" s="135"/>
      <c r="G26" s="136"/>
      <c r="H26" s="136"/>
      <c r="I26" s="283"/>
      <c r="J26" s="136"/>
      <c r="K26" s="136"/>
      <c r="L26" s="137">
        <f>B25*C24</f>
        <v>18169.66733</v>
      </c>
      <c r="M26" s="137"/>
      <c r="N26" s="137"/>
      <c r="O26" s="137"/>
      <c r="P26" s="138"/>
    </row>
    <row r="27" spans="1:256" ht="47.25" x14ac:dyDescent="0.25">
      <c r="A27" s="311" t="s">
        <v>339</v>
      </c>
      <c r="B27" s="135">
        <v>21510.28</v>
      </c>
      <c r="C27" s="134">
        <f>F77</f>
        <v>1.069</v>
      </c>
      <c r="D27" s="135">
        <f>B27*C27</f>
        <v>22994.49</v>
      </c>
      <c r="E27" s="134">
        <f>D109</f>
        <v>1.0233000000000001</v>
      </c>
      <c r="F27" s="135">
        <f>D27*E27</f>
        <v>23530.26</v>
      </c>
      <c r="G27" s="136"/>
      <c r="H27" s="136"/>
      <c r="I27" s="283"/>
      <c r="J27" s="136"/>
      <c r="K27" s="136"/>
      <c r="L27" s="140">
        <f>B18+B27</f>
        <v>34345.5</v>
      </c>
      <c r="M27" s="137"/>
      <c r="N27" s="137"/>
      <c r="O27" s="137"/>
      <c r="P27" s="138"/>
    </row>
    <row r="28" spans="1:256" ht="31.5" x14ac:dyDescent="0.25">
      <c r="A28" s="311" t="s">
        <v>312</v>
      </c>
      <c r="B28" s="135">
        <f>B27*0.012</f>
        <v>258.12</v>
      </c>
      <c r="C28" s="134">
        <f>F77</f>
        <v>1.069</v>
      </c>
      <c r="D28" s="135">
        <f>B28*C28</f>
        <v>275.93</v>
      </c>
      <c r="E28" s="134">
        <f>D109</f>
        <v>1.0233000000000001</v>
      </c>
      <c r="F28" s="135">
        <f>D28*E28</f>
        <v>282.36</v>
      </c>
      <c r="G28" s="136"/>
      <c r="H28" s="136"/>
      <c r="I28" s="283"/>
      <c r="J28" s="136"/>
      <c r="K28" s="136"/>
      <c r="L28" s="137"/>
      <c r="M28" s="137"/>
      <c r="N28" s="137"/>
      <c r="O28" s="137"/>
      <c r="P28" s="138"/>
    </row>
    <row r="29" spans="1:256" ht="31.5" x14ac:dyDescent="0.25">
      <c r="A29" s="312" t="s">
        <v>191</v>
      </c>
      <c r="B29" s="135">
        <f>(B27+B28)*0.02</f>
        <v>435.37</v>
      </c>
      <c r="C29" s="134">
        <f>F77</f>
        <v>1.069</v>
      </c>
      <c r="D29" s="135">
        <f>B29*C29</f>
        <v>465.41</v>
      </c>
      <c r="E29" s="134">
        <f>D109</f>
        <v>1.0233000000000001</v>
      </c>
      <c r="F29" s="135">
        <f>D29*E29-0.01</f>
        <v>476.24</v>
      </c>
      <c r="G29" s="136"/>
      <c r="H29" s="136"/>
      <c r="I29" s="283"/>
      <c r="J29" s="136"/>
      <c r="K29" s="136"/>
      <c r="L29" s="137"/>
      <c r="M29" s="140">
        <f>B22+B29</f>
        <v>702.5</v>
      </c>
      <c r="N29" s="137"/>
      <c r="O29" s="137"/>
      <c r="P29" s="138"/>
    </row>
    <row r="30" spans="1:256" ht="15.75" x14ac:dyDescent="0.25">
      <c r="A30" s="313" t="s">
        <v>192</v>
      </c>
      <c r="B30" s="135">
        <f>B27+B28+B29</f>
        <v>22203.77</v>
      </c>
      <c r="C30" s="134">
        <f>F77</f>
        <v>1.069</v>
      </c>
      <c r="D30" s="135">
        <f>B30*C30</f>
        <v>23735.83</v>
      </c>
      <c r="E30" s="134">
        <f>D109</f>
        <v>1.0233000000000001</v>
      </c>
      <c r="F30" s="135">
        <f>D30*E30</f>
        <v>24288.87</v>
      </c>
      <c r="G30" s="136"/>
      <c r="H30" s="136"/>
      <c r="I30" s="283"/>
      <c r="J30" s="136"/>
      <c r="K30" s="136"/>
      <c r="L30" s="140">
        <f>D27+D28+D29</f>
        <v>23735.83</v>
      </c>
      <c r="M30" s="137"/>
      <c r="N30" s="137"/>
      <c r="O30" s="137"/>
      <c r="P30" s="138"/>
    </row>
    <row r="31" spans="1:256" ht="15.75" x14ac:dyDescent="0.25">
      <c r="A31" s="313" t="s">
        <v>193</v>
      </c>
      <c r="B31" s="135">
        <f>B30*0.2</f>
        <v>4440.75</v>
      </c>
      <c r="C31" s="134">
        <f>F77</f>
        <v>1.069</v>
      </c>
      <c r="D31" s="135">
        <f>B31*C31</f>
        <v>4747.16</v>
      </c>
      <c r="E31" s="134">
        <f>D109</f>
        <v>1.0233000000000001</v>
      </c>
      <c r="F31" s="135">
        <f>D31*E31</f>
        <v>4857.7700000000004</v>
      </c>
      <c r="G31" s="136"/>
      <c r="H31" s="136"/>
      <c r="I31" s="283"/>
      <c r="J31" s="136"/>
      <c r="K31" s="136"/>
      <c r="L31" s="140">
        <f>L30*0.2</f>
        <v>4747.17</v>
      </c>
      <c r="M31" s="137">
        <f>F30*0.2</f>
        <v>4857.7740000000003</v>
      </c>
      <c r="N31" s="137"/>
      <c r="O31" s="137"/>
      <c r="P31" s="138"/>
    </row>
    <row r="32" spans="1:256" ht="15.75" x14ac:dyDescent="0.25">
      <c r="A32" s="271" t="s">
        <v>346</v>
      </c>
      <c r="B32" s="275">
        <f>B30+B31</f>
        <v>26644.52</v>
      </c>
      <c r="C32" s="134"/>
      <c r="D32" s="275">
        <f>D30+D31</f>
        <v>28482.99</v>
      </c>
      <c r="E32" s="134"/>
      <c r="F32" s="135">
        <f>F30+F31</f>
        <v>29146.639999999999</v>
      </c>
      <c r="G32" s="136"/>
      <c r="H32" s="136"/>
      <c r="I32" s="283"/>
      <c r="J32" s="136"/>
      <c r="K32" s="136"/>
      <c r="L32" s="137">
        <f>B32*C31</f>
        <v>28482.991880000001</v>
      </c>
      <c r="M32" s="137"/>
      <c r="N32" s="137">
        <f>D32*E31</f>
        <v>29146.643667</v>
      </c>
      <c r="O32" s="137"/>
      <c r="P32" s="138"/>
    </row>
    <row r="33" spans="1:256" ht="15.75" x14ac:dyDescent="0.25">
      <c r="A33" s="271" t="s">
        <v>310</v>
      </c>
      <c r="B33" s="275">
        <f>B25+B32</f>
        <v>42992.97</v>
      </c>
      <c r="C33" s="134"/>
      <c r="D33" s="275">
        <f>D25+D32</f>
        <v>46652.66</v>
      </c>
      <c r="E33" s="134"/>
      <c r="F33" s="275">
        <f>F25+F32</f>
        <v>47739.66</v>
      </c>
      <c r="G33" s="136"/>
      <c r="H33" s="136"/>
      <c r="I33" s="283"/>
      <c r="J33" s="275">
        <f>F33*E81</f>
        <v>286.44</v>
      </c>
      <c r="K33" s="275">
        <f>F33*E82</f>
        <v>47453.22</v>
      </c>
      <c r="L33" s="140">
        <f>B33*C18</f>
        <v>47782.39</v>
      </c>
      <c r="M33" s="140">
        <f>J33+K33</f>
        <v>47739.66</v>
      </c>
      <c r="N33" s="137"/>
      <c r="O33" s="137"/>
      <c r="P33" s="138"/>
    </row>
    <row r="34" spans="1:256" ht="15.75" x14ac:dyDescent="0.25">
      <c r="A34" s="271"/>
      <c r="B34" s="275"/>
      <c r="C34" s="282"/>
      <c r="D34" s="275"/>
      <c r="E34" s="282"/>
      <c r="F34" s="275"/>
      <c r="G34" s="136"/>
      <c r="H34" s="136"/>
      <c r="I34" s="283"/>
      <c r="J34" s="275"/>
      <c r="K34" s="275"/>
      <c r="L34" s="140"/>
      <c r="M34" s="140"/>
      <c r="N34" s="137"/>
      <c r="O34" s="137"/>
      <c r="P34" s="138"/>
    </row>
    <row r="35" spans="1:256" ht="15.75" x14ac:dyDescent="0.25">
      <c r="A35" s="314" t="s">
        <v>311</v>
      </c>
      <c r="B35" s="135">
        <v>1813.5</v>
      </c>
      <c r="C35" s="134">
        <f>F74</f>
        <v>1.1113999999999999</v>
      </c>
      <c r="D35" s="135">
        <f>B35*C35</f>
        <v>2015.52</v>
      </c>
      <c r="E35" s="134">
        <f>C120</f>
        <v>1.0158</v>
      </c>
      <c r="F35" s="135">
        <f>D35*E35</f>
        <v>2047.37</v>
      </c>
      <c r="G35" s="136"/>
      <c r="H35" s="136"/>
      <c r="I35" s="283"/>
      <c r="J35" s="136"/>
      <c r="K35" s="136"/>
      <c r="L35" s="137"/>
      <c r="M35" s="137"/>
      <c r="N35" s="137"/>
      <c r="O35" s="137"/>
      <c r="P35" s="138"/>
    </row>
    <row r="36" spans="1:256" ht="15.75" x14ac:dyDescent="0.25">
      <c r="A36" s="314" t="s">
        <v>192</v>
      </c>
      <c r="B36" s="135">
        <f>B35</f>
        <v>1813.5</v>
      </c>
      <c r="C36" s="134">
        <f>F74</f>
        <v>1.1113999999999999</v>
      </c>
      <c r="D36" s="135">
        <f>B36*C36</f>
        <v>2015.52</v>
      </c>
      <c r="E36" s="134">
        <f>C120</f>
        <v>1.0158</v>
      </c>
      <c r="F36" s="135">
        <f>D36*E36</f>
        <v>2047.37</v>
      </c>
      <c r="G36" s="136"/>
      <c r="H36" s="136"/>
      <c r="I36" s="283"/>
      <c r="J36" s="136"/>
      <c r="K36" s="136"/>
      <c r="L36" s="137"/>
      <c r="M36" s="137"/>
      <c r="N36" s="137"/>
      <c r="O36" s="137"/>
      <c r="S36" s="138"/>
    </row>
    <row r="37" spans="1:256" ht="15.75" x14ac:dyDescent="0.25">
      <c r="A37" s="314" t="s">
        <v>193</v>
      </c>
      <c r="B37" s="141">
        <f>B36*0.2</f>
        <v>362.7</v>
      </c>
      <c r="C37" s="134">
        <f>F74</f>
        <v>1.1113999999999999</v>
      </c>
      <c r="D37" s="135">
        <f>B37*C37</f>
        <v>403.1</v>
      </c>
      <c r="E37" s="134">
        <f>C120</f>
        <v>1.0158</v>
      </c>
      <c r="F37" s="135">
        <f>F36*0.2</f>
        <v>409.47</v>
      </c>
      <c r="G37" s="136"/>
      <c r="H37" s="136"/>
      <c r="I37" s="283"/>
      <c r="J37" s="136"/>
      <c r="K37" s="136"/>
      <c r="L37" s="140">
        <f>D36*0.2</f>
        <v>403.1</v>
      </c>
      <c r="M37" s="137"/>
      <c r="N37" s="137">
        <f>D37*E35</f>
        <v>409.46897999999999</v>
      </c>
      <c r="O37" s="137"/>
      <c r="S37" s="138"/>
      <c r="T37" s="139"/>
    </row>
    <row r="38" spans="1:256" ht="37.5" customHeight="1" x14ac:dyDescent="0.25">
      <c r="A38" s="271" t="s">
        <v>310</v>
      </c>
      <c r="B38" s="276">
        <f>B36+B37</f>
        <v>2176.1999999999998</v>
      </c>
      <c r="C38" s="261"/>
      <c r="D38" s="275">
        <f>D36+D37</f>
        <v>2418.62</v>
      </c>
      <c r="E38" s="134"/>
      <c r="F38" s="275">
        <f>F36+F37</f>
        <v>2456.84</v>
      </c>
      <c r="G38" s="136"/>
      <c r="H38" s="136"/>
      <c r="I38" s="283"/>
      <c r="J38" s="275">
        <f>F38</f>
        <v>2456.84</v>
      </c>
      <c r="K38" s="275"/>
      <c r="L38" s="140">
        <f>B38*C35</f>
        <v>2418.63</v>
      </c>
      <c r="M38" s="137">
        <f>D37*E36</f>
        <v>409.46897999999999</v>
      </c>
      <c r="N38" s="140"/>
      <c r="O38" s="137"/>
      <c r="S38" s="138"/>
      <c r="T38" s="138"/>
    </row>
    <row r="39" spans="1:256" s="280" customFormat="1" ht="15.75" x14ac:dyDescent="0.25">
      <c r="A39" s="198" t="s">
        <v>313</v>
      </c>
      <c r="B39" s="199">
        <f>B33+B38</f>
        <v>45169.17</v>
      </c>
      <c r="C39" s="281"/>
      <c r="D39" s="199">
        <f>D33+D38</f>
        <v>49071.28</v>
      </c>
      <c r="E39" s="199"/>
      <c r="F39" s="199">
        <f t="shared" ref="F39:K39" si="2">F33+F38</f>
        <v>50196.5</v>
      </c>
      <c r="G39" s="199">
        <f t="shared" si="2"/>
        <v>0</v>
      </c>
      <c r="H39" s="199">
        <f t="shared" si="2"/>
        <v>0</v>
      </c>
      <c r="I39" s="199">
        <f t="shared" si="2"/>
        <v>0</v>
      </c>
      <c r="J39" s="199">
        <f t="shared" si="2"/>
        <v>2743.28</v>
      </c>
      <c r="K39" s="199">
        <f t="shared" si="2"/>
        <v>47453.22</v>
      </c>
      <c r="L39" s="278"/>
      <c r="M39" s="279" t="e">
        <f>B18+B39+#REF!</f>
        <v>#REF!</v>
      </c>
      <c r="N39" s="278"/>
      <c r="O39" s="278"/>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7"/>
      <c r="BR39" s="277"/>
      <c r="BS39" s="277"/>
      <c r="BT39" s="277"/>
      <c r="BU39" s="277"/>
      <c r="BV39" s="277"/>
      <c r="BW39" s="277"/>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7"/>
      <c r="CW39" s="277"/>
      <c r="CX39" s="277"/>
      <c r="CY39" s="277"/>
      <c r="CZ39" s="277"/>
      <c r="DA39" s="277"/>
      <c r="DB39" s="277"/>
      <c r="DC39" s="277"/>
      <c r="DD39" s="277"/>
      <c r="DE39" s="277"/>
      <c r="DF39" s="277"/>
      <c r="DG39" s="277"/>
      <c r="DH39" s="277"/>
      <c r="DI39" s="277"/>
      <c r="DJ39" s="277"/>
      <c r="DK39" s="277"/>
      <c r="DL39" s="277"/>
      <c r="DM39" s="277"/>
      <c r="DN39" s="277"/>
      <c r="DO39" s="277"/>
      <c r="DP39" s="277"/>
      <c r="DQ39" s="277"/>
      <c r="DR39" s="277"/>
      <c r="DS39" s="277"/>
      <c r="DT39" s="277"/>
      <c r="DU39" s="277"/>
      <c r="DV39" s="277"/>
      <c r="DW39" s="277"/>
      <c r="DX39" s="277"/>
      <c r="DY39" s="277"/>
      <c r="DZ39" s="277"/>
      <c r="EA39" s="277"/>
      <c r="EB39" s="277"/>
      <c r="EC39" s="277"/>
      <c r="ED39" s="277"/>
      <c r="EE39" s="277"/>
      <c r="EF39" s="277"/>
      <c r="EG39" s="277"/>
      <c r="EH39" s="277"/>
      <c r="EI39" s="277"/>
      <c r="EJ39" s="277"/>
      <c r="EK39" s="277"/>
      <c r="EL39" s="277"/>
      <c r="EM39" s="277"/>
      <c r="EN39" s="277"/>
      <c r="EO39" s="277"/>
      <c r="EP39" s="277"/>
      <c r="EQ39" s="277"/>
      <c r="ER39" s="277"/>
      <c r="ES39" s="277"/>
      <c r="ET39" s="277"/>
      <c r="EU39" s="277"/>
      <c r="EV39" s="277"/>
      <c r="EW39" s="277"/>
      <c r="EX39" s="277"/>
      <c r="EY39" s="277"/>
      <c r="EZ39" s="277"/>
      <c r="FA39" s="277"/>
      <c r="FB39" s="277"/>
      <c r="FC39" s="277"/>
      <c r="FD39" s="277"/>
      <c r="FE39" s="277"/>
      <c r="FF39" s="277"/>
      <c r="FG39" s="277"/>
      <c r="FH39" s="277"/>
      <c r="FI39" s="277"/>
      <c r="FJ39" s="277"/>
      <c r="FK39" s="277"/>
      <c r="FL39" s="277"/>
      <c r="FM39" s="277"/>
      <c r="FN39" s="277"/>
      <c r="FO39" s="277"/>
      <c r="FP39" s="277"/>
      <c r="FQ39" s="277"/>
      <c r="FR39" s="277"/>
      <c r="FS39" s="277"/>
      <c r="FT39" s="277"/>
      <c r="FU39" s="277"/>
      <c r="FV39" s="277"/>
      <c r="FW39" s="277"/>
      <c r="FX39" s="277"/>
      <c r="FY39" s="277"/>
      <c r="FZ39" s="277"/>
      <c r="GA39" s="277"/>
      <c r="GB39" s="277"/>
      <c r="GC39" s="277"/>
      <c r="GD39" s="277"/>
      <c r="GE39" s="277"/>
      <c r="GF39" s="277"/>
      <c r="GG39" s="277"/>
      <c r="GH39" s="277"/>
      <c r="GI39" s="277"/>
      <c r="GJ39" s="277"/>
      <c r="GK39" s="277"/>
      <c r="GL39" s="277"/>
      <c r="GM39" s="277"/>
      <c r="GN39" s="277"/>
      <c r="GO39" s="277"/>
      <c r="GP39" s="277"/>
      <c r="GQ39" s="277"/>
      <c r="GR39" s="277"/>
      <c r="GS39" s="277"/>
      <c r="GT39" s="277"/>
      <c r="GU39" s="277"/>
      <c r="GV39" s="277"/>
      <c r="GW39" s="277"/>
      <c r="GX39" s="277"/>
      <c r="GY39" s="277"/>
      <c r="GZ39" s="277"/>
      <c r="HA39" s="277"/>
      <c r="HB39" s="277"/>
      <c r="HC39" s="277"/>
      <c r="HD39" s="277"/>
      <c r="HE39" s="277"/>
      <c r="HF39" s="277"/>
      <c r="HG39" s="277"/>
      <c r="HH39" s="277"/>
      <c r="HI39" s="277"/>
      <c r="HJ39" s="277"/>
      <c r="HK39" s="277"/>
      <c r="HL39" s="277"/>
      <c r="HM39" s="277"/>
      <c r="HN39" s="277"/>
      <c r="HO39" s="277"/>
      <c r="HP39" s="277"/>
      <c r="HQ39" s="277"/>
      <c r="HR39" s="277"/>
      <c r="HS39" s="277"/>
      <c r="HT39" s="277"/>
      <c r="HU39" s="277"/>
      <c r="HV39" s="277"/>
      <c r="HW39" s="277"/>
      <c r="HX39" s="277"/>
      <c r="HY39" s="277"/>
      <c r="HZ39" s="277"/>
      <c r="IA39" s="277"/>
      <c r="IB39" s="277"/>
      <c r="IC39" s="277"/>
      <c r="ID39" s="277"/>
      <c r="IE39" s="277"/>
      <c r="IF39" s="277"/>
      <c r="IG39" s="277"/>
      <c r="IH39" s="277"/>
      <c r="II39" s="277"/>
      <c r="IJ39" s="277"/>
      <c r="IK39" s="277"/>
      <c r="IL39" s="277"/>
      <c r="IM39" s="277"/>
      <c r="IN39" s="277"/>
      <c r="IO39" s="277"/>
      <c r="IP39" s="277"/>
      <c r="IQ39" s="277"/>
      <c r="IR39" s="277"/>
      <c r="IS39" s="277"/>
      <c r="IT39" s="277"/>
      <c r="IU39" s="277"/>
      <c r="IV39" s="277"/>
    </row>
    <row r="40" spans="1:256" ht="12" customHeight="1" x14ac:dyDescent="0.25">
      <c r="A40" s="535"/>
      <c r="B40" s="535"/>
      <c r="C40" s="535"/>
      <c r="D40" s="535"/>
      <c r="E40" s="535"/>
      <c r="F40" s="535"/>
      <c r="G40" s="143"/>
      <c r="H40" s="144"/>
      <c r="I40" s="144"/>
      <c r="J40" s="144"/>
      <c r="K40" s="144"/>
      <c r="L40" s="145"/>
      <c r="M40" s="146"/>
      <c r="N40" s="145"/>
      <c r="O40" s="137"/>
    </row>
    <row r="41" spans="1:256" hidden="1" x14ac:dyDescent="0.25">
      <c r="A41" s="535"/>
      <c r="B41" s="535"/>
      <c r="C41" s="535"/>
      <c r="D41" s="535"/>
      <c r="E41" s="535"/>
      <c r="F41" s="535"/>
      <c r="H41" s="144"/>
      <c r="I41" s="144"/>
      <c r="J41" s="144"/>
      <c r="K41" s="144"/>
      <c r="L41" s="145"/>
      <c r="M41" s="146"/>
      <c r="N41" s="145"/>
      <c r="O41" s="137"/>
    </row>
    <row r="42" spans="1:256" hidden="1" x14ac:dyDescent="0.25">
      <c r="A42" s="530"/>
      <c r="B42" s="530"/>
      <c r="C42" s="530"/>
      <c r="D42" s="148"/>
      <c r="E42" s="246"/>
      <c r="F42" s="246"/>
      <c r="H42" s="149"/>
      <c r="I42" s="144"/>
      <c r="J42" s="144"/>
      <c r="K42" s="144"/>
      <c r="L42" s="145"/>
      <c r="M42" s="146"/>
      <c r="N42" s="145"/>
      <c r="O42" s="137"/>
    </row>
    <row r="43" spans="1:256" ht="12" customHeight="1" x14ac:dyDescent="0.25">
      <c r="A43" s="246"/>
      <c r="G43" s="150"/>
      <c r="H43" s="150"/>
      <c r="I43" s="150"/>
      <c r="J43" s="150"/>
      <c r="K43" s="150"/>
      <c r="L43" s="151"/>
      <c r="M43" s="151"/>
      <c r="N43" s="145"/>
      <c r="O43" s="137"/>
    </row>
    <row r="44" spans="1:256" x14ac:dyDescent="0.25">
      <c r="A44" s="152" t="s">
        <v>194</v>
      </c>
      <c r="B44" s="153" t="s">
        <v>285</v>
      </c>
      <c r="C44" s="154"/>
      <c r="D44" s="197"/>
      <c r="F44" s="131"/>
      <c r="G44" s="125"/>
      <c r="H44" s="125"/>
      <c r="I44" s="144"/>
      <c r="J44" s="144"/>
      <c r="K44" s="144"/>
      <c r="L44" s="155"/>
      <c r="M44" s="145"/>
      <c r="N44" s="145"/>
      <c r="O44" s="15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c r="DT44" s="125"/>
      <c r="DU44" s="125"/>
      <c r="DV44" s="125"/>
      <c r="DW44" s="125"/>
      <c r="DX44" s="125"/>
      <c r="DY44" s="125"/>
      <c r="DZ44" s="125"/>
      <c r="EA44" s="125"/>
      <c r="EB44" s="125"/>
      <c r="EC44" s="125"/>
      <c r="ED44" s="125"/>
      <c r="EE44" s="125"/>
      <c r="EF44" s="125"/>
      <c r="EG44" s="125"/>
      <c r="EH44" s="125"/>
      <c r="EI44" s="125"/>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c r="GE44" s="125"/>
      <c r="GF44" s="125"/>
      <c r="GG44" s="125"/>
      <c r="GH44" s="125"/>
      <c r="GI44" s="125"/>
      <c r="GJ44" s="125"/>
      <c r="GK44" s="125"/>
      <c r="GL44" s="125"/>
      <c r="GM44" s="125"/>
      <c r="GN44" s="125"/>
      <c r="GO44" s="125"/>
      <c r="GP44" s="125"/>
      <c r="GQ44" s="125"/>
      <c r="GR44" s="125"/>
      <c r="GS44" s="125"/>
      <c r="GT44" s="125"/>
      <c r="GU44" s="125"/>
      <c r="GV44" s="125"/>
      <c r="GW44" s="125"/>
      <c r="GX44" s="125"/>
      <c r="GY44" s="125"/>
      <c r="GZ44" s="125"/>
      <c r="HA44" s="125"/>
      <c r="HB44" s="125"/>
      <c r="HC44" s="125"/>
      <c r="HD44" s="125"/>
      <c r="HE44" s="125"/>
      <c r="HF44" s="125"/>
      <c r="HG44" s="125"/>
      <c r="HH44" s="125"/>
      <c r="HI44" s="125"/>
      <c r="HJ44" s="125"/>
      <c r="HK44" s="125"/>
      <c r="HL44" s="125"/>
      <c r="HM44" s="125"/>
      <c r="HN44" s="125"/>
      <c r="HO44" s="125"/>
      <c r="HP44" s="125"/>
      <c r="HQ44" s="125"/>
      <c r="HR44" s="125"/>
      <c r="HS44" s="125"/>
      <c r="HT44" s="125"/>
      <c r="HU44" s="125"/>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c r="IV44" s="125"/>
    </row>
    <row r="45" spans="1:256" x14ac:dyDescent="0.25">
      <c r="A45" s="152" t="s">
        <v>195</v>
      </c>
      <c r="B45" s="263" t="s">
        <v>283</v>
      </c>
      <c r="C45" s="129"/>
      <c r="D45" s="156"/>
      <c r="E45" s="156"/>
      <c r="F45" s="142"/>
      <c r="G45" s="157"/>
      <c r="H45" s="125"/>
      <c r="I45" s="144"/>
      <c r="J45" s="144"/>
      <c r="K45" s="144"/>
      <c r="L45" s="125"/>
      <c r="M45" s="307">
        <f>J39+K39</f>
        <v>50196.5</v>
      </c>
      <c r="N45" s="157"/>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pans="1:256" ht="15.75" x14ac:dyDescent="0.25">
      <c r="A46" s="152" t="s">
        <v>196</v>
      </c>
      <c r="B46" s="263" t="s">
        <v>284</v>
      </c>
      <c r="C46" s="129" t="s">
        <v>197</v>
      </c>
      <c r="D46" s="129"/>
      <c r="E46" s="156"/>
      <c r="F46" s="158"/>
      <c r="G46" s="155"/>
      <c r="H46" s="159"/>
      <c r="I46" s="144"/>
      <c r="J46" s="144"/>
      <c r="K46" s="144"/>
      <c r="L46" s="144"/>
      <c r="M46" s="144"/>
      <c r="N46" s="144"/>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pans="1:256" x14ac:dyDescent="0.25">
      <c r="A47" s="129"/>
      <c r="B47" s="129"/>
      <c r="C47" s="129"/>
      <c r="D47" s="129"/>
      <c r="E47" s="129"/>
      <c r="F47" s="160"/>
      <c r="G47" s="125"/>
      <c r="H47" s="125"/>
      <c r="I47" s="161"/>
      <c r="J47" s="161"/>
      <c r="K47" s="161"/>
      <c r="L47" s="162"/>
      <c r="M47" s="125"/>
      <c r="N47" s="144"/>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pans="1:256" ht="25.5" customHeight="1" x14ac:dyDescent="0.25">
      <c r="A48" s="152" t="s">
        <v>198</v>
      </c>
      <c r="B48" s="527" t="s">
        <v>281</v>
      </c>
      <c r="C48" s="527"/>
      <c r="D48" s="129"/>
      <c r="E48" s="129"/>
      <c r="F48" s="129"/>
      <c r="G48" s="125"/>
      <c r="H48" s="125"/>
      <c r="I48" s="125"/>
      <c r="J48" s="125"/>
      <c r="K48" s="125"/>
      <c r="L48" s="163"/>
      <c r="M48" s="144"/>
      <c r="N48" s="14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pans="1:256" x14ac:dyDescent="0.25">
      <c r="A49" s="152" t="s">
        <v>199</v>
      </c>
      <c r="B49" s="164" t="s">
        <v>282</v>
      </c>
      <c r="C49" s="129"/>
      <c r="D49" s="129"/>
      <c r="E49" s="129"/>
      <c r="F49" s="129"/>
      <c r="G49" s="125"/>
      <c r="H49" s="125"/>
      <c r="I49" s="125"/>
      <c r="J49" s="125"/>
      <c r="K49" s="125"/>
      <c r="L49" s="125"/>
      <c r="M49" s="144"/>
      <c r="N49" s="144"/>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pans="1:256" x14ac:dyDescent="0.25">
      <c r="A50" s="152"/>
      <c r="B50" s="164"/>
      <c r="C50" s="129"/>
      <c r="D50" s="129"/>
      <c r="E50" s="129"/>
      <c r="F50" s="129"/>
      <c r="G50" s="125"/>
      <c r="H50" s="157"/>
      <c r="I50" s="125"/>
      <c r="J50" s="125"/>
      <c r="K50" s="125"/>
      <c r="L50" s="125"/>
      <c r="M50" s="144"/>
      <c r="N50" s="144"/>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pans="1:256" ht="8.25" customHeight="1" x14ac:dyDescent="0.25">
      <c r="A51" s="129"/>
      <c r="B51" s="165"/>
      <c r="C51" s="129"/>
      <c r="D51" s="129"/>
      <c r="E51" s="129"/>
      <c r="F51" s="129"/>
      <c r="H51" s="125"/>
      <c r="I51" s="125"/>
      <c r="J51" s="125"/>
      <c r="K51" s="125"/>
      <c r="L51" s="125"/>
      <c r="M51" s="161"/>
      <c r="N51" s="144"/>
    </row>
    <row r="52" spans="1:256" ht="33" customHeight="1" x14ac:dyDescent="0.25">
      <c r="A52" s="528" t="s">
        <v>200</v>
      </c>
      <c r="B52" s="528"/>
      <c r="C52" s="528"/>
      <c r="D52" s="528"/>
      <c r="E52" s="528"/>
      <c r="F52" s="528"/>
      <c r="G52" s="125"/>
      <c r="H52" s="125"/>
      <c r="I52" s="125"/>
      <c r="J52" s="125"/>
      <c r="K52" s="125"/>
      <c r="L52" s="125"/>
      <c r="M52" s="144"/>
      <c r="N52" s="144"/>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row>
    <row r="53" spans="1:256" ht="6.75" customHeight="1" x14ac:dyDescent="0.25">
      <c r="A53" s="166"/>
      <c r="B53" s="166"/>
      <c r="C53" s="166"/>
      <c r="D53" s="166"/>
      <c r="E53" s="166"/>
      <c r="F53" s="166"/>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pans="1:256" ht="29.25" x14ac:dyDescent="0.25">
      <c r="A54" s="167" t="s">
        <v>201</v>
      </c>
      <c r="B54" s="167" t="s">
        <v>202</v>
      </c>
      <c r="C54" s="167" t="s">
        <v>203</v>
      </c>
      <c r="D54" s="168"/>
      <c r="E54" s="166"/>
      <c r="F54" s="166"/>
      <c r="G54" s="125"/>
      <c r="H54" s="125"/>
      <c r="I54" s="125" t="e">
        <f>#REF!-#REF!</f>
        <v>#REF!</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pans="1:256" x14ac:dyDescent="0.25">
      <c r="A55" s="169" t="s">
        <v>204</v>
      </c>
      <c r="B55" s="267">
        <v>100.45</v>
      </c>
      <c r="C55" s="266">
        <v>1.0044999999999999</v>
      </c>
      <c r="D55" s="170"/>
      <c r="E55" s="170"/>
      <c r="F55" s="147"/>
      <c r="G55" s="171"/>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pans="1:256" x14ac:dyDescent="0.25">
      <c r="A56" s="169" t="s">
        <v>205</v>
      </c>
      <c r="B56" s="268">
        <v>100.32</v>
      </c>
      <c r="C56" s="266">
        <v>1.0032000000000001</v>
      </c>
      <c r="D56" s="170"/>
      <c r="E56" s="170"/>
      <c r="F56" s="153"/>
      <c r="G56" s="172"/>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pans="1:256" x14ac:dyDescent="0.25">
      <c r="A57" s="169" t="s">
        <v>206</v>
      </c>
      <c r="B57" s="268">
        <v>100.49</v>
      </c>
      <c r="C57" s="266">
        <v>1.0048999999999999</v>
      </c>
      <c r="D57" s="173"/>
      <c r="E57" s="173"/>
      <c r="F57" s="153"/>
      <c r="G57" s="172"/>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pans="1:256" x14ac:dyDescent="0.25">
      <c r="A58" s="169" t="s">
        <v>207</v>
      </c>
      <c r="B58" s="268">
        <v>100.64</v>
      </c>
      <c r="C58" s="266">
        <v>1.0064</v>
      </c>
      <c r="D58" s="174"/>
      <c r="E58" s="147"/>
      <c r="F58" s="175"/>
      <c r="G58" s="172"/>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pans="1:256" x14ac:dyDescent="0.25">
      <c r="A59" s="169" t="s">
        <v>208</v>
      </c>
      <c r="B59" s="268" t="s">
        <v>293</v>
      </c>
      <c r="C59" s="266">
        <v>1.0062</v>
      </c>
      <c r="D59" s="529"/>
      <c r="E59" s="530"/>
      <c r="F59" s="176"/>
      <c r="G59" s="172"/>
      <c r="H59" s="128"/>
      <c r="I59" s="128"/>
      <c r="J59" s="128"/>
      <c r="K59" s="128"/>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pans="1:256" x14ac:dyDescent="0.25">
      <c r="A60" s="177" t="s">
        <v>209</v>
      </c>
      <c r="B60" s="268" t="s">
        <v>294</v>
      </c>
      <c r="C60" s="266">
        <v>1.0047999999999999</v>
      </c>
      <c r="D60" s="125"/>
      <c r="E60" s="125"/>
      <c r="F60" s="178"/>
      <c r="G60" s="172"/>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pans="1:256" x14ac:dyDescent="0.25">
      <c r="A61" s="179" t="s">
        <v>210</v>
      </c>
      <c r="B61" s="268" t="s">
        <v>295</v>
      </c>
      <c r="C61" s="266" t="s">
        <v>303</v>
      </c>
      <c r="D61" s="529"/>
      <c r="E61" s="530"/>
      <c r="F61" s="530"/>
      <c r="G61" s="172"/>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pans="1:256" x14ac:dyDescent="0.25">
      <c r="A62" s="264" t="s">
        <v>212</v>
      </c>
      <c r="B62" s="268" t="s">
        <v>296</v>
      </c>
      <c r="C62" s="266">
        <v>0.99080000000000001</v>
      </c>
      <c r="D62" s="174"/>
      <c r="E62" s="147"/>
      <c r="F62" s="147"/>
      <c r="G62" s="172"/>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pans="1:256" x14ac:dyDescent="0.25">
      <c r="A63" s="264" t="s">
        <v>286</v>
      </c>
      <c r="B63" s="268" t="s">
        <v>297</v>
      </c>
      <c r="C63" s="266">
        <v>0.99870000000000003</v>
      </c>
      <c r="D63" s="174"/>
      <c r="E63" s="147"/>
      <c r="F63" s="147"/>
      <c r="G63" s="172"/>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pans="1:256" x14ac:dyDescent="0.25">
      <c r="A64" s="264" t="s">
        <v>287</v>
      </c>
      <c r="B64" s="268" t="s">
        <v>298</v>
      </c>
      <c r="C64" s="266">
        <v>0.98370000000000002</v>
      </c>
      <c r="D64" s="174"/>
      <c r="E64" s="147"/>
      <c r="F64" s="147"/>
      <c r="G64" s="172"/>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pans="1:256" x14ac:dyDescent="0.25">
      <c r="A65" s="264" t="s">
        <v>288</v>
      </c>
      <c r="B65" s="268" t="s">
        <v>299</v>
      </c>
      <c r="C65" s="266" t="s">
        <v>301</v>
      </c>
      <c r="D65" s="174"/>
      <c r="E65" s="147"/>
      <c r="F65" s="147"/>
      <c r="G65" s="172"/>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pans="1:256" x14ac:dyDescent="0.25">
      <c r="A66" s="264" t="s">
        <v>289</v>
      </c>
      <c r="B66" s="268" t="s">
        <v>300</v>
      </c>
      <c r="C66" s="266" t="s">
        <v>302</v>
      </c>
      <c r="D66" s="174"/>
      <c r="E66" s="147"/>
      <c r="F66" s="147"/>
      <c r="G66" s="172"/>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pans="1:256" x14ac:dyDescent="0.25">
      <c r="A67" s="264" t="s">
        <v>290</v>
      </c>
      <c r="B67" s="268" t="s">
        <v>300</v>
      </c>
      <c r="C67" s="266" t="s">
        <v>302</v>
      </c>
      <c r="D67" s="529" t="s">
        <v>211</v>
      </c>
      <c r="E67" s="530"/>
      <c r="F67" s="530"/>
      <c r="G67" s="172"/>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pans="1:256" x14ac:dyDescent="0.25">
      <c r="A68" s="264" t="s">
        <v>291</v>
      </c>
      <c r="B68" s="268" t="s">
        <v>300</v>
      </c>
      <c r="C68" s="266" t="s">
        <v>302</v>
      </c>
      <c r="D68" s="529" t="s">
        <v>211</v>
      </c>
      <c r="E68" s="530"/>
      <c r="F68" s="530"/>
      <c r="G68" s="172"/>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pans="1:256" x14ac:dyDescent="0.25">
      <c r="A69" s="179" t="s">
        <v>292</v>
      </c>
      <c r="B69" s="268" t="s">
        <v>300</v>
      </c>
      <c r="C69" s="266" t="s">
        <v>302</v>
      </c>
      <c r="D69" s="529" t="s">
        <v>211</v>
      </c>
      <c r="E69" s="530"/>
      <c r="F69" s="530"/>
      <c r="G69" s="172"/>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pans="1:256" x14ac:dyDescent="0.25">
      <c r="A70" s="180"/>
      <c r="B70" s="173"/>
      <c r="C70" s="181"/>
      <c r="D70" s="147"/>
      <c r="E70" s="147"/>
      <c r="F70" s="178"/>
      <c r="G70" s="172"/>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pans="1:256" x14ac:dyDescent="0.25">
      <c r="A71" s="176" t="s">
        <v>213</v>
      </c>
      <c r="B71" s="182"/>
      <c r="C71" s="153"/>
      <c r="D71" s="153"/>
      <c r="E71" s="153"/>
      <c r="F71" s="183"/>
      <c r="G71" s="172"/>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pans="1:256" x14ac:dyDescent="0.25">
      <c r="A72" s="265" t="s">
        <v>304</v>
      </c>
      <c r="B72" s="182"/>
      <c r="C72" s="153"/>
      <c r="D72" s="153"/>
      <c r="E72" s="153"/>
      <c r="F72" s="183"/>
      <c r="G72" s="172"/>
      <c r="H72" s="125"/>
      <c r="I72" s="125"/>
      <c r="J72" s="125"/>
      <c r="K72" s="125"/>
      <c r="L72" s="125"/>
      <c r="M72" s="125">
        <f>PRODUCT(C55:C69)</f>
        <v>1.0029484175077099</v>
      </c>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pans="1:256" ht="9.75" customHeight="1" x14ac:dyDescent="0.25">
      <c r="A73" s="184"/>
      <c r="B73" s="185"/>
      <c r="C73" s="129"/>
      <c r="D73" s="156"/>
      <c r="E73" s="129"/>
      <c r="F73" s="186"/>
      <c r="G73" s="172"/>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pans="1:256" ht="36" customHeight="1" x14ac:dyDescent="0.25">
      <c r="A74" s="531" t="s">
        <v>307</v>
      </c>
      <c r="B74" s="531"/>
      <c r="C74" s="531"/>
      <c r="D74" s="531"/>
      <c r="E74" s="531"/>
      <c r="F74" s="175">
        <f>C55*C56*C57*C58*C59*C60*C61*C62*C63*C64*C65*C66*C67*C68*C69</f>
        <v>1.1113999999999999</v>
      </c>
      <c r="H74" s="125"/>
      <c r="I74" s="125"/>
      <c r="J74" s="125"/>
      <c r="K74" s="125"/>
      <c r="L74" s="125"/>
      <c r="M74" s="269">
        <f>C55*C56*C57*C58*C59*C60*C61*C62*C63*C64*C65*C66*C67*C68*C69</f>
        <v>1.1113999999999999</v>
      </c>
      <c r="N74" s="125"/>
      <c r="O74" s="125">
        <f>PRODUCT(C55:C69)</f>
        <v>1.0029484175077099</v>
      </c>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pans="1:256" ht="8.25" customHeight="1" x14ac:dyDescent="0.25">
      <c r="A75" s="244"/>
      <c r="B75" s="244"/>
      <c r="C75" s="244"/>
      <c r="D75" s="244"/>
      <c r="E75" s="244"/>
      <c r="F75" s="17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pans="1:256" ht="18" customHeight="1" x14ac:dyDescent="0.25">
      <c r="A76" s="265" t="s">
        <v>305</v>
      </c>
      <c r="B76" s="244"/>
      <c r="C76" s="244"/>
      <c r="D76" s="244"/>
      <c r="E76" s="244"/>
      <c r="F76" s="17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pans="1:256" ht="23.25" customHeight="1" x14ac:dyDescent="0.25">
      <c r="A77" s="531" t="s">
        <v>306</v>
      </c>
      <c r="B77" s="531"/>
      <c r="C77" s="531"/>
      <c r="D77" s="531"/>
      <c r="E77" s="531"/>
      <c r="F77" s="175">
        <f>C67*C68*C69</f>
        <v>1.069</v>
      </c>
      <c r="H77" s="125"/>
      <c r="I77" s="125"/>
      <c r="J77" s="125"/>
      <c r="K77" s="125"/>
      <c r="L77" s="125"/>
      <c r="M77" s="125">
        <f>C67*C68*C69</f>
        <v>1.069030140625</v>
      </c>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pans="1:256" x14ac:dyDescent="0.25">
      <c r="A78" s="176" t="s">
        <v>197</v>
      </c>
      <c r="B78" s="176"/>
      <c r="C78" s="176"/>
      <c r="D78" s="125"/>
      <c r="E78" s="176"/>
      <c r="F78" s="187"/>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pans="1:256" x14ac:dyDescent="0.25">
      <c r="A79" s="178" t="s">
        <v>214</v>
      </c>
      <c r="B79" s="178"/>
      <c r="C79" s="178"/>
      <c r="D79" s="178"/>
      <c r="E79" s="178"/>
      <c r="F79" s="187"/>
      <c r="G79" s="188"/>
      <c r="H79" s="189"/>
      <c r="I79" s="188"/>
      <c r="J79" s="188"/>
      <c r="K79" s="188"/>
      <c r="L79" s="188"/>
      <c r="M79" s="188"/>
    </row>
    <row r="80" spans="1:256" x14ac:dyDescent="0.25">
      <c r="A80" s="191"/>
      <c r="B80" s="191"/>
      <c r="C80" s="191"/>
      <c r="D80" s="191"/>
      <c r="E80" s="191"/>
      <c r="F80" s="192"/>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pans="1:256" ht="38.25" customHeight="1" x14ac:dyDescent="0.25">
      <c r="A81" s="153" t="s">
        <v>315</v>
      </c>
      <c r="B81" s="153"/>
      <c r="C81" s="153"/>
      <c r="D81" s="125"/>
      <c r="E81" s="305">
        <v>6.0000000000000001E-3</v>
      </c>
      <c r="F81" s="190"/>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pans="1:256" x14ac:dyDescent="0.25">
      <c r="A82" s="153" t="s">
        <v>316</v>
      </c>
      <c r="B82" s="153"/>
      <c r="C82" s="153"/>
      <c r="D82" s="125"/>
      <c r="E82" s="305">
        <v>0.99399999999999999</v>
      </c>
      <c r="F82" s="190"/>
      <c r="G82" s="125"/>
      <c r="H82" s="125"/>
      <c r="I82" s="125"/>
      <c r="J82" s="125"/>
      <c r="K82" s="125"/>
      <c r="L82" s="125"/>
      <c r="M82" s="125"/>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c r="BZ82" s="188"/>
      <c r="CA82" s="188"/>
      <c r="CB82" s="188"/>
      <c r="CC82" s="188"/>
      <c r="CD82" s="188"/>
      <c r="CE82" s="188"/>
      <c r="CF82" s="188"/>
      <c r="CG82" s="188"/>
      <c r="CH82" s="188"/>
      <c r="CI82" s="188"/>
      <c r="CJ82" s="188"/>
      <c r="CK82" s="188"/>
      <c r="CL82" s="188"/>
      <c r="CM82" s="188"/>
      <c r="CN82" s="188"/>
      <c r="CO82" s="188"/>
      <c r="CP82" s="188"/>
      <c r="CQ82" s="188"/>
      <c r="CR82" s="188"/>
      <c r="CS82" s="188"/>
      <c r="CT82" s="188"/>
      <c r="CU82" s="188"/>
      <c r="CV82" s="188"/>
      <c r="CW82" s="188"/>
      <c r="CX82" s="188"/>
      <c r="CY82" s="188"/>
      <c r="CZ82" s="188"/>
      <c r="DA82" s="188"/>
      <c r="DB82" s="188"/>
      <c r="DC82" s="188"/>
      <c r="DD82" s="188"/>
      <c r="DE82" s="188"/>
      <c r="DF82" s="188"/>
      <c r="DG82" s="188"/>
      <c r="DH82" s="188"/>
      <c r="DI82" s="188"/>
      <c r="DJ82" s="188"/>
      <c r="DK82" s="188"/>
      <c r="DL82" s="188"/>
      <c r="DM82" s="188"/>
      <c r="DN82" s="188"/>
      <c r="DO82" s="188"/>
      <c r="DP82" s="188"/>
      <c r="DQ82" s="188"/>
      <c r="DR82" s="188"/>
      <c r="DS82" s="188"/>
      <c r="DT82" s="188"/>
      <c r="DU82" s="188"/>
      <c r="DV82" s="188"/>
      <c r="DW82" s="188"/>
      <c r="DX82" s="188"/>
      <c r="DY82" s="188"/>
      <c r="DZ82" s="188"/>
      <c r="EA82" s="188"/>
      <c r="EB82" s="188"/>
      <c r="EC82" s="188"/>
      <c r="ED82" s="188"/>
      <c r="EE82" s="188"/>
      <c r="EF82" s="188"/>
      <c r="EG82" s="188"/>
      <c r="EH82" s="188"/>
      <c r="EI82" s="188"/>
      <c r="EJ82" s="188"/>
      <c r="EK82" s="188"/>
      <c r="EL82" s="188"/>
      <c r="EM82" s="188"/>
      <c r="EN82" s="188"/>
      <c r="EO82" s="188"/>
      <c r="EP82" s="188"/>
      <c r="EQ82" s="188"/>
      <c r="ER82" s="188"/>
      <c r="ES82" s="188"/>
      <c r="ET82" s="188"/>
      <c r="EU82" s="188"/>
      <c r="EV82" s="188"/>
      <c r="EW82" s="188"/>
      <c r="EX82" s="188"/>
      <c r="EY82" s="188"/>
      <c r="EZ82" s="188"/>
      <c r="FA82" s="188"/>
      <c r="FB82" s="188"/>
      <c r="FC82" s="188"/>
      <c r="FD82" s="188"/>
      <c r="FE82" s="188"/>
      <c r="FF82" s="188"/>
      <c r="FG82" s="188"/>
      <c r="FH82" s="188"/>
      <c r="FI82" s="188"/>
      <c r="FJ82" s="188"/>
      <c r="FK82" s="188"/>
      <c r="FL82" s="188"/>
      <c r="FM82" s="188"/>
      <c r="FN82" s="188"/>
      <c r="FO82" s="188"/>
      <c r="FP82" s="188"/>
      <c r="FQ82" s="188"/>
      <c r="FR82" s="188"/>
      <c r="FS82" s="188"/>
      <c r="FT82" s="188"/>
      <c r="FU82" s="188"/>
      <c r="FV82" s="188"/>
      <c r="FW82" s="188"/>
      <c r="FX82" s="188"/>
      <c r="FY82" s="188"/>
      <c r="FZ82" s="188"/>
      <c r="GA82" s="188"/>
      <c r="GB82" s="188"/>
      <c r="GC82" s="188"/>
      <c r="GD82" s="188"/>
      <c r="GE82" s="188"/>
      <c r="GF82" s="188"/>
      <c r="GG82" s="188"/>
      <c r="GH82" s="188"/>
      <c r="GI82" s="188"/>
      <c r="GJ82" s="188"/>
      <c r="GK82" s="188"/>
      <c r="GL82" s="188"/>
      <c r="GM82" s="188"/>
      <c r="GN82" s="188"/>
      <c r="GO82" s="188"/>
      <c r="GP82" s="188"/>
      <c r="GQ82" s="188"/>
      <c r="GR82" s="188"/>
      <c r="GS82" s="188"/>
      <c r="GT82" s="188"/>
      <c r="GU82" s="188"/>
      <c r="GV82" s="188"/>
      <c r="GW82" s="188"/>
      <c r="GX82" s="188"/>
      <c r="GY82" s="188"/>
      <c r="GZ82" s="188"/>
      <c r="HA82" s="188"/>
      <c r="HB82" s="188"/>
      <c r="HC82" s="188"/>
      <c r="HD82" s="188"/>
      <c r="HE82" s="188"/>
      <c r="HF82" s="188"/>
      <c r="HG82" s="188"/>
      <c r="HH82" s="188"/>
      <c r="HI82" s="188"/>
      <c r="HJ82" s="188"/>
      <c r="HK82" s="188"/>
      <c r="HL82" s="188"/>
      <c r="HM82" s="188"/>
      <c r="HN82" s="188"/>
      <c r="HO82" s="188"/>
      <c r="HP82" s="188"/>
      <c r="HQ82" s="188"/>
      <c r="HR82" s="188"/>
      <c r="HS82" s="188"/>
      <c r="HT82" s="188"/>
      <c r="HU82" s="188"/>
      <c r="HV82" s="188"/>
      <c r="HW82" s="188"/>
      <c r="HX82" s="188"/>
      <c r="HY82" s="188"/>
      <c r="HZ82" s="188"/>
      <c r="IA82" s="188"/>
      <c r="IB82" s="188"/>
      <c r="IC82" s="188"/>
      <c r="ID82" s="188"/>
      <c r="IE82" s="188"/>
      <c r="IF82" s="188"/>
      <c r="IG82" s="188"/>
      <c r="IH82" s="188"/>
      <c r="II82" s="188"/>
      <c r="IJ82" s="188"/>
      <c r="IK82" s="188"/>
      <c r="IL82" s="188"/>
      <c r="IM82" s="188"/>
      <c r="IN82" s="188"/>
      <c r="IO82" s="188"/>
      <c r="IP82" s="188"/>
      <c r="IQ82" s="188"/>
      <c r="IR82" s="188"/>
      <c r="IS82" s="188"/>
      <c r="IT82" s="188"/>
      <c r="IU82" s="188"/>
      <c r="IV82" s="188"/>
    </row>
    <row r="83" spans="1:256" ht="18.75" customHeight="1" x14ac:dyDescent="0.25">
      <c r="A83" s="153"/>
      <c r="B83" s="178"/>
      <c r="C83" s="178"/>
      <c r="D83" s="178"/>
      <c r="E83" s="183"/>
      <c r="F83" s="190"/>
      <c r="G83" s="125"/>
      <c r="H83" s="125"/>
      <c r="I83" s="125"/>
      <c r="J83" s="125"/>
      <c r="K83" s="125"/>
      <c r="L83" s="125"/>
      <c r="M83" s="125"/>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row>
    <row r="84" spans="1:256" ht="42" customHeight="1" x14ac:dyDescent="0.25">
      <c r="A84" s="522" t="s">
        <v>215</v>
      </c>
      <c r="B84" s="522"/>
      <c r="C84" s="522"/>
      <c r="D84" s="522"/>
      <c r="E84" s="522"/>
      <c r="F84" s="153"/>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row>
    <row r="85" spans="1:256" x14ac:dyDescent="0.25">
      <c r="A85" s="187"/>
      <c r="B85" s="187" t="s">
        <v>202</v>
      </c>
      <c r="C85" s="284" t="s">
        <v>216</v>
      </c>
      <c r="D85" s="187"/>
      <c r="E85" s="187"/>
      <c r="F85" s="190"/>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pans="1:256" x14ac:dyDescent="0.25">
      <c r="A86" s="183" t="s">
        <v>217</v>
      </c>
      <c r="B86" s="183">
        <v>107.8</v>
      </c>
      <c r="C86" s="190">
        <f>B86/100</f>
        <v>1.0780000000000001</v>
      </c>
      <c r="D86" s="190"/>
      <c r="E86" s="190"/>
      <c r="F86" s="190"/>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pans="1:256" x14ac:dyDescent="0.25">
      <c r="A87" s="183" t="s">
        <v>317</v>
      </c>
      <c r="B87" s="183">
        <v>105.3</v>
      </c>
      <c r="C87" s="190">
        <f>B87/100</f>
        <v>1.0529999999999999</v>
      </c>
      <c r="D87" s="190"/>
      <c r="E87" s="190"/>
      <c r="F87" s="183"/>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pans="1:256" x14ac:dyDescent="0.25">
      <c r="A88" s="183"/>
      <c r="B88" s="183"/>
      <c r="C88" s="190"/>
      <c r="D88" s="190"/>
      <c r="E88" s="190"/>
      <c r="F88" s="183"/>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pans="1:256" ht="30.75" customHeight="1" x14ac:dyDescent="0.25">
      <c r="A89" s="153" t="s">
        <v>318</v>
      </c>
      <c r="B89" s="153"/>
      <c r="C89" s="153"/>
      <c r="D89" s="190"/>
      <c r="E89" s="190"/>
      <c r="F89" s="183"/>
      <c r="G89" s="522"/>
      <c r="H89" s="522"/>
      <c r="I89" s="522"/>
      <c r="J89" s="522"/>
      <c r="K89" s="522"/>
      <c r="L89" s="522"/>
      <c r="M89" s="125"/>
    </row>
    <row r="90" spans="1:256" x14ac:dyDescent="0.25">
      <c r="A90" s="180"/>
      <c r="B90" s="180"/>
      <c r="C90" s="193"/>
      <c r="D90" s="180"/>
      <c r="E90" s="190"/>
      <c r="F90" s="285"/>
      <c r="G90" s="522"/>
      <c r="H90" s="522"/>
      <c r="I90" s="522"/>
      <c r="J90" s="522"/>
      <c r="K90" s="522"/>
      <c r="L90" s="522"/>
      <c r="M90" s="125"/>
    </row>
    <row r="91" spans="1:256" ht="15" customHeight="1" x14ac:dyDescent="0.25">
      <c r="A91" s="180" t="s">
        <v>319</v>
      </c>
      <c r="B91" s="286" t="s">
        <v>320</v>
      </c>
      <c r="C91" s="193" t="s">
        <v>218</v>
      </c>
      <c r="D91" s="180">
        <f>ROUND(POWER(C86,1/12),4)</f>
        <v>1.0063</v>
      </c>
      <c r="E91" s="153"/>
      <c r="F91" s="285"/>
      <c r="G91" s="522"/>
      <c r="H91" s="522"/>
      <c r="I91" s="522"/>
      <c r="J91" s="522"/>
      <c r="K91" s="522"/>
      <c r="L91" s="522"/>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row>
    <row r="92" spans="1:256" ht="18" x14ac:dyDescent="0.25">
      <c r="A92" s="180" t="s">
        <v>321</v>
      </c>
      <c r="B92" s="286" t="s">
        <v>322</v>
      </c>
      <c r="C92" s="193" t="s">
        <v>218</v>
      </c>
      <c r="D92" s="180">
        <f>ROUND(POWER(C87,1/12),4)</f>
        <v>1.0043</v>
      </c>
      <c r="E92" s="153"/>
      <c r="F92" s="64"/>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pans="1:256" ht="18.75" customHeight="1" x14ac:dyDescent="0.25">
      <c r="A93" s="180"/>
      <c r="B93" s="286"/>
      <c r="C93" s="193"/>
      <c r="D93" s="180"/>
      <c r="E93" s="190"/>
      <c r="F93" s="183"/>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pans="1:256" x14ac:dyDescent="0.25">
      <c r="A94" s="183" t="s">
        <v>323</v>
      </c>
      <c r="B94" s="183"/>
      <c r="C94" s="183"/>
      <c r="D94" s="183"/>
      <c r="E94" s="183"/>
      <c r="F94" s="183"/>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pans="1:256" x14ac:dyDescent="0.25">
      <c r="A95" s="183" t="s">
        <v>324</v>
      </c>
      <c r="B95" s="183"/>
      <c r="C95" s="183"/>
      <c r="D95" s="183"/>
      <c r="E95" s="183"/>
      <c r="F95" s="183"/>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pans="1:256" ht="20.25" customHeight="1" x14ac:dyDescent="0.25">
      <c r="A96" s="194" t="s">
        <v>325</v>
      </c>
      <c r="B96" s="195"/>
      <c r="C96" s="195"/>
      <c r="D96" s="195"/>
      <c r="E96" s="183"/>
      <c r="F96" s="64"/>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pans="1:256" ht="49.5" customHeight="1" x14ac:dyDescent="0.25">
      <c r="A97" s="524" t="s">
        <v>335</v>
      </c>
      <c r="B97" s="524"/>
      <c r="C97" s="524"/>
      <c r="D97" s="524"/>
      <c r="E97" s="304">
        <f>ROUND(POWER(D91,3),4)</f>
        <v>1.0189999999999999</v>
      </c>
      <c r="F97" s="6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pans="1:256" ht="40.5" customHeight="1" x14ac:dyDescent="0.25">
      <c r="A98" s="524" t="s">
        <v>326</v>
      </c>
      <c r="B98" s="524"/>
      <c r="C98" s="524"/>
      <c r="D98" s="524"/>
      <c r="E98" s="288"/>
      <c r="F98" s="64"/>
      <c r="H98" s="196"/>
      <c r="I98" s="196"/>
      <c r="J98" s="196"/>
      <c r="K98" s="196"/>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pans="1:256" ht="15" customHeight="1" x14ac:dyDescent="0.25">
      <c r="A99" s="525" t="s">
        <v>336</v>
      </c>
      <c r="B99" s="525"/>
      <c r="C99" s="525"/>
      <c r="D99" s="525"/>
      <c r="E99" s="289">
        <f>(E97-1)/2+1</f>
        <v>1.0095000000000001</v>
      </c>
      <c r="F99" s="290"/>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pans="1:256" x14ac:dyDescent="0.25">
      <c r="A100" s="287"/>
      <c r="B100" s="287"/>
      <c r="C100" s="287"/>
      <c r="D100" s="287"/>
      <c r="E100" s="291"/>
      <c r="F100" s="290"/>
      <c r="G100" s="200"/>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pans="1:256" ht="15.75" customHeight="1" x14ac:dyDescent="0.25">
      <c r="A101" s="178" t="s">
        <v>327</v>
      </c>
      <c r="B101" s="183"/>
      <c r="C101" s="292"/>
      <c r="D101" s="293"/>
      <c r="E101" s="183"/>
      <c r="F101" s="153"/>
      <c r="G101" s="200"/>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pans="1:256" ht="55.5" customHeight="1" x14ac:dyDescent="0.25">
      <c r="A102" s="526" t="s">
        <v>337</v>
      </c>
      <c r="B102" s="526"/>
      <c r="C102" s="526"/>
      <c r="D102" s="526"/>
      <c r="E102" s="526"/>
      <c r="F102" s="526"/>
      <c r="G102" s="200"/>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pans="1:256" x14ac:dyDescent="0.25">
      <c r="A103" s="64"/>
      <c r="B103" s="125"/>
      <c r="C103" s="64"/>
      <c r="D103" s="64"/>
      <c r="E103" s="64"/>
      <c r="F103" s="125"/>
      <c r="G103" s="200"/>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pans="1:256" ht="15.75" customHeight="1" x14ac:dyDescent="0.25">
      <c r="A104" s="178" t="s">
        <v>328</v>
      </c>
      <c r="B104" s="294" t="s">
        <v>338</v>
      </c>
      <c r="C104" s="125"/>
      <c r="D104" s="292" t="s">
        <v>218</v>
      </c>
      <c r="E104" s="295">
        <f>ROUND(E97*(POWER(D92,1)+POWER(D92,1))/2,4)</f>
        <v>1.0234000000000001</v>
      </c>
      <c r="F104" s="296"/>
      <c r="G104" s="200"/>
      <c r="L104" s="131"/>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pans="1:256" x14ac:dyDescent="0.25">
      <c r="A105" s="178"/>
      <c r="B105" s="294"/>
      <c r="C105" s="125"/>
      <c r="D105" s="292"/>
      <c r="E105" s="295"/>
      <c r="F105" s="296"/>
      <c r="G105" s="200"/>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pans="1:256" x14ac:dyDescent="0.25">
      <c r="A106" s="178"/>
      <c r="B106" s="183"/>
      <c r="C106" s="292"/>
      <c r="D106" s="183"/>
      <c r="E106" s="183"/>
      <c r="F106" s="297"/>
    </row>
    <row r="107" spans="1:256" ht="36" customHeight="1" x14ac:dyDescent="0.25">
      <c r="A107" s="524" t="s">
        <v>329</v>
      </c>
      <c r="B107" s="524"/>
      <c r="C107" s="524"/>
      <c r="D107" s="524"/>
      <c r="E107" s="524"/>
      <c r="F107" s="524"/>
    </row>
    <row r="108" spans="1:256" x14ac:dyDescent="0.25">
      <c r="A108" s="183"/>
      <c r="B108" s="125"/>
      <c r="C108" s="125"/>
      <c r="D108" s="125"/>
      <c r="E108" s="125"/>
      <c r="F108" s="297"/>
      <c r="G108" s="125"/>
      <c r="H108" s="125"/>
      <c r="I108" s="125"/>
      <c r="J108" s="125"/>
      <c r="K108" s="125"/>
      <c r="L108" s="125"/>
      <c r="M108" s="125"/>
    </row>
    <row r="109" spans="1:256" x14ac:dyDescent="0.25">
      <c r="A109" s="521" t="s">
        <v>355</v>
      </c>
      <c r="B109" s="521"/>
      <c r="C109" s="521"/>
      <c r="D109" s="295">
        <f>ROUND((E81*E99+E82*E104),4)</f>
        <v>1.0233000000000001</v>
      </c>
      <c r="E109" s="183"/>
      <c r="F109" s="297"/>
    </row>
    <row r="110" spans="1:256" x14ac:dyDescent="0.25">
      <c r="A110" s="298"/>
      <c r="B110" s="299"/>
      <c r="C110" s="299"/>
      <c r="D110" s="295"/>
      <c r="E110" s="183"/>
      <c r="F110" s="297"/>
    </row>
    <row r="111" spans="1:256" x14ac:dyDescent="0.25">
      <c r="A111" s="298" t="s">
        <v>311</v>
      </c>
      <c r="B111" s="299"/>
      <c r="C111" s="299"/>
      <c r="D111" s="295"/>
      <c r="E111" s="183"/>
      <c r="F111" s="297"/>
    </row>
    <row r="112" spans="1:256" x14ac:dyDescent="0.25">
      <c r="A112" s="183" t="s">
        <v>330</v>
      </c>
      <c r="B112" s="306" t="s">
        <v>283</v>
      </c>
      <c r="C112" s="299"/>
      <c r="D112" s="295"/>
      <c r="E112" s="183"/>
      <c r="F112" s="297"/>
    </row>
    <row r="113" spans="1:256" x14ac:dyDescent="0.25">
      <c r="A113" s="183" t="s">
        <v>331</v>
      </c>
      <c r="B113" s="306" t="s">
        <v>341</v>
      </c>
      <c r="C113" s="299"/>
      <c r="D113" s="295"/>
      <c r="E113" s="183"/>
      <c r="F113" s="297"/>
    </row>
    <row r="114" spans="1:256" x14ac:dyDescent="0.25">
      <c r="A114" s="183" t="s">
        <v>198</v>
      </c>
      <c r="B114" s="300" t="s">
        <v>340</v>
      </c>
      <c r="C114" s="299"/>
      <c r="D114" s="295"/>
      <c r="E114" s="183"/>
      <c r="F114" s="297"/>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25"/>
      <c r="DG114" s="125"/>
      <c r="DH114" s="125"/>
      <c r="DI114" s="125"/>
      <c r="DJ114" s="125"/>
      <c r="DK114" s="125"/>
      <c r="DL114" s="125"/>
      <c r="DM114" s="125"/>
      <c r="DN114" s="125"/>
      <c r="DO114" s="125"/>
      <c r="DP114" s="125"/>
      <c r="DQ114" s="125"/>
      <c r="DR114" s="125"/>
      <c r="DS114" s="125"/>
      <c r="DT114" s="125"/>
      <c r="DU114" s="125"/>
      <c r="DV114" s="125"/>
      <c r="DW114" s="125"/>
      <c r="DX114" s="125"/>
      <c r="DY114" s="125"/>
      <c r="DZ114" s="125"/>
      <c r="EA114" s="125"/>
      <c r="EB114" s="125"/>
      <c r="EC114" s="125"/>
      <c r="ED114" s="125"/>
      <c r="EE114" s="125"/>
      <c r="EF114" s="125"/>
      <c r="EG114" s="125"/>
      <c r="EH114" s="125"/>
      <c r="EI114" s="125"/>
      <c r="EJ114" s="125"/>
      <c r="EK114" s="125"/>
      <c r="EL114" s="125"/>
      <c r="EM114" s="125"/>
      <c r="EN114" s="125"/>
      <c r="EO114" s="125"/>
      <c r="EP114" s="125"/>
      <c r="EQ114" s="125"/>
      <c r="ER114" s="125"/>
      <c r="ES114" s="125"/>
      <c r="ET114" s="125"/>
      <c r="EU114" s="125"/>
      <c r="EV114" s="125"/>
      <c r="EW114" s="125"/>
      <c r="EX114" s="125"/>
      <c r="EY114" s="125"/>
      <c r="EZ114" s="125"/>
      <c r="FA114" s="125"/>
      <c r="FB114" s="125"/>
      <c r="FC114" s="125"/>
      <c r="FD114" s="125"/>
      <c r="FE114" s="125"/>
      <c r="FF114" s="125"/>
      <c r="FG114" s="125"/>
      <c r="FH114" s="125"/>
      <c r="FI114" s="125"/>
      <c r="FJ114" s="125"/>
      <c r="FK114" s="125"/>
      <c r="FL114" s="125"/>
      <c r="FM114" s="125"/>
      <c r="FN114" s="125"/>
      <c r="FO114" s="125"/>
      <c r="FP114" s="125"/>
      <c r="FQ114" s="125"/>
      <c r="FR114" s="125"/>
      <c r="FS114" s="125"/>
      <c r="FT114" s="125"/>
      <c r="FU114" s="125"/>
      <c r="FV114" s="125"/>
      <c r="FW114" s="125"/>
      <c r="FX114" s="125"/>
      <c r="FY114" s="125"/>
      <c r="FZ114" s="125"/>
      <c r="GA114" s="125"/>
      <c r="GB114" s="125"/>
      <c r="GC114" s="125"/>
      <c r="GD114" s="125"/>
      <c r="GE114" s="125"/>
      <c r="GF114" s="125"/>
      <c r="GG114" s="125"/>
      <c r="GH114" s="125"/>
      <c r="GI114" s="125"/>
      <c r="GJ114" s="125"/>
      <c r="GK114" s="125"/>
      <c r="GL114" s="125"/>
      <c r="GM114" s="125"/>
      <c r="GN114" s="125"/>
      <c r="GO114" s="125"/>
      <c r="GP114" s="125"/>
      <c r="GQ114" s="125"/>
      <c r="GR114" s="125"/>
      <c r="GS114" s="125"/>
      <c r="GT114" s="125"/>
      <c r="GU114" s="125"/>
      <c r="GV114" s="125"/>
      <c r="GW114" s="125"/>
      <c r="GX114" s="125"/>
      <c r="GY114" s="125"/>
      <c r="GZ114" s="125"/>
      <c r="HA114" s="125"/>
      <c r="HB114" s="125"/>
      <c r="HC114" s="125"/>
      <c r="HD114" s="125"/>
      <c r="HE114" s="125"/>
      <c r="HF114" s="125"/>
      <c r="HG114" s="125"/>
      <c r="HH114" s="125"/>
      <c r="HI114" s="125"/>
      <c r="HJ114" s="125"/>
      <c r="HK114" s="125"/>
      <c r="HL114" s="125"/>
      <c r="HM114" s="125"/>
      <c r="HN114" s="125"/>
      <c r="HO114" s="125"/>
      <c r="HP114" s="125"/>
      <c r="HQ114" s="125"/>
      <c r="HR114" s="125"/>
      <c r="HS114" s="125"/>
      <c r="HT114" s="125"/>
      <c r="HU114" s="125"/>
      <c r="HV114" s="125"/>
      <c r="HW114" s="125"/>
      <c r="HX114" s="125"/>
      <c r="HY114" s="125"/>
      <c r="HZ114" s="125"/>
      <c r="IA114" s="125"/>
      <c r="IB114" s="125"/>
      <c r="IC114" s="125"/>
      <c r="ID114" s="125"/>
      <c r="IE114" s="125"/>
      <c r="IF114" s="125"/>
      <c r="IG114" s="125"/>
      <c r="IH114" s="125"/>
      <c r="II114" s="125"/>
      <c r="IJ114" s="125"/>
      <c r="IK114" s="125"/>
      <c r="IL114" s="125"/>
      <c r="IM114" s="125"/>
      <c r="IN114" s="125"/>
      <c r="IO114" s="125"/>
      <c r="IP114" s="125"/>
      <c r="IQ114" s="125"/>
      <c r="IR114" s="125"/>
      <c r="IS114" s="125"/>
      <c r="IT114" s="125"/>
      <c r="IU114" s="125"/>
      <c r="IV114" s="125"/>
    </row>
    <row r="115" spans="1:256" x14ac:dyDescent="0.25">
      <c r="A115" s="183" t="s">
        <v>199</v>
      </c>
      <c r="B115" s="181" t="s">
        <v>282</v>
      </c>
      <c r="C115" s="299"/>
      <c r="D115" s="295"/>
      <c r="E115" s="183"/>
      <c r="F115" s="297"/>
    </row>
    <row r="116" spans="1:256" x14ac:dyDescent="0.25">
      <c r="A116" s="183"/>
      <c r="B116" s="181"/>
      <c r="C116" s="299"/>
      <c r="D116" s="295"/>
      <c r="E116" s="183"/>
      <c r="F116" s="297"/>
    </row>
    <row r="117" spans="1:256" x14ac:dyDescent="0.25">
      <c r="A117" s="178" t="s">
        <v>332</v>
      </c>
      <c r="B117" s="181"/>
      <c r="C117" s="299"/>
      <c r="D117" s="295"/>
      <c r="E117" s="183"/>
      <c r="F117" s="297"/>
    </row>
    <row r="118" spans="1:256" x14ac:dyDescent="0.25">
      <c r="A118" s="178"/>
      <c r="B118" s="181"/>
      <c r="C118" s="299"/>
      <c r="D118" s="295"/>
      <c r="E118" s="183"/>
      <c r="F118" s="297"/>
    </row>
    <row r="119" spans="1:256" ht="53.25" customHeight="1" x14ac:dyDescent="0.25">
      <c r="A119" s="522" t="s">
        <v>343</v>
      </c>
      <c r="B119" s="522"/>
      <c r="C119" s="522"/>
      <c r="D119" s="522"/>
      <c r="E119" s="522"/>
      <c r="F119" s="522"/>
    </row>
    <row r="120" spans="1:256" x14ac:dyDescent="0.25">
      <c r="A120" s="301" t="s">
        <v>333</v>
      </c>
      <c r="B120" s="301" t="s">
        <v>342</v>
      </c>
      <c r="C120" s="302">
        <f>ROUND((D91*D91+POWER(D91,3))/2,4)</f>
        <v>1.0158</v>
      </c>
      <c r="D120" s="287"/>
      <c r="E120" s="287"/>
      <c r="F120" s="287"/>
    </row>
    <row r="121" spans="1:256" x14ac:dyDescent="0.25">
      <c r="A121" s="178"/>
      <c r="B121" s="293"/>
      <c r="C121" s="293"/>
      <c r="D121" s="295"/>
      <c r="E121" s="183"/>
      <c r="F121" s="297"/>
    </row>
    <row r="122" spans="1:256" ht="72" customHeight="1" x14ac:dyDescent="0.25">
      <c r="A122" s="522" t="s">
        <v>348</v>
      </c>
      <c r="B122" s="522"/>
      <c r="C122" s="522"/>
      <c r="D122" s="522"/>
      <c r="E122" s="522"/>
      <c r="F122" s="522"/>
    </row>
    <row r="123" spans="1:256" x14ac:dyDescent="0.25">
      <c r="A123" s="153" t="s">
        <v>197</v>
      </c>
      <c r="B123" s="153"/>
      <c r="C123" s="153"/>
      <c r="D123" s="153"/>
      <c r="E123" s="153"/>
      <c r="F123" s="297"/>
    </row>
    <row r="124" spans="1:256" x14ac:dyDescent="0.25">
      <c r="A124" s="296" t="s">
        <v>334</v>
      </c>
      <c r="B124" s="153"/>
      <c r="C124" s="153"/>
      <c r="D124" s="303"/>
      <c r="E124" s="153"/>
      <c r="F124" s="297"/>
    </row>
    <row r="125" spans="1:256" ht="21" customHeight="1" x14ac:dyDescent="0.25">
      <c r="A125" s="317">
        <v>45904</v>
      </c>
      <c r="B125" s="296"/>
      <c r="C125" s="296"/>
      <c r="D125" s="296"/>
      <c r="E125" s="296"/>
      <c r="F125" s="180"/>
    </row>
    <row r="128" spans="1:256" x14ac:dyDescent="0.25">
      <c r="A128" s="183" t="s">
        <v>227</v>
      </c>
      <c r="B128" s="296"/>
      <c r="C128" s="296"/>
      <c r="D128" s="296"/>
    </row>
    <row r="129" spans="1:4" x14ac:dyDescent="0.25">
      <c r="A129" s="296" t="s">
        <v>349</v>
      </c>
      <c r="B129" s="296" t="s">
        <v>350</v>
      </c>
      <c r="C129" s="296"/>
      <c r="D129" s="296" t="s">
        <v>351</v>
      </c>
    </row>
    <row r="130" spans="1:4" x14ac:dyDescent="0.25">
      <c r="A130" s="125"/>
      <c r="B130" s="296"/>
      <c r="C130" s="296"/>
      <c r="D130" s="296"/>
    </row>
    <row r="131" spans="1:4" x14ac:dyDescent="0.25">
      <c r="A131" s="296" t="s">
        <v>352</v>
      </c>
      <c r="B131" s="296"/>
      <c r="C131" s="296"/>
      <c r="D131" s="296"/>
    </row>
    <row r="132" spans="1:4" x14ac:dyDescent="0.25">
      <c r="A132" s="296" t="s">
        <v>353</v>
      </c>
      <c r="B132" s="296" t="s">
        <v>350</v>
      </c>
      <c r="C132" s="296"/>
      <c r="D132" s="296" t="s">
        <v>354</v>
      </c>
    </row>
    <row r="133" spans="1:4" ht="15.75" x14ac:dyDescent="0.25">
      <c r="A133" s="523"/>
      <c r="B133" s="523"/>
      <c r="C133" s="315"/>
      <c r="D133" s="316"/>
    </row>
  </sheetData>
  <mergeCells count="44">
    <mergeCell ref="J15:K15"/>
    <mergeCell ref="A84:E84"/>
    <mergeCell ref="A97:D97"/>
    <mergeCell ref="A98:D98"/>
    <mergeCell ref="A99:D99"/>
    <mergeCell ref="D15:D16"/>
    <mergeCell ref="E15:E16"/>
    <mergeCell ref="F15:F16"/>
    <mergeCell ref="G15:H15"/>
    <mergeCell ref="I15:I16"/>
    <mergeCell ref="A40:F40"/>
    <mergeCell ref="A41:F41"/>
    <mergeCell ref="A42:C42"/>
    <mergeCell ref="G89:L89"/>
    <mergeCell ref="G90:L90"/>
    <mergeCell ref="G91:L91"/>
    <mergeCell ref="A107:F107"/>
    <mergeCell ref="A109:C109"/>
    <mergeCell ref="A119:F119"/>
    <mergeCell ref="A122:F122"/>
    <mergeCell ref="A133:B133"/>
    <mergeCell ref="A102:F102"/>
    <mergeCell ref="D1:F1"/>
    <mergeCell ref="A3:F3"/>
    <mergeCell ref="A4:F4"/>
    <mergeCell ref="A6:F6"/>
    <mergeCell ref="A7:F7"/>
    <mergeCell ref="A9:F9"/>
    <mergeCell ref="A10:F10"/>
    <mergeCell ref="A11:F11"/>
    <mergeCell ref="A12:F12"/>
    <mergeCell ref="A52:F52"/>
    <mergeCell ref="B48:C48"/>
    <mergeCell ref="A13:F13"/>
    <mergeCell ref="A15:A16"/>
    <mergeCell ref="B15:B16"/>
    <mergeCell ref="C15:C16"/>
    <mergeCell ref="A77:E77"/>
    <mergeCell ref="D59:E59"/>
    <mergeCell ref="D61:F61"/>
    <mergeCell ref="D69:F69"/>
    <mergeCell ref="A74:E74"/>
    <mergeCell ref="D67:F67"/>
    <mergeCell ref="D68:F68"/>
  </mergeCells>
  <pageMargins left="0.7" right="0.7" top="0.75" bottom="0.75" header="0.3" footer="0.3"/>
  <pageSetup paperSize="9" scale="47" orientation="portrait" r:id="rId1"/>
  <rowBreaks count="1" manualBreakCount="1">
    <brk id="77" max="10" man="1"/>
  </rowBreaks>
  <colBreaks count="1" manualBreakCount="1">
    <brk id="11" max="8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view="pageBreakPreview" topLeftCell="A37" zoomScale="90" zoomScaleNormal="70" zoomScaleSheetLayoutView="90" workbookViewId="0">
      <selection activeCell="H27" sqref="H27"/>
    </sheetView>
  </sheetViews>
  <sheetFormatPr defaultRowHeight="15.75" x14ac:dyDescent="0.25"/>
  <cols>
    <col min="1" max="1" width="7.5703125" style="6" customWidth="1"/>
    <col min="2" max="2" width="72.28515625" style="6" customWidth="1"/>
    <col min="3" max="3" width="16.7109375" style="7" customWidth="1"/>
    <col min="4" max="4" width="15.85546875" style="7" customWidth="1"/>
    <col min="5" max="5" width="14.5703125" style="7" customWidth="1"/>
    <col min="6" max="7" width="18.7109375" style="7" customWidth="1"/>
    <col min="8" max="8" width="20" style="7" customWidth="1"/>
    <col min="9" max="9" width="18.7109375" style="7" customWidth="1"/>
    <col min="10" max="10" width="20" style="7" customWidth="1"/>
    <col min="11" max="11" width="19.42578125" style="9" customWidth="1"/>
    <col min="12" max="12" width="17.5703125" style="6" customWidth="1"/>
    <col min="13" max="13" width="14.42578125" style="6" customWidth="1"/>
    <col min="14" max="14" width="17.85546875" style="6" customWidth="1"/>
    <col min="15" max="15" width="13.28515625" style="6" bestFit="1" customWidth="1"/>
    <col min="16" max="16" width="11.5703125" style="6" bestFit="1" customWidth="1"/>
    <col min="17" max="17" width="11.28515625" style="6" bestFit="1" customWidth="1"/>
    <col min="18" max="16384" width="9.140625" style="6"/>
  </cols>
  <sheetData>
    <row r="1" spans="1:15" s="15" customFormat="1" ht="15.75" customHeight="1" x14ac:dyDescent="0.25">
      <c r="A1" s="492" t="s">
        <v>230</v>
      </c>
      <c r="B1" s="492"/>
      <c r="C1" s="492"/>
      <c r="D1" s="7"/>
      <c r="E1" s="7"/>
      <c r="F1" s="505" t="s">
        <v>229</v>
      </c>
      <c r="G1" s="505"/>
      <c r="H1" s="505"/>
      <c r="I1" s="505"/>
      <c r="J1" s="505"/>
      <c r="K1" s="505"/>
    </row>
    <row r="2" spans="1:15" s="39" customFormat="1" ht="23.25" customHeight="1" x14ac:dyDescent="0.2">
      <c r="A2" s="492"/>
      <c r="B2" s="492"/>
      <c r="C2" s="492"/>
      <c r="D2" s="38"/>
      <c r="E2" s="38"/>
      <c r="F2" s="505"/>
      <c r="G2" s="505"/>
      <c r="H2" s="505"/>
      <c r="I2" s="505"/>
      <c r="J2" s="505"/>
      <c r="K2" s="505"/>
    </row>
    <row r="3" spans="1:15" s="39" customFormat="1" ht="22.5" customHeight="1" x14ac:dyDescent="0.25">
      <c r="A3" s="492"/>
      <c r="B3" s="492"/>
      <c r="C3" s="492"/>
      <c r="D3" s="40"/>
      <c r="E3" s="40"/>
      <c r="F3" s="505"/>
      <c r="G3" s="505"/>
      <c r="H3" s="505"/>
      <c r="I3" s="505"/>
      <c r="J3" s="505"/>
      <c r="K3" s="505"/>
    </row>
    <row r="4" spans="1:15" s="39" customFormat="1" ht="21" customHeight="1" x14ac:dyDescent="0.2">
      <c r="A4" s="492"/>
      <c r="B4" s="492"/>
      <c r="C4" s="492"/>
      <c r="D4" s="38"/>
      <c r="E4" s="38"/>
      <c r="F4" s="505"/>
      <c r="G4" s="505"/>
      <c r="H4" s="505"/>
      <c r="I4" s="505"/>
      <c r="J4" s="505"/>
      <c r="K4" s="505"/>
    </row>
    <row r="5" spans="1:15" s="39" customFormat="1" ht="33.75" customHeight="1" x14ac:dyDescent="0.2">
      <c r="A5" s="492"/>
      <c r="B5" s="492"/>
      <c r="C5" s="492"/>
      <c r="D5" s="38"/>
      <c r="E5" s="38"/>
      <c r="F5" s="505"/>
      <c r="G5" s="505"/>
      <c r="H5" s="505"/>
      <c r="I5" s="505"/>
      <c r="J5" s="505"/>
      <c r="K5" s="505"/>
    </row>
    <row r="6" spans="1:15" s="39" customFormat="1" ht="19.5" customHeight="1" x14ac:dyDescent="0.2">
      <c r="A6" s="41"/>
      <c r="B6" s="41"/>
      <c r="C6" s="41"/>
      <c r="D6" s="38"/>
      <c r="E6" s="38"/>
      <c r="F6" s="28"/>
      <c r="G6" s="28"/>
      <c r="H6" s="28"/>
      <c r="I6" s="28"/>
      <c r="J6" s="28"/>
      <c r="K6" s="28"/>
    </row>
    <row r="7" spans="1:15" s="30" customFormat="1" ht="37.5" customHeight="1" x14ac:dyDescent="0.25">
      <c r="A7" s="494" t="s">
        <v>124</v>
      </c>
      <c r="B7" s="495"/>
      <c r="C7" s="495"/>
      <c r="D7" s="495"/>
      <c r="E7" s="495"/>
      <c r="F7" s="495"/>
      <c r="G7" s="495"/>
      <c r="H7" s="495"/>
      <c r="I7" s="495"/>
      <c r="J7" s="495"/>
      <c r="K7" s="496"/>
    </row>
    <row r="8" spans="1:15" s="30" customFormat="1" ht="18" customHeight="1" x14ac:dyDescent="0.25">
      <c r="A8" s="29"/>
      <c r="B8" s="494"/>
      <c r="C8" s="494"/>
      <c r="D8" s="494"/>
      <c r="E8" s="494"/>
      <c r="F8" s="494"/>
      <c r="G8" s="494"/>
      <c r="H8" s="494"/>
      <c r="I8" s="494"/>
      <c r="J8" s="494"/>
      <c r="K8" s="494"/>
    </row>
    <row r="9" spans="1:15" s="30" customFormat="1" ht="23.25" customHeight="1" x14ac:dyDescent="0.25">
      <c r="C9" s="32"/>
      <c r="D9" s="32"/>
      <c r="E9" s="32"/>
      <c r="F9" s="32"/>
      <c r="G9" s="32"/>
      <c r="H9" s="121">
        <v>1.0780000000000001</v>
      </c>
      <c r="I9" s="121"/>
      <c r="J9" s="121">
        <v>1.0529999999999999</v>
      </c>
      <c r="K9" s="26" t="s">
        <v>9</v>
      </c>
      <c r="O9" s="504"/>
    </row>
    <row r="10" spans="1:15" s="30" customFormat="1" ht="138" customHeight="1" x14ac:dyDescent="0.25">
      <c r="A10" s="1" t="s">
        <v>0</v>
      </c>
      <c r="B10" s="2" t="s">
        <v>1</v>
      </c>
      <c r="C10" s="5" t="s">
        <v>233</v>
      </c>
      <c r="D10" s="5" t="s">
        <v>6</v>
      </c>
      <c r="E10" s="5" t="s">
        <v>10</v>
      </c>
      <c r="F10" s="5" t="s">
        <v>241</v>
      </c>
      <c r="G10" s="5" t="s">
        <v>234</v>
      </c>
      <c r="H10" s="210" t="s">
        <v>175</v>
      </c>
      <c r="I10" s="5" t="s">
        <v>242</v>
      </c>
      <c r="J10" s="210" t="s">
        <v>246</v>
      </c>
      <c r="K10" s="67" t="s">
        <v>57</v>
      </c>
      <c r="O10" s="504"/>
    </row>
    <row r="11" spans="1:15" s="30" customFormat="1" ht="18" customHeight="1" x14ac:dyDescent="0.25">
      <c r="A11" s="11">
        <v>1</v>
      </c>
      <c r="B11" s="11">
        <v>2</v>
      </c>
      <c r="C11" s="11">
        <v>3</v>
      </c>
      <c r="D11" s="11">
        <v>4</v>
      </c>
      <c r="E11" s="11">
        <v>5</v>
      </c>
      <c r="F11" s="11">
        <v>6</v>
      </c>
      <c r="G11" s="11">
        <v>7</v>
      </c>
      <c r="H11" s="211">
        <v>8</v>
      </c>
      <c r="I11" s="11">
        <v>9</v>
      </c>
      <c r="J11" s="211">
        <v>10</v>
      </c>
      <c r="K11" s="11">
        <v>11</v>
      </c>
    </row>
    <row r="12" spans="1:15" s="30" customFormat="1" ht="22.5" customHeight="1" x14ac:dyDescent="0.25">
      <c r="A12" s="11"/>
      <c r="B12" s="20" t="s">
        <v>2</v>
      </c>
      <c r="C12" s="14"/>
      <c r="D12" s="14"/>
      <c r="E12" s="14"/>
      <c r="F12" s="14"/>
      <c r="G12" s="14"/>
      <c r="H12" s="212"/>
      <c r="I12" s="14"/>
      <c r="J12" s="212"/>
      <c r="K12" s="31"/>
    </row>
    <row r="13" spans="1:15" s="30" customFormat="1" ht="35.25" customHeight="1" x14ac:dyDescent="0.25">
      <c r="A13" s="11">
        <v>1</v>
      </c>
      <c r="B13" s="10" t="s">
        <v>161</v>
      </c>
      <c r="C13" s="14">
        <v>148.22</v>
      </c>
      <c r="D13" s="14"/>
      <c r="E13" s="14"/>
      <c r="F13" s="14"/>
      <c r="G13" s="14">
        <f>C13</f>
        <v>148.22</v>
      </c>
      <c r="H13" s="212">
        <f>G13*H9</f>
        <v>159.78</v>
      </c>
      <c r="I13" s="14">
        <v>0</v>
      </c>
      <c r="J13" s="212">
        <v>0</v>
      </c>
      <c r="K13" s="219">
        <f>H13+J13</f>
        <v>159.78</v>
      </c>
    </row>
    <row r="14" spans="1:15" s="30" customFormat="1" ht="33" customHeight="1" x14ac:dyDescent="0.25">
      <c r="A14" s="11">
        <v>2</v>
      </c>
      <c r="B14" s="10" t="s">
        <v>231</v>
      </c>
      <c r="C14" s="14">
        <v>108.42</v>
      </c>
      <c r="D14" s="14"/>
      <c r="E14" s="14"/>
      <c r="F14" s="14"/>
      <c r="G14" s="14">
        <f>C14</f>
        <v>108.42</v>
      </c>
      <c r="H14" s="212">
        <f>G14*H9</f>
        <v>116.88</v>
      </c>
      <c r="I14" s="14">
        <v>0</v>
      </c>
      <c r="J14" s="212">
        <v>0</v>
      </c>
      <c r="K14" s="219">
        <f t="shared" ref="K14:K24" si="0">H14+J14</f>
        <v>116.88</v>
      </c>
    </row>
    <row r="15" spans="1:15" s="30" customFormat="1" ht="24" customHeight="1" x14ac:dyDescent="0.25">
      <c r="A15" s="11">
        <v>3</v>
      </c>
      <c r="B15" s="10" t="s">
        <v>78</v>
      </c>
      <c r="C15" s="83">
        <v>9738.98</v>
      </c>
      <c r="D15" s="84"/>
      <c r="E15" s="84"/>
      <c r="F15" s="84"/>
      <c r="G15" s="84"/>
      <c r="H15" s="213"/>
      <c r="I15" s="4">
        <f t="shared" ref="I15:I24" si="1">C15-G15</f>
        <v>9738.98</v>
      </c>
      <c r="J15" s="215">
        <f>I15*H9*J9</f>
        <v>11055.05</v>
      </c>
      <c r="K15" s="219">
        <f t="shared" si="0"/>
        <v>11055.05</v>
      </c>
    </row>
    <row r="16" spans="1:15" s="30" customFormat="1" ht="24" customHeight="1" x14ac:dyDescent="0.25">
      <c r="A16" s="11">
        <v>4</v>
      </c>
      <c r="B16" s="10" t="s">
        <v>243</v>
      </c>
      <c r="C16" s="83">
        <v>21510.28</v>
      </c>
      <c r="D16" s="84"/>
      <c r="E16" s="84"/>
      <c r="F16" s="84"/>
      <c r="G16" s="84"/>
      <c r="H16" s="213"/>
      <c r="I16" s="4">
        <f t="shared" si="1"/>
        <v>21510.28</v>
      </c>
      <c r="J16" s="215">
        <f>I16*J9</f>
        <v>22650.32</v>
      </c>
      <c r="K16" s="219">
        <f t="shared" si="0"/>
        <v>22650.32</v>
      </c>
    </row>
    <row r="17" spans="1:14" s="30" customFormat="1" ht="24" customHeight="1" x14ac:dyDescent="0.25">
      <c r="A17" s="11">
        <v>5</v>
      </c>
      <c r="B17" s="10" t="s">
        <v>244</v>
      </c>
      <c r="C17" s="83">
        <v>-1270.08</v>
      </c>
      <c r="D17" s="84"/>
      <c r="E17" s="84"/>
      <c r="F17" s="84"/>
      <c r="G17" s="84"/>
      <c r="H17" s="213"/>
      <c r="I17" s="4">
        <f t="shared" si="1"/>
        <v>-1270.08</v>
      </c>
      <c r="J17" s="215">
        <f>I17*H9*J9</f>
        <v>-1441.71</v>
      </c>
      <c r="K17" s="219">
        <f t="shared" si="0"/>
        <v>-1441.71</v>
      </c>
    </row>
    <row r="18" spans="1:14" s="30" customFormat="1" ht="24" customHeight="1" x14ac:dyDescent="0.25">
      <c r="A18" s="11">
        <v>6</v>
      </c>
      <c r="B18" s="10" t="s">
        <v>155</v>
      </c>
      <c r="C18" s="83">
        <v>341.96</v>
      </c>
      <c r="D18" s="84"/>
      <c r="E18" s="84"/>
      <c r="F18" s="84"/>
      <c r="G18" s="84"/>
      <c r="H18" s="213"/>
      <c r="I18" s="4">
        <f t="shared" si="1"/>
        <v>341.96</v>
      </c>
      <c r="J18" s="215">
        <f>I18*H9*J9</f>
        <v>388.17</v>
      </c>
      <c r="K18" s="219">
        <f t="shared" si="0"/>
        <v>388.17</v>
      </c>
    </row>
    <row r="19" spans="1:14" s="30" customFormat="1" ht="20.25" customHeight="1" x14ac:dyDescent="0.25">
      <c r="A19" s="11">
        <v>7</v>
      </c>
      <c r="B19" s="10" t="s">
        <v>156</v>
      </c>
      <c r="C19" s="83">
        <v>800.27</v>
      </c>
      <c r="D19" s="48"/>
      <c r="E19" s="48"/>
      <c r="F19" s="48"/>
      <c r="G19" s="48"/>
      <c r="H19" s="214"/>
      <c r="I19" s="4">
        <f t="shared" si="1"/>
        <v>800.27</v>
      </c>
      <c r="J19" s="215">
        <f>I19*H9*J9</f>
        <v>908.41</v>
      </c>
      <c r="K19" s="219">
        <f t="shared" si="0"/>
        <v>908.41</v>
      </c>
    </row>
    <row r="20" spans="1:14" s="30" customFormat="1" ht="21" customHeight="1" x14ac:dyDescent="0.25">
      <c r="A20" s="11">
        <v>8</v>
      </c>
      <c r="B20" s="10" t="s">
        <v>88</v>
      </c>
      <c r="C20" s="83">
        <v>1477.68</v>
      </c>
      <c r="D20" s="84"/>
      <c r="E20" s="84"/>
      <c r="F20" s="84"/>
      <c r="G20" s="84"/>
      <c r="H20" s="213"/>
      <c r="I20" s="4">
        <f t="shared" si="1"/>
        <v>1477.68</v>
      </c>
      <c r="J20" s="215">
        <f>I20*H9*J9</f>
        <v>1677.36</v>
      </c>
      <c r="K20" s="219">
        <f t="shared" si="0"/>
        <v>1677.36</v>
      </c>
    </row>
    <row r="21" spans="1:14" s="30" customFormat="1" ht="21" customHeight="1" x14ac:dyDescent="0.25">
      <c r="A21" s="11">
        <v>9</v>
      </c>
      <c r="B21" s="10" t="s">
        <v>157</v>
      </c>
      <c r="C21" s="83">
        <v>1856.45</v>
      </c>
      <c r="D21" s="84"/>
      <c r="E21" s="84"/>
      <c r="F21" s="84"/>
      <c r="G21" s="84"/>
      <c r="H21" s="213"/>
      <c r="I21" s="4">
        <f t="shared" si="1"/>
        <v>1856.45</v>
      </c>
      <c r="J21" s="215">
        <f>I21*H9*J9</f>
        <v>2107.3200000000002</v>
      </c>
      <c r="K21" s="219">
        <f t="shared" si="0"/>
        <v>2107.3200000000002</v>
      </c>
    </row>
    <row r="22" spans="1:14" s="30" customFormat="1" ht="24" customHeight="1" x14ac:dyDescent="0.25">
      <c r="A22" s="11">
        <v>10</v>
      </c>
      <c r="B22" s="10" t="s">
        <v>245</v>
      </c>
      <c r="C22" s="83">
        <v>412.13</v>
      </c>
      <c r="D22" s="84"/>
      <c r="E22" s="84"/>
      <c r="F22" s="84"/>
      <c r="G22" s="4">
        <f>(G13+G14)*0.012</f>
        <v>3.08</v>
      </c>
      <c r="H22" s="215">
        <f>G22*H9</f>
        <v>3.32</v>
      </c>
      <c r="I22" s="4">
        <f t="shared" si="1"/>
        <v>409.05</v>
      </c>
      <c r="J22" s="215">
        <f>I22*H9*J9</f>
        <v>464.33</v>
      </c>
      <c r="K22" s="219">
        <f t="shared" si="0"/>
        <v>467.65</v>
      </c>
    </row>
    <row r="23" spans="1:14" s="30" customFormat="1" ht="33.75" customHeight="1" x14ac:dyDescent="0.25">
      <c r="A23" s="11">
        <v>11</v>
      </c>
      <c r="B23" s="10" t="s">
        <v>171</v>
      </c>
      <c r="C23" s="83">
        <v>0.59</v>
      </c>
      <c r="D23" s="84"/>
      <c r="E23" s="84"/>
      <c r="F23" s="84"/>
      <c r="G23" s="84"/>
      <c r="H23" s="213"/>
      <c r="I23" s="4">
        <f t="shared" si="1"/>
        <v>0.59</v>
      </c>
      <c r="J23" s="215">
        <f>I23*H9*J9</f>
        <v>0.67</v>
      </c>
      <c r="K23" s="219">
        <f t="shared" si="0"/>
        <v>0.67</v>
      </c>
    </row>
    <row r="24" spans="1:14" s="30" customFormat="1" ht="26.25" customHeight="1" x14ac:dyDescent="0.25">
      <c r="A24" s="11">
        <v>12</v>
      </c>
      <c r="B24" s="10" t="s">
        <v>158</v>
      </c>
      <c r="C24" s="83">
        <v>7.0000000000000007E-2</v>
      </c>
      <c r="D24" s="84"/>
      <c r="E24" s="84"/>
      <c r="F24" s="84"/>
      <c r="G24" s="84"/>
      <c r="H24" s="213"/>
      <c r="I24" s="4">
        <f t="shared" si="1"/>
        <v>7.0000000000000007E-2</v>
      </c>
      <c r="J24" s="215">
        <f>I24*H9*J9</f>
        <v>0.08</v>
      </c>
      <c r="K24" s="219">
        <f t="shared" si="0"/>
        <v>0.08</v>
      </c>
      <c r="M24" s="25">
        <f>SUM(K13:K24)</f>
        <v>38089.980000000003</v>
      </c>
    </row>
    <row r="25" spans="1:14" s="30" customFormat="1" x14ac:dyDescent="0.25">
      <c r="A25" s="43"/>
      <c r="B25" s="20" t="s">
        <v>232</v>
      </c>
      <c r="C25" s="50">
        <f>ROUND(SUM(C13:C24),2)</f>
        <v>35124.97</v>
      </c>
      <c r="D25" s="50">
        <v>0</v>
      </c>
      <c r="E25" s="50">
        <v>0</v>
      </c>
      <c r="F25" s="50">
        <f>C25-D25</f>
        <v>35124.97</v>
      </c>
      <c r="G25" s="50">
        <f>SUM(G13:G24)</f>
        <v>259.72000000000003</v>
      </c>
      <c r="H25" s="203">
        <f>SUM(H13:H24)</f>
        <v>279.98</v>
      </c>
      <c r="I25" s="50">
        <f>F25-G25</f>
        <v>34865.25</v>
      </c>
      <c r="J25" s="203">
        <f>SUM(J13:J24)</f>
        <v>37810</v>
      </c>
      <c r="K25" s="51">
        <f t="shared" ref="K25:K34" si="2">H25+J25</f>
        <v>38089.980000000003</v>
      </c>
      <c r="L25" s="25">
        <f>SUM(I13:I24)</f>
        <v>34865.25</v>
      </c>
      <c r="M25" s="25">
        <f>L25-I25</f>
        <v>0</v>
      </c>
      <c r="N25" s="25">
        <f>SUM(C13:C24)</f>
        <v>35124.97</v>
      </c>
    </row>
    <row r="26" spans="1:14" s="30" customFormat="1" x14ac:dyDescent="0.25">
      <c r="A26" s="11">
        <v>13</v>
      </c>
      <c r="B26" s="12" t="s">
        <v>7</v>
      </c>
      <c r="C26" s="52">
        <f>ROUND(C25*2%,2)</f>
        <v>702.5</v>
      </c>
      <c r="D26" s="53">
        <f>(D25-D15)*2%</f>
        <v>0</v>
      </c>
      <c r="E26" s="53">
        <v>0</v>
      </c>
      <c r="F26" s="48">
        <f>C26-D26</f>
        <v>702.5</v>
      </c>
      <c r="G26" s="48">
        <f>ROUND(G25*2%,2)</f>
        <v>5.19</v>
      </c>
      <c r="H26" s="214">
        <f>ROUND(H25*2%,2)</f>
        <v>5.6</v>
      </c>
      <c r="I26" s="48">
        <f>F26-G26</f>
        <v>697.31</v>
      </c>
      <c r="J26" s="214">
        <f>J25*0.02</f>
        <v>756.2</v>
      </c>
      <c r="K26" s="49">
        <f t="shared" si="2"/>
        <v>761.8</v>
      </c>
      <c r="L26" s="30">
        <f>F26*H9</f>
        <v>757.29499999999996</v>
      </c>
    </row>
    <row r="27" spans="1:14" s="205" customFormat="1" x14ac:dyDescent="0.25">
      <c r="A27" s="201"/>
      <c r="B27" s="202" t="s">
        <v>226</v>
      </c>
      <c r="C27" s="203">
        <f>ROUND(C25+C26,2)</f>
        <v>35827.47</v>
      </c>
      <c r="D27" s="203">
        <f>D25+D26</f>
        <v>0</v>
      </c>
      <c r="E27" s="203">
        <v>0</v>
      </c>
      <c r="F27" s="203">
        <f>C27-D27</f>
        <v>35827.47</v>
      </c>
      <c r="G27" s="203">
        <f>G25+G26</f>
        <v>264.91000000000003</v>
      </c>
      <c r="H27" s="203">
        <f>H25+H26</f>
        <v>285.58</v>
      </c>
      <c r="I27" s="203">
        <f t="shared" ref="I27:I33" si="3">F27-G27</f>
        <v>35562.559999999998</v>
      </c>
      <c r="J27" s="203">
        <f>J25+J26</f>
        <v>38566.199999999997</v>
      </c>
      <c r="K27" s="204">
        <f t="shared" si="2"/>
        <v>38851.78</v>
      </c>
    </row>
    <row r="28" spans="1:14" x14ac:dyDescent="0.25">
      <c r="A28" s="11">
        <v>14</v>
      </c>
      <c r="B28" s="10" t="s">
        <v>159</v>
      </c>
      <c r="C28" s="83">
        <v>1813.5</v>
      </c>
      <c r="D28" s="53">
        <f t="shared" ref="D28:E30" si="4">(D27-D19)*2%</f>
        <v>0</v>
      </c>
      <c r="E28" s="53">
        <f t="shared" si="4"/>
        <v>0</v>
      </c>
      <c r="F28" s="52">
        <f>C28</f>
        <v>1813.5</v>
      </c>
      <c r="G28" s="52">
        <f>F28</f>
        <v>1813.5</v>
      </c>
      <c r="H28" s="214">
        <f>G28*H9</f>
        <v>1954.95</v>
      </c>
      <c r="I28" s="48">
        <f t="shared" si="3"/>
        <v>0</v>
      </c>
      <c r="J28" s="214">
        <v>0</v>
      </c>
      <c r="K28" s="49">
        <f t="shared" si="2"/>
        <v>1954.95</v>
      </c>
    </row>
    <row r="29" spans="1:14" x14ac:dyDescent="0.25">
      <c r="A29" s="11">
        <v>15</v>
      </c>
      <c r="B29" s="12" t="s">
        <v>7</v>
      </c>
      <c r="C29" s="52">
        <v>0</v>
      </c>
      <c r="D29" s="53">
        <f t="shared" si="4"/>
        <v>0</v>
      </c>
      <c r="E29" s="53">
        <f t="shared" si="4"/>
        <v>0</v>
      </c>
      <c r="F29" s="52">
        <f>C29</f>
        <v>0</v>
      </c>
      <c r="G29" s="52">
        <v>0</v>
      </c>
      <c r="H29" s="214">
        <v>0</v>
      </c>
      <c r="I29" s="48">
        <f t="shared" si="3"/>
        <v>0</v>
      </c>
      <c r="J29" s="214">
        <v>0</v>
      </c>
      <c r="K29" s="49">
        <f t="shared" si="2"/>
        <v>0</v>
      </c>
    </row>
    <row r="30" spans="1:14" s="205" customFormat="1" x14ac:dyDescent="0.25">
      <c r="A30" s="201"/>
      <c r="B30" s="202" t="s">
        <v>235</v>
      </c>
      <c r="C30" s="203">
        <f>C28+C29</f>
        <v>1813.5</v>
      </c>
      <c r="D30" s="203">
        <f t="shared" si="4"/>
        <v>0</v>
      </c>
      <c r="E30" s="203">
        <f t="shared" si="4"/>
        <v>0</v>
      </c>
      <c r="F30" s="203">
        <f>C30</f>
        <v>1813.5</v>
      </c>
      <c r="G30" s="203">
        <f>G28+G29</f>
        <v>1813.5</v>
      </c>
      <c r="H30" s="203">
        <f>H28+H29</f>
        <v>1954.95</v>
      </c>
      <c r="I30" s="203">
        <f t="shared" si="3"/>
        <v>0</v>
      </c>
      <c r="J30" s="203">
        <f>J28+J29</f>
        <v>0</v>
      </c>
      <c r="K30" s="204">
        <f t="shared" si="2"/>
        <v>1954.95</v>
      </c>
    </row>
    <row r="31" spans="1:14" s="205" customFormat="1" x14ac:dyDescent="0.25">
      <c r="A31" s="201"/>
      <c r="B31" s="202" t="s">
        <v>239</v>
      </c>
      <c r="C31" s="203">
        <f>C27+C30</f>
        <v>37640.97</v>
      </c>
      <c r="D31" s="203">
        <v>0</v>
      </c>
      <c r="E31" s="203">
        <v>0</v>
      </c>
      <c r="F31" s="203">
        <f>F27+F30</f>
        <v>37640.97</v>
      </c>
      <c r="G31" s="203">
        <f>G27+G30</f>
        <v>2078.41</v>
      </c>
      <c r="H31" s="203">
        <f>H27+H30</f>
        <v>2240.5300000000002</v>
      </c>
      <c r="I31" s="203">
        <f>F31-G31</f>
        <v>35562.559999999998</v>
      </c>
      <c r="J31" s="203">
        <f>J27+J30</f>
        <v>38566.199999999997</v>
      </c>
      <c r="K31" s="204">
        <f t="shared" si="2"/>
        <v>40806.730000000003</v>
      </c>
      <c r="L31" s="208">
        <f>K27+K30</f>
        <v>40806.730000000003</v>
      </c>
    </row>
    <row r="32" spans="1:14" ht="24" customHeight="1" x14ac:dyDescent="0.25">
      <c r="A32" s="45"/>
      <c r="B32" s="22" t="s">
        <v>27</v>
      </c>
      <c r="C32" s="56">
        <f>(C27+C30)</f>
        <v>37640.97</v>
      </c>
      <c r="D32" s="56">
        <f>D27</f>
        <v>0</v>
      </c>
      <c r="E32" s="56">
        <f>E27</f>
        <v>0</v>
      </c>
      <c r="F32" s="57">
        <f>C32-D32</f>
        <v>37640.97</v>
      </c>
      <c r="G32" s="57">
        <f>G31</f>
        <v>2078.41</v>
      </c>
      <c r="H32" s="216">
        <f>H31</f>
        <v>2240.5300000000002</v>
      </c>
      <c r="I32" s="50">
        <f t="shared" si="3"/>
        <v>35562.559999999998</v>
      </c>
      <c r="J32" s="216">
        <f>J31</f>
        <v>38566.199999999997</v>
      </c>
      <c r="K32" s="58">
        <f t="shared" si="2"/>
        <v>40806.730000000003</v>
      </c>
      <c r="L32" s="6">
        <f>F32*H9</f>
        <v>40576.965660000002</v>
      </c>
      <c r="N32" s="16">
        <f>H27+H30+H33</f>
        <v>2688.64</v>
      </c>
    </row>
    <row r="33" spans="1:13" ht="25.5" customHeight="1" x14ac:dyDescent="0.25">
      <c r="A33" s="43"/>
      <c r="B33" s="12" t="s">
        <v>11</v>
      </c>
      <c r="C33" s="52">
        <f>ROUND(C32*20%,2)</f>
        <v>7528.19</v>
      </c>
      <c r="D33" s="53">
        <v>0</v>
      </c>
      <c r="E33" s="53">
        <v>0</v>
      </c>
      <c r="F33" s="48">
        <f>C33-D33</f>
        <v>7528.19</v>
      </c>
      <c r="G33" s="48">
        <f>ROUND(G32*20%,2)</f>
        <v>415.68</v>
      </c>
      <c r="H33" s="214">
        <f>ROUND(H32*20%,2)</f>
        <v>448.11</v>
      </c>
      <c r="I33" s="48">
        <f t="shared" si="3"/>
        <v>7112.51</v>
      </c>
      <c r="J33" s="214">
        <f>ROUND(J32*20%,2)</f>
        <v>7713.24</v>
      </c>
      <c r="K33" s="49">
        <f t="shared" si="2"/>
        <v>8161.35</v>
      </c>
      <c r="M33" s="16">
        <f>G31+G33</f>
        <v>2494.09</v>
      </c>
    </row>
    <row r="34" spans="1:13" s="18" customFormat="1" ht="23.25" customHeight="1" x14ac:dyDescent="0.25">
      <c r="A34" s="92"/>
      <c r="B34" s="23" t="s">
        <v>3</v>
      </c>
      <c r="C34" s="59">
        <f>C27+C30+C33</f>
        <v>45169.16</v>
      </c>
      <c r="D34" s="59">
        <v>0</v>
      </c>
      <c r="E34" s="59">
        <v>0</v>
      </c>
      <c r="F34" s="59">
        <f>C34-D34</f>
        <v>45169.16</v>
      </c>
      <c r="G34" s="59">
        <f>G27+G30+G33</f>
        <v>2494.09</v>
      </c>
      <c r="H34" s="59">
        <f>H31+H33</f>
        <v>2688.64</v>
      </c>
      <c r="I34" s="59">
        <f>F34-G34</f>
        <v>42675.07</v>
      </c>
      <c r="J34" s="59">
        <f>J31+J33</f>
        <v>46279.44</v>
      </c>
      <c r="K34" s="59">
        <f t="shared" si="2"/>
        <v>48968.08</v>
      </c>
      <c r="L34" s="16"/>
      <c r="M34" s="9"/>
    </row>
    <row r="35" spans="1:13" ht="21.75" customHeight="1" x14ac:dyDescent="0.25">
      <c r="A35" s="43"/>
      <c r="B35" s="21" t="s">
        <v>4</v>
      </c>
      <c r="C35" s="14"/>
      <c r="D35" s="87"/>
      <c r="E35" s="87"/>
      <c r="F35" s="87"/>
      <c r="G35" s="87"/>
      <c r="H35" s="217"/>
      <c r="I35" s="86"/>
      <c r="J35" s="217"/>
      <c r="K35" s="37"/>
    </row>
    <row r="36" spans="1:13" ht="24.75" customHeight="1" x14ac:dyDescent="0.25">
      <c r="A36" s="11">
        <v>1</v>
      </c>
      <c r="B36" s="10" t="s">
        <v>236</v>
      </c>
      <c r="C36" s="14">
        <f>751.67-C37</f>
        <v>681.42</v>
      </c>
      <c r="D36" s="79">
        <v>0</v>
      </c>
      <c r="E36" s="79">
        <f>C36</f>
        <v>681.42</v>
      </c>
      <c r="F36" s="79">
        <v>0</v>
      </c>
      <c r="G36" s="79">
        <v>0</v>
      </c>
      <c r="H36" s="215">
        <v>0</v>
      </c>
      <c r="I36" s="4">
        <v>0</v>
      </c>
      <c r="J36" s="215">
        <v>0</v>
      </c>
      <c r="K36" s="27">
        <f t="shared" ref="K36:K47" si="5">H36+J36</f>
        <v>0</v>
      </c>
      <c r="M36" s="6">
        <v>29.28378</v>
      </c>
    </row>
    <row r="37" spans="1:13" ht="21.75" customHeight="1" x14ac:dyDescent="0.25">
      <c r="A37" s="11">
        <v>2</v>
      </c>
      <c r="B37" s="10" t="s">
        <v>240</v>
      </c>
      <c r="C37" s="83">
        <f>C25*0.002</f>
        <v>70.25</v>
      </c>
      <c r="D37" s="79">
        <v>0</v>
      </c>
      <c r="E37" s="79">
        <v>0</v>
      </c>
      <c r="F37" s="79">
        <f>F25*0.002</f>
        <v>70.25</v>
      </c>
      <c r="G37" s="79">
        <f>G25*0.002</f>
        <v>0.52</v>
      </c>
      <c r="H37" s="215">
        <f>H25*0.002</f>
        <v>0.56000000000000005</v>
      </c>
      <c r="I37" s="4">
        <f t="shared" ref="I37:I43" si="6">F37-G37</f>
        <v>69.73</v>
      </c>
      <c r="J37" s="215">
        <f>J25*0.002</f>
        <v>75.62</v>
      </c>
      <c r="K37" s="27">
        <f t="shared" si="5"/>
        <v>76.180000000000007</v>
      </c>
      <c r="L37" s="6">
        <f>I25*0.2%</f>
        <v>69.730500000000006</v>
      </c>
    </row>
    <row r="38" spans="1:13" ht="29.25" customHeight="1" x14ac:dyDescent="0.25">
      <c r="A38" s="11">
        <v>3</v>
      </c>
      <c r="B38" s="10" t="s">
        <v>237</v>
      </c>
      <c r="C38" s="79">
        <v>581.04</v>
      </c>
      <c r="D38" s="79">
        <f>C38</f>
        <v>581.04</v>
      </c>
      <c r="E38" s="61">
        <v>0</v>
      </c>
      <c r="F38" s="61">
        <f>C38-D38</f>
        <v>0</v>
      </c>
      <c r="G38" s="61">
        <v>0</v>
      </c>
      <c r="H38" s="214">
        <f>C38-D38</f>
        <v>0</v>
      </c>
      <c r="I38" s="4">
        <f t="shared" si="6"/>
        <v>0</v>
      </c>
      <c r="J38" s="214">
        <v>0</v>
      </c>
      <c r="K38" s="27">
        <f t="shared" si="5"/>
        <v>0</v>
      </c>
      <c r="L38" s="9" t="e">
        <f>C36+C37+#REF!+C28</f>
        <v>#REF!</v>
      </c>
      <c r="M38" s="6">
        <f>H25*0.2%</f>
        <v>0.55996000000000001</v>
      </c>
    </row>
    <row r="39" spans="1:13" ht="23.25" customHeight="1" x14ac:dyDescent="0.25">
      <c r="A39" s="11">
        <v>4</v>
      </c>
      <c r="B39" s="10" t="s">
        <v>172</v>
      </c>
      <c r="C39" s="83">
        <v>1197</v>
      </c>
      <c r="D39" s="4">
        <f>C39</f>
        <v>1197</v>
      </c>
      <c r="E39" s="4">
        <v>0</v>
      </c>
      <c r="F39" s="4">
        <v>0</v>
      </c>
      <c r="G39" s="4">
        <v>0</v>
      </c>
      <c r="H39" s="215">
        <v>0</v>
      </c>
      <c r="I39" s="4">
        <f t="shared" si="6"/>
        <v>0</v>
      </c>
      <c r="J39" s="215">
        <v>0</v>
      </c>
      <c r="K39" s="27">
        <f t="shared" si="5"/>
        <v>0</v>
      </c>
      <c r="L39" s="6" t="e">
        <f>L38*0.2</f>
        <v>#REF!</v>
      </c>
    </row>
    <row r="40" spans="1:13" ht="73.5" customHeight="1" x14ac:dyDescent="0.25">
      <c r="A40" s="11">
        <v>5</v>
      </c>
      <c r="B40" s="10" t="s">
        <v>174</v>
      </c>
      <c r="C40" s="83">
        <v>610.41</v>
      </c>
      <c r="D40" s="4">
        <f>C40</f>
        <v>610.41</v>
      </c>
      <c r="E40" s="4">
        <v>0</v>
      </c>
      <c r="F40" s="4">
        <v>0</v>
      </c>
      <c r="G40" s="4">
        <v>0</v>
      </c>
      <c r="H40" s="215">
        <v>0</v>
      </c>
      <c r="I40" s="4">
        <f t="shared" si="6"/>
        <v>0</v>
      </c>
      <c r="J40" s="215">
        <v>0</v>
      </c>
      <c r="K40" s="27">
        <f t="shared" si="5"/>
        <v>0</v>
      </c>
    </row>
    <row r="41" spans="1:13" ht="41.25" customHeight="1" x14ac:dyDescent="0.25">
      <c r="A41" s="11">
        <v>6</v>
      </c>
      <c r="B41" s="10" t="s">
        <v>238</v>
      </c>
      <c r="C41" s="83">
        <v>200.35</v>
      </c>
      <c r="D41" s="4">
        <f>C41</f>
        <v>200.35</v>
      </c>
      <c r="E41" s="4">
        <v>0</v>
      </c>
      <c r="F41" s="4">
        <v>0</v>
      </c>
      <c r="G41" s="4">
        <v>0</v>
      </c>
      <c r="H41" s="215">
        <v>0</v>
      </c>
      <c r="I41" s="4">
        <f t="shared" si="6"/>
        <v>0</v>
      </c>
      <c r="J41" s="215">
        <v>0</v>
      </c>
      <c r="K41" s="27">
        <f t="shared" si="5"/>
        <v>0</v>
      </c>
    </row>
    <row r="42" spans="1:13" ht="21" customHeight="1" x14ac:dyDescent="0.25">
      <c r="A42" s="11"/>
      <c r="B42" s="20" t="s">
        <v>223</v>
      </c>
      <c r="C42" s="3">
        <f>ROUND(SUM(C36:C41),2)</f>
        <v>3340.47</v>
      </c>
      <c r="D42" s="50">
        <f>SUM(D36:D41)</f>
        <v>2588.8000000000002</v>
      </c>
      <c r="E42" s="50">
        <f>SUM(E36:E41)</f>
        <v>681.42</v>
      </c>
      <c r="F42" s="50">
        <f>C42-D42-E42</f>
        <v>70.25</v>
      </c>
      <c r="G42" s="50">
        <f>SUM(G36:G41)</f>
        <v>0.52</v>
      </c>
      <c r="H42" s="203">
        <f>SUM(H36:H41)</f>
        <v>0.56000000000000005</v>
      </c>
      <c r="I42" s="3">
        <f t="shared" si="6"/>
        <v>69.73</v>
      </c>
      <c r="J42" s="203">
        <f>SUM(J36:J41)</f>
        <v>75.62</v>
      </c>
      <c r="K42" s="51">
        <f t="shared" si="5"/>
        <v>76.180000000000007</v>
      </c>
      <c r="L42" s="16"/>
      <c r="M42" s="16"/>
    </row>
    <row r="43" spans="1:13" x14ac:dyDescent="0.25">
      <c r="A43" s="11" t="s">
        <v>224</v>
      </c>
      <c r="B43" s="12" t="s">
        <v>132</v>
      </c>
      <c r="C43" s="83">
        <f>ROUND(C42*2%,2)+ROUND(C28*2%,2)</f>
        <v>103.08</v>
      </c>
      <c r="D43" s="83">
        <v>0</v>
      </c>
      <c r="E43" s="83">
        <v>0</v>
      </c>
      <c r="F43" s="48">
        <f>C43-D43-E43</f>
        <v>103.08</v>
      </c>
      <c r="G43" s="48">
        <f>G42*0.02</f>
        <v>0.01</v>
      </c>
      <c r="H43" s="214">
        <f>G43*H9</f>
        <v>0.01</v>
      </c>
      <c r="I43" s="4">
        <f t="shared" si="6"/>
        <v>103.07</v>
      </c>
      <c r="J43" s="214">
        <f>I43*H9*J9</f>
        <v>117</v>
      </c>
      <c r="K43" s="49">
        <f t="shared" si="5"/>
        <v>117.01</v>
      </c>
      <c r="L43" s="16"/>
      <c r="M43" s="16">
        <f>C26+C29+C43</f>
        <v>805.58</v>
      </c>
    </row>
    <row r="44" spans="1:13" s="205" customFormat="1" x14ac:dyDescent="0.25">
      <c r="A44" s="206"/>
      <c r="B44" s="202" t="s">
        <v>12</v>
      </c>
      <c r="C44" s="207">
        <f>ROUND(SUM(C42:C43),2)</f>
        <v>3443.55</v>
      </c>
      <c r="D44" s="203">
        <f>D42+D43</f>
        <v>2588.8000000000002</v>
      </c>
      <c r="E44" s="203">
        <f>E42+E43</f>
        <v>681.42</v>
      </c>
      <c r="F44" s="203">
        <f>F42+F43</f>
        <v>173.33</v>
      </c>
      <c r="G44" s="203">
        <f>G42+G43</f>
        <v>0.53</v>
      </c>
      <c r="H44" s="203">
        <f>H42+H43</f>
        <v>0.56999999999999995</v>
      </c>
      <c r="I44" s="207">
        <f>F44-G44</f>
        <v>172.8</v>
      </c>
      <c r="J44" s="203">
        <f>J42+J43</f>
        <v>192.62</v>
      </c>
      <c r="K44" s="204">
        <f t="shared" si="5"/>
        <v>193.19</v>
      </c>
      <c r="L44" s="208"/>
      <c r="M44" s="209">
        <f>C31+C44</f>
        <v>41084.519999999997</v>
      </c>
    </row>
    <row r="45" spans="1:13" x14ac:dyDescent="0.25">
      <c r="A45" s="46"/>
      <c r="B45" s="22" t="s">
        <v>136</v>
      </c>
      <c r="C45" s="13">
        <f>ROUND((C44),2)</f>
        <v>3443.55</v>
      </c>
      <c r="D45" s="57">
        <f>D44</f>
        <v>2588.8000000000002</v>
      </c>
      <c r="E45" s="57">
        <f>E44</f>
        <v>681.42</v>
      </c>
      <c r="F45" s="57">
        <f>F44</f>
        <v>173.33</v>
      </c>
      <c r="G45" s="57">
        <f>G44</f>
        <v>0.53</v>
      </c>
      <c r="H45" s="216">
        <f>H44</f>
        <v>0.56999999999999995</v>
      </c>
      <c r="I45" s="218">
        <f>F45-G45</f>
        <v>172.8</v>
      </c>
      <c r="J45" s="216">
        <f>J44</f>
        <v>192.62</v>
      </c>
      <c r="K45" s="58">
        <f t="shared" si="5"/>
        <v>193.19</v>
      </c>
      <c r="L45" s="16"/>
      <c r="M45" s="9"/>
    </row>
    <row r="46" spans="1:13" x14ac:dyDescent="0.25">
      <c r="A46" s="43"/>
      <c r="B46" s="12" t="s">
        <v>11</v>
      </c>
      <c r="C46" s="83">
        <f>ROUND(C45*20%,2)</f>
        <v>688.71</v>
      </c>
      <c r="D46" s="52">
        <f>D45*0.2</f>
        <v>517.76</v>
      </c>
      <c r="E46" s="48">
        <f>E45*0.2</f>
        <v>136.28</v>
      </c>
      <c r="F46" s="48">
        <f>F45*0.2</f>
        <v>34.67</v>
      </c>
      <c r="G46" s="48">
        <f>G45*0.2</f>
        <v>0.11</v>
      </c>
      <c r="H46" s="214">
        <f>G46*H9</f>
        <v>0.12</v>
      </c>
      <c r="I46" s="4">
        <f>F46-G46</f>
        <v>34.56</v>
      </c>
      <c r="J46" s="214">
        <f>J45*0.2</f>
        <v>38.520000000000003</v>
      </c>
      <c r="K46" s="49">
        <f t="shared" si="5"/>
        <v>38.64</v>
      </c>
      <c r="L46" s="16"/>
      <c r="M46" s="9">
        <f>C33+C46</f>
        <v>8216.9</v>
      </c>
    </row>
    <row r="47" spans="1:13" x14ac:dyDescent="0.25">
      <c r="A47" s="47"/>
      <c r="B47" s="23" t="s">
        <v>5</v>
      </c>
      <c r="C47" s="90">
        <f>C44+C46</f>
        <v>4132.26</v>
      </c>
      <c r="D47" s="59">
        <f>D44+D46</f>
        <v>3106.56</v>
      </c>
      <c r="E47" s="59">
        <f>E44+E46</f>
        <v>817.7</v>
      </c>
      <c r="F47" s="59">
        <f>F46+F44</f>
        <v>208</v>
      </c>
      <c r="G47" s="59">
        <f>G46+G44</f>
        <v>0.64</v>
      </c>
      <c r="H47" s="59">
        <f>H46+H44</f>
        <v>0.69</v>
      </c>
      <c r="I47" s="59">
        <f>I44+I46</f>
        <v>207.36</v>
      </c>
      <c r="J47" s="59">
        <f>J44+J46</f>
        <v>231.14</v>
      </c>
      <c r="K47" s="60">
        <f t="shared" si="5"/>
        <v>231.83</v>
      </c>
    </row>
    <row r="48" spans="1:13" ht="19.5" customHeight="1" x14ac:dyDescent="0.25">
      <c r="A48" s="47"/>
      <c r="B48" s="23" t="s">
        <v>8</v>
      </c>
      <c r="C48" s="90">
        <f>C34+C47</f>
        <v>49301.42</v>
      </c>
      <c r="D48" s="59">
        <f>D34+D47</f>
        <v>3106.56</v>
      </c>
      <c r="E48" s="59">
        <f>E47</f>
        <v>817.7</v>
      </c>
      <c r="F48" s="59">
        <f t="shared" ref="F48:K48" si="7">F34+F47</f>
        <v>45377.16</v>
      </c>
      <c r="G48" s="59">
        <f t="shared" si="7"/>
        <v>2494.73</v>
      </c>
      <c r="H48" s="59">
        <f t="shared" si="7"/>
        <v>2689.33</v>
      </c>
      <c r="I48" s="59">
        <f t="shared" si="7"/>
        <v>42882.43</v>
      </c>
      <c r="J48" s="59">
        <f t="shared" si="7"/>
        <v>46510.58</v>
      </c>
      <c r="K48" s="60">
        <f t="shared" si="7"/>
        <v>49199.91</v>
      </c>
      <c r="L48" s="16">
        <f>H48+J48</f>
        <v>49199.91</v>
      </c>
      <c r="M48" s="16">
        <f>C34+C47</f>
        <v>49301.42</v>
      </c>
    </row>
    <row r="49" spans="1:17" ht="24" customHeight="1" x14ac:dyDescent="0.25">
      <c r="A49" s="8"/>
      <c r="B49" s="8"/>
      <c r="C49" s="80"/>
      <c r="D49" s="88"/>
      <c r="E49" s="88"/>
      <c r="F49" s="88"/>
      <c r="G49" s="88"/>
      <c r="H49" s="88"/>
      <c r="I49" s="88"/>
      <c r="J49" s="88"/>
      <c r="K49" s="88"/>
      <c r="L49" s="16"/>
    </row>
    <row r="50" spans="1:17" ht="30" customHeight="1" x14ac:dyDescent="0.25">
      <c r="A50" s="497" t="s">
        <v>247</v>
      </c>
      <c r="B50" s="498"/>
      <c r="C50" s="498"/>
      <c r="D50" s="498"/>
      <c r="E50" s="498"/>
      <c r="F50" s="498"/>
      <c r="G50" s="498"/>
      <c r="H50" s="498"/>
      <c r="I50" s="498"/>
      <c r="J50" s="498"/>
      <c r="K50" s="498"/>
      <c r="L50" s="16"/>
      <c r="M50" s="16"/>
    </row>
    <row r="51" spans="1:17" x14ac:dyDescent="0.25">
      <c r="A51" s="35"/>
      <c r="B51" s="36"/>
      <c r="C51" s="36"/>
      <c r="D51" s="36"/>
      <c r="E51" s="36"/>
      <c r="F51" s="36"/>
      <c r="G51" s="36"/>
      <c r="H51" s="36"/>
      <c r="I51" s="36"/>
      <c r="J51" s="36"/>
      <c r="K51" s="36"/>
      <c r="L51" s="16"/>
      <c r="M51" s="16"/>
    </row>
    <row r="52" spans="1:17" ht="15.75" customHeight="1" x14ac:dyDescent="0.25">
      <c r="A52" s="511" t="s">
        <v>149</v>
      </c>
      <c r="B52" s="511"/>
      <c r="C52" s="220">
        <v>270</v>
      </c>
      <c r="E52" s="221"/>
      <c r="F52" s="221"/>
      <c r="G52" s="221"/>
      <c r="H52" s="221"/>
      <c r="I52" s="221"/>
      <c r="J52" s="221"/>
      <c r="K52" s="221"/>
      <c r="L52" s="16"/>
      <c r="M52" s="16"/>
    </row>
    <row r="53" spans="1:17" x14ac:dyDescent="0.25">
      <c r="A53" s="222"/>
      <c r="B53" s="222" t="s">
        <v>148</v>
      </c>
      <c r="C53" s="220">
        <f>598300/1000</f>
        <v>598.29999999999995</v>
      </c>
      <c r="D53" s="223"/>
      <c r="E53" s="221"/>
      <c r="F53" s="221"/>
      <c r="G53" s="221"/>
      <c r="H53" s="221"/>
      <c r="I53" s="221"/>
      <c r="J53" s="221"/>
      <c r="K53" s="221"/>
      <c r="L53" s="16"/>
      <c r="M53" s="16"/>
    </row>
    <row r="54" spans="1:17" x14ac:dyDescent="0.25">
      <c r="A54" s="222"/>
      <c r="B54" s="222" t="s">
        <v>144</v>
      </c>
      <c r="C54" s="220">
        <f>598000/1000</f>
        <v>598</v>
      </c>
      <c r="D54" s="221"/>
      <c r="E54" s="221"/>
      <c r="F54" s="221"/>
      <c r="G54" s="221"/>
      <c r="H54" s="221"/>
      <c r="I54" s="221"/>
      <c r="J54" s="221"/>
      <c r="K54" s="221"/>
      <c r="L54" s="16"/>
      <c r="M54" s="16"/>
    </row>
    <row r="55" spans="1:17" x14ac:dyDescent="0.25">
      <c r="A55" s="222"/>
      <c r="B55" s="222" t="s">
        <v>145</v>
      </c>
      <c r="C55" s="220">
        <f>599000/1000</f>
        <v>599</v>
      </c>
      <c r="D55" s="221"/>
      <c r="E55" s="221"/>
      <c r="F55" s="221"/>
      <c r="G55" s="221"/>
      <c r="H55" s="221"/>
      <c r="I55" s="221"/>
      <c r="J55" s="221"/>
      <c r="K55" s="221"/>
      <c r="L55" s="16"/>
      <c r="M55" s="16"/>
    </row>
    <row r="56" spans="1:17" ht="24" x14ac:dyDescent="0.25">
      <c r="A56" s="222"/>
      <c r="B56" s="222" t="s">
        <v>150</v>
      </c>
      <c r="C56" s="220">
        <f>732497.63/1000</f>
        <v>732.5</v>
      </c>
      <c r="D56" s="221"/>
      <c r="E56" s="221"/>
      <c r="F56" s="221"/>
      <c r="G56" s="221"/>
      <c r="H56" s="221"/>
      <c r="I56" s="221"/>
      <c r="J56" s="221"/>
      <c r="K56" s="221"/>
      <c r="L56" s="16"/>
      <c r="M56" s="16"/>
    </row>
    <row r="57" spans="1:17" x14ac:dyDescent="0.25">
      <c r="A57" s="223"/>
      <c r="B57" s="221"/>
      <c r="C57" s="221"/>
      <c r="D57" s="221"/>
      <c r="E57" s="221"/>
      <c r="F57" s="221"/>
      <c r="G57" s="221"/>
      <c r="H57" s="221"/>
      <c r="I57" s="221"/>
      <c r="J57" s="221"/>
      <c r="K57" s="221"/>
      <c r="L57" s="16"/>
      <c r="M57" s="16"/>
    </row>
    <row r="58" spans="1:17" x14ac:dyDescent="0.25">
      <c r="A58" s="223"/>
      <c r="B58" s="221"/>
      <c r="C58" s="224" t="s">
        <v>35</v>
      </c>
      <c r="D58" s="221"/>
      <c r="E58" s="72"/>
      <c r="F58" s="221"/>
      <c r="G58" s="221"/>
      <c r="H58" s="221"/>
      <c r="I58" s="221"/>
      <c r="J58" s="221"/>
      <c r="K58" s="224" t="s">
        <v>56</v>
      </c>
      <c r="L58" s="16"/>
      <c r="O58" s="16"/>
      <c r="Q58" s="16"/>
    </row>
    <row r="59" spans="1:17" s="18" customFormat="1" ht="22.5" customHeight="1" x14ac:dyDescent="0.25">
      <c r="A59" s="225"/>
      <c r="B59" s="226" t="s">
        <v>15</v>
      </c>
      <c r="C59" s="227">
        <f>(C52+C53+C54+C55+C56)</f>
        <v>2797.8</v>
      </c>
      <c r="D59" s="228" t="s">
        <v>16</v>
      </c>
      <c r="E59" s="229">
        <f>E48</f>
        <v>817.7</v>
      </c>
      <c r="F59" s="230"/>
      <c r="G59" s="230"/>
      <c r="H59" s="224">
        <f>ROUND(E59*H9,2)</f>
        <v>881.48</v>
      </c>
      <c r="I59" s="224"/>
      <c r="J59" s="224"/>
      <c r="K59" s="227">
        <f>C59</f>
        <v>2797.8</v>
      </c>
      <c r="L59" s="17">
        <f>D48</f>
        <v>3106.56</v>
      </c>
      <c r="O59" s="17"/>
    </row>
    <row r="60" spans="1:17" ht="21" customHeight="1" x14ac:dyDescent="0.25">
      <c r="A60" s="225"/>
      <c r="B60" s="226" t="s">
        <v>17</v>
      </c>
      <c r="C60" s="227">
        <f>C34+C37*1.2+F43*1.2</f>
        <v>45377.16</v>
      </c>
      <c r="D60" s="230"/>
      <c r="E60" s="224"/>
      <c r="F60" s="230"/>
      <c r="G60" s="230"/>
      <c r="H60" s="230"/>
      <c r="I60" s="230"/>
      <c r="J60" s="230"/>
      <c r="K60" s="227">
        <f>H48</f>
        <v>2689.33</v>
      </c>
      <c r="L60" s="117">
        <f>K48</f>
        <v>49199.91</v>
      </c>
      <c r="O60" s="16"/>
    </row>
    <row r="61" spans="1:17" ht="22.5" customHeight="1" x14ac:dyDescent="0.25">
      <c r="A61" s="225"/>
      <c r="B61" s="226" t="s">
        <v>36</v>
      </c>
      <c r="C61" s="224">
        <f>C60+E59</f>
        <v>46194.86</v>
      </c>
      <c r="D61" s="230"/>
      <c r="E61" s="230"/>
      <c r="F61" s="230"/>
      <c r="G61" s="230"/>
      <c r="H61" s="230"/>
      <c r="I61" s="230"/>
      <c r="J61" s="230"/>
      <c r="K61" s="227">
        <f>K60+H59</f>
        <v>3570.81</v>
      </c>
      <c r="L61" s="117">
        <f>L60+H59</f>
        <v>50081.39</v>
      </c>
      <c r="M61" s="16"/>
      <c r="O61" s="16"/>
    </row>
    <row r="62" spans="1:17" ht="18.75" customHeight="1" x14ac:dyDescent="0.25">
      <c r="A62" s="225"/>
      <c r="B62" s="226" t="s">
        <v>18</v>
      </c>
      <c r="C62" s="231">
        <f>C59+C61</f>
        <v>48992.66</v>
      </c>
      <c r="D62" s="230"/>
      <c r="E62" s="230"/>
      <c r="F62" s="230"/>
      <c r="G62" s="230"/>
      <c r="H62" s="230"/>
      <c r="I62" s="230"/>
      <c r="J62" s="230"/>
      <c r="K62" s="232">
        <f>K59+K61</f>
        <v>6368.61</v>
      </c>
      <c r="L62" s="68">
        <f>L59+L61</f>
        <v>53187.95</v>
      </c>
      <c r="O62" s="16"/>
    </row>
    <row r="63" spans="1:17" ht="15.75" customHeight="1" x14ac:dyDescent="0.25">
      <c r="A63" s="225"/>
      <c r="B63" s="233"/>
      <c r="C63" s="234"/>
      <c r="D63" s="235"/>
      <c r="E63" s="235"/>
      <c r="F63" s="235"/>
      <c r="G63" s="235"/>
      <c r="H63" s="235"/>
      <c r="I63" s="235"/>
      <c r="J63" s="235"/>
      <c r="K63" s="234"/>
      <c r="L63" s="119">
        <f>L62-K59</f>
        <v>50390.15</v>
      </c>
      <c r="O63" s="16"/>
    </row>
    <row r="64" spans="1:17" ht="27.75" customHeight="1" x14ac:dyDescent="0.25">
      <c r="A64" s="512" t="s">
        <v>225</v>
      </c>
      <c r="B64" s="512"/>
      <c r="C64" s="512"/>
      <c r="D64" s="512"/>
      <c r="E64" s="512"/>
      <c r="F64" s="512"/>
      <c r="G64" s="512"/>
      <c r="H64" s="512"/>
      <c r="I64" s="236"/>
      <c r="J64" s="236"/>
      <c r="K64" s="237"/>
    </row>
    <row r="65" spans="1:16" s="30" customFormat="1" ht="17.25" customHeight="1" x14ac:dyDescent="0.25">
      <c r="A65" s="512" t="s">
        <v>143</v>
      </c>
      <c r="B65" s="512"/>
      <c r="C65" s="512"/>
      <c r="D65" s="512"/>
      <c r="E65" s="512"/>
      <c r="F65" s="512"/>
      <c r="G65" s="512"/>
      <c r="H65" s="512"/>
      <c r="I65" s="236"/>
      <c r="J65" s="236"/>
      <c r="K65" s="236"/>
      <c r="M65" s="81"/>
      <c r="O65" s="33"/>
      <c r="P65" s="33"/>
    </row>
    <row r="66" spans="1:16" s="30" customFormat="1" hidden="1" x14ac:dyDescent="0.25">
      <c r="A66" s="236"/>
      <c r="B66" s="236"/>
      <c r="C66" s="236"/>
      <c r="D66" s="236"/>
      <c r="E66" s="236"/>
      <c r="F66" s="236"/>
      <c r="G66" s="236"/>
      <c r="H66" s="236"/>
      <c r="I66" s="236"/>
      <c r="J66" s="236"/>
      <c r="K66" s="236"/>
      <c r="M66" s="81"/>
      <c r="O66" s="33"/>
      <c r="P66" s="33"/>
    </row>
    <row r="67" spans="1:16" s="30" customFormat="1" ht="24" hidden="1" customHeight="1" x14ac:dyDescent="0.25">
      <c r="A67" s="238"/>
      <c r="B67" s="238"/>
      <c r="C67" s="238"/>
      <c r="D67" s="238"/>
      <c r="E67" s="238"/>
      <c r="F67" s="238"/>
      <c r="G67" s="238"/>
      <c r="H67" s="238"/>
      <c r="I67" s="238"/>
      <c r="J67" s="238"/>
      <c r="K67" s="238"/>
      <c r="M67" s="33"/>
      <c r="O67" s="33"/>
      <c r="P67" s="33"/>
    </row>
    <row r="68" spans="1:16" s="30" customFormat="1" ht="17.25" hidden="1" customHeight="1" x14ac:dyDescent="0.25">
      <c r="A68" s="513"/>
      <c r="B68" s="514"/>
      <c r="C68" s="514"/>
      <c r="D68" s="239"/>
      <c r="E68" s="239"/>
      <c r="F68" s="239"/>
      <c r="G68" s="239"/>
      <c r="H68" s="240"/>
      <c r="I68" s="240"/>
      <c r="J68" s="240"/>
      <c r="K68" s="240"/>
    </row>
    <row r="69" spans="1:16" s="30" customFormat="1" ht="15" customHeight="1" x14ac:dyDescent="0.25">
      <c r="A69" s="241"/>
      <c r="B69" s="242"/>
      <c r="C69" s="242"/>
      <c r="D69" s="239"/>
      <c r="E69" s="239"/>
      <c r="F69" s="239"/>
      <c r="G69" s="239"/>
      <c r="H69" s="240"/>
      <c r="I69" s="240"/>
      <c r="J69" s="240"/>
      <c r="K69" s="6"/>
      <c r="L69" s="16"/>
      <c r="M69" s="16"/>
    </row>
    <row r="70" spans="1:16" s="30" customFormat="1" ht="15" customHeight="1" x14ac:dyDescent="0.25">
      <c r="A70" s="509" t="s">
        <v>28</v>
      </c>
      <c r="B70" s="509"/>
      <c r="C70" s="242"/>
      <c r="D70" s="239"/>
      <c r="E70" s="239"/>
      <c r="F70" s="239"/>
      <c r="G70" s="239"/>
      <c r="H70" s="240"/>
      <c r="I70" s="240"/>
      <c r="J70" s="240"/>
      <c r="K70" s="240" t="s">
        <v>153</v>
      </c>
      <c r="L70" s="16"/>
      <c r="M70" s="16"/>
    </row>
    <row r="71" spans="1:16" s="30" customFormat="1" ht="17.25" customHeight="1" x14ac:dyDescent="0.25">
      <c r="A71" s="509"/>
      <c r="B71" s="509"/>
      <c r="C71" s="509"/>
      <c r="D71" s="239"/>
      <c r="E71" s="239"/>
      <c r="F71" s="239"/>
      <c r="G71" s="239"/>
      <c r="H71" s="240"/>
      <c r="I71" s="240"/>
      <c r="J71" s="240"/>
      <c r="K71" s="240"/>
      <c r="L71" s="16"/>
      <c r="M71" s="6"/>
    </row>
    <row r="72" spans="1:16" s="30" customFormat="1" ht="18.75" customHeight="1" x14ac:dyDescent="0.25">
      <c r="A72" s="509" t="s">
        <v>151</v>
      </c>
      <c r="B72" s="509"/>
      <c r="C72" s="243"/>
      <c r="D72" s="239"/>
      <c r="E72" s="239"/>
      <c r="F72" s="239"/>
      <c r="G72" s="239"/>
      <c r="H72" s="240"/>
      <c r="I72" s="240"/>
      <c r="J72" s="240"/>
      <c r="K72" s="240" t="s">
        <v>152</v>
      </c>
      <c r="P72" s="33"/>
    </row>
    <row r="73" spans="1:16" s="30" customFormat="1" ht="18.75" customHeight="1" x14ac:dyDescent="0.25">
      <c r="A73" s="71"/>
      <c r="B73" s="71"/>
      <c r="C73" s="71"/>
      <c r="D73" s="24"/>
      <c r="E73" s="24"/>
      <c r="F73" s="24"/>
      <c r="G73" s="24"/>
      <c r="H73" s="62"/>
      <c r="I73" s="62"/>
      <c r="J73" s="62"/>
      <c r="K73" s="62"/>
      <c r="P73" s="33"/>
    </row>
    <row r="74" spans="1:16" s="30" customFormat="1" x14ac:dyDescent="0.25">
      <c r="A74" s="503"/>
      <c r="B74" s="503"/>
      <c r="C74" s="42"/>
      <c r="D74" s="42"/>
      <c r="E74" s="42"/>
      <c r="F74" s="42"/>
      <c r="G74" s="42"/>
      <c r="H74" s="42"/>
      <c r="I74" s="42"/>
      <c r="J74" s="42"/>
      <c r="K74" s="25"/>
    </row>
    <row r="75" spans="1:16" s="30" customFormat="1" x14ac:dyDescent="0.25">
      <c r="A75" s="490" t="s">
        <v>248</v>
      </c>
      <c r="B75" s="491"/>
      <c r="C75" s="25"/>
      <c r="D75" s="25"/>
      <c r="E75" s="25"/>
      <c r="F75" s="25"/>
      <c r="G75" s="25"/>
      <c r="H75" s="25"/>
      <c r="I75" s="25"/>
      <c r="J75" s="25"/>
      <c r="K75" s="25"/>
    </row>
    <row r="76" spans="1:16" s="30" customFormat="1" ht="12" customHeight="1" x14ac:dyDescent="0.25">
      <c r="A76" s="6"/>
      <c r="B76" s="19"/>
      <c r="C76" s="9"/>
      <c r="D76" s="9"/>
      <c r="E76" s="9"/>
      <c r="F76" s="9"/>
      <c r="G76" s="9"/>
      <c r="H76" s="9"/>
      <c r="I76" s="9"/>
      <c r="J76" s="9"/>
      <c r="K76" s="63"/>
    </row>
    <row r="77" spans="1:16" s="30" customFormat="1" ht="30" customHeight="1" x14ac:dyDescent="0.25">
      <c r="A77" s="6"/>
      <c r="B77" s="6"/>
      <c r="C77" s="9"/>
      <c r="D77" s="9"/>
      <c r="E77" s="9"/>
      <c r="F77" s="9"/>
      <c r="G77" s="9"/>
      <c r="H77" s="9"/>
      <c r="I77" s="9"/>
      <c r="J77" s="9"/>
      <c r="K77" s="9"/>
    </row>
    <row r="78" spans="1:16" s="34" customFormat="1" ht="18.75" customHeight="1" x14ac:dyDescent="0.25">
      <c r="A78" s="6"/>
      <c r="B78" s="6"/>
      <c r="C78" s="7"/>
      <c r="D78" s="7"/>
      <c r="E78" s="7"/>
      <c r="F78" s="7"/>
      <c r="G78" s="7"/>
      <c r="H78" s="7"/>
      <c r="I78" s="7"/>
      <c r="J78" s="7"/>
      <c r="K78" s="9"/>
    </row>
    <row r="79" spans="1:16" s="34" customFormat="1" ht="18.75" customHeight="1" x14ac:dyDescent="0.25">
      <c r="A79" s="6"/>
      <c r="B79" s="6"/>
      <c r="C79" s="7"/>
      <c r="D79" s="7"/>
      <c r="E79" s="7"/>
      <c r="F79" s="7"/>
      <c r="G79" s="7"/>
      <c r="H79" s="7"/>
      <c r="I79" s="7"/>
      <c r="J79" s="7"/>
      <c r="K79" s="9"/>
    </row>
    <row r="80" spans="1:16" s="34" customFormat="1" ht="18.75" customHeight="1" x14ac:dyDescent="0.25">
      <c r="A80" s="6"/>
      <c r="B80" s="6"/>
      <c r="C80" s="7"/>
      <c r="D80" s="7"/>
      <c r="E80" s="7"/>
      <c r="F80" s="7"/>
      <c r="G80" s="7"/>
      <c r="H80" s="7"/>
      <c r="I80" s="7"/>
      <c r="J80" s="7"/>
      <c r="K80" s="9"/>
    </row>
    <row r="81" spans="1:18" s="34" customFormat="1" ht="18.75" customHeight="1" x14ac:dyDescent="0.25">
      <c r="A81" s="6"/>
      <c r="B81" s="6"/>
      <c r="C81" s="7"/>
      <c r="D81" s="7"/>
      <c r="E81" s="7"/>
      <c r="F81" s="7"/>
      <c r="G81" s="7"/>
      <c r="H81" s="7"/>
      <c r="I81" s="7"/>
      <c r="J81" s="7"/>
      <c r="K81" s="9"/>
    </row>
    <row r="82" spans="1:18" s="30" customFormat="1" ht="17.25" customHeight="1" x14ac:dyDescent="0.25">
      <c r="A82" s="6"/>
      <c r="B82" s="6"/>
      <c r="C82" s="7"/>
      <c r="D82" s="7"/>
      <c r="E82" s="7"/>
      <c r="F82" s="7"/>
      <c r="G82" s="7"/>
      <c r="H82" s="7"/>
      <c r="I82" s="7"/>
      <c r="J82" s="7"/>
      <c r="K82" s="9"/>
    </row>
    <row r="83" spans="1:18" s="30" customFormat="1" ht="38.25" customHeight="1" x14ac:dyDescent="0.25">
      <c r="A83" s="6"/>
      <c r="B83" s="6"/>
      <c r="C83" s="7"/>
      <c r="D83" s="7"/>
      <c r="E83" s="7"/>
      <c r="F83" s="7"/>
      <c r="G83" s="7"/>
      <c r="H83" s="7"/>
      <c r="I83" s="7"/>
      <c r="J83" s="7"/>
      <c r="K83" s="9"/>
      <c r="O83" s="33"/>
    </row>
    <row r="84" spans="1:18" ht="36" customHeight="1" x14ac:dyDescent="0.25"/>
    <row r="85" spans="1:18" s="9" customFormat="1" ht="36" customHeight="1" x14ac:dyDescent="0.25">
      <c r="A85" s="6"/>
      <c r="B85" s="6"/>
      <c r="C85" s="7"/>
      <c r="D85" s="7"/>
      <c r="E85" s="7"/>
      <c r="F85" s="7"/>
      <c r="G85" s="7"/>
      <c r="H85" s="7"/>
      <c r="I85" s="7"/>
      <c r="J85" s="7"/>
      <c r="L85" s="6"/>
      <c r="M85" s="6"/>
      <c r="N85" s="6"/>
      <c r="O85" s="6"/>
      <c r="P85" s="6"/>
      <c r="Q85" s="6"/>
      <c r="R85" s="6"/>
    </row>
  </sheetData>
  <mergeCells count="15">
    <mergeCell ref="A50:K50"/>
    <mergeCell ref="A72:B72"/>
    <mergeCell ref="A74:B74"/>
    <mergeCell ref="A75:B75"/>
    <mergeCell ref="A52:B52"/>
    <mergeCell ref="A64:H64"/>
    <mergeCell ref="A65:H65"/>
    <mergeCell ref="A68:C68"/>
    <mergeCell ref="A70:B70"/>
    <mergeCell ref="A71:C71"/>
    <mergeCell ref="A1:C5"/>
    <mergeCell ref="F1:K5"/>
    <mergeCell ref="A7:K7"/>
    <mergeCell ref="B8:K8"/>
    <mergeCell ref="O9:O10"/>
  </mergeCells>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16</vt:i4>
      </vt:variant>
    </vt:vector>
  </HeadingPairs>
  <TitlesOfParts>
    <vt:vector size="41" baseType="lpstr">
      <vt:lpstr>ССР 2кв 2024</vt:lpstr>
      <vt:lpstr>01.08.2024</vt:lpstr>
      <vt:lpstr>01.08.2024 (под факт)</vt:lpstr>
      <vt:lpstr>РЗ 02.09.2025 </vt:lpstr>
      <vt:lpstr>РЗ 02.09.2025  (2)</vt:lpstr>
      <vt:lpstr>Прилож.к НМЦК 03,09,25 </vt:lpstr>
      <vt:lpstr>НМЦК 03.09.2025 (3)</vt:lpstr>
      <vt:lpstr>НМЦК 03.09.2025</vt:lpstr>
      <vt:lpstr>02.09.2025 </vt:lpstr>
      <vt:lpstr>НМЦК 03.09.2025 (2)</vt:lpstr>
      <vt:lpstr>Лист3</vt:lpstr>
      <vt:lpstr>РЗ 02.09.2025  (3)</vt:lpstr>
      <vt:lpstr>Прилож.к НМЦК 17.09.2025</vt:lpstr>
      <vt:lpstr>НМЦК 17.09.2025</vt:lpstr>
      <vt:lpstr>НМЦК 17.09.2025 ИТОГ</vt:lpstr>
      <vt:lpstr>НМЦК 17.09.2025 ИТОГ (2)</vt:lpstr>
      <vt:lpstr>НМЦК 17.09.2025 новая доля (2)</vt:lpstr>
      <vt:lpstr>Лист2</vt:lpstr>
      <vt:lpstr>НМЦК 17.09.2025 октябрь</vt:lpstr>
      <vt:lpstr>Сводный расчет </vt:lpstr>
      <vt:lpstr>П  1 КР- к-м 100</vt:lpstr>
      <vt:lpstr>П  2 КР- П 7</vt:lpstr>
      <vt:lpstr>П  3 ТР отопление </vt:lpstr>
      <vt:lpstr>П  4 ТР каб 3-15 (2)</vt:lpstr>
      <vt:lpstr>П  5 ТР каб 3-15</vt:lpstr>
      <vt:lpstr>'01.08.2024'!Область_печати</vt:lpstr>
      <vt:lpstr>'01.08.2024 (под факт)'!Область_печати</vt:lpstr>
      <vt:lpstr>'02.09.2025 '!Область_печати</vt:lpstr>
      <vt:lpstr>'НМЦК 03.09.2025'!Область_печати</vt:lpstr>
      <vt:lpstr>'НМЦК 03.09.2025 (2)'!Область_печати</vt:lpstr>
      <vt:lpstr>'НМЦК 03.09.2025 (3)'!Область_печати</vt:lpstr>
      <vt:lpstr>'НМЦК 17.09.2025'!Область_печати</vt:lpstr>
      <vt:lpstr>'НМЦК 17.09.2025 ИТОГ'!Область_печати</vt:lpstr>
      <vt:lpstr>'НМЦК 17.09.2025 ИТОГ (2)'!Область_печати</vt:lpstr>
      <vt:lpstr>'НМЦК 17.09.2025 новая доля (2)'!Область_печати</vt:lpstr>
      <vt:lpstr>'НМЦК 17.09.2025 октябрь'!Область_печати</vt:lpstr>
      <vt:lpstr>'П  1 КР- к-м 100'!Область_печати</vt:lpstr>
      <vt:lpstr>'П  2 КР- П 7'!Область_печати</vt:lpstr>
      <vt:lpstr>'РЗ 02.09.2025 '!Область_печати</vt:lpstr>
      <vt:lpstr>'РЗ 02.09.2025  (2)'!Область_печати</vt:lpstr>
      <vt:lpstr>'РЗ 02.09.2025  (3)'!Область_печати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Исакова В.С.</dc:creator>
  <cp:lastModifiedBy>Вахрушева Е.Ю.</cp:lastModifiedBy>
  <cp:lastPrinted>2026-05-26T06:53:28Z</cp:lastPrinted>
  <dcterms:created xsi:type="dcterms:W3CDTF">2008-09-16T07:54:07Z</dcterms:created>
  <dcterms:modified xsi:type="dcterms:W3CDTF">2026-05-29T03:49:13Z</dcterms:modified>
</cp:coreProperties>
</file>