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F0A1710-6750-487F-AF11-450601C498F2}" xr6:coauthVersionLast="47" xr6:coauthVersionMax="47" xr10:uidLastSave="{00000000-0000-0000-0000-000000000000}"/>
  <bookViews>
    <workbookView xWindow="-105" yWindow="0" windowWidth="18660" windowHeight="15705" xr2:uid="{D38A3FB7-0B6C-482F-A953-0A0A8CF89FAE}"/>
  </bookViews>
  <sheets>
    <sheet name="нмцк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1" l="1"/>
  <c r="K42" i="1" s="1"/>
  <c r="N26" i="1"/>
  <c r="L82" i="1"/>
  <c r="M82" i="1"/>
  <c r="K82" i="1"/>
  <c r="K17" i="1"/>
  <c r="K16" i="1" s="1"/>
  <c r="K21" i="1"/>
  <c r="K22" i="1"/>
  <c r="J82" i="1" l="1"/>
  <c r="K38" i="1"/>
  <c r="K43" i="1" s="1"/>
  <c r="K45" i="1" s="1"/>
  <c r="K59" i="1" s="1"/>
  <c r="K64" i="1" l="1"/>
  <c r="K69" i="1" s="1"/>
  <c r="K73" i="1" s="1"/>
  <c r="K80" i="1" l="1"/>
  <c r="J76" i="1" l="1"/>
</calcChain>
</file>

<file path=xl/sharedStrings.xml><?xml version="1.0" encoding="utf-8"?>
<sst xmlns="http://schemas.openxmlformats.org/spreadsheetml/2006/main" count="143" uniqueCount="107">
  <si>
    <t>МРОТ</t>
  </si>
  <si>
    <t>I_инфл</t>
  </si>
  <si>
    <t>Индекс потребительских цен</t>
  </si>
  <si>
    <t>руб.</t>
  </si>
  <si>
    <t>%</t>
  </si>
  <si>
    <t>НДС</t>
  </si>
  <si>
    <t>Налог на добавленную стоимость</t>
  </si>
  <si>
    <t>Налоговый кодекс</t>
  </si>
  <si>
    <t>Корректирующий коэффициент</t>
  </si>
  <si>
    <t>Y</t>
  </si>
  <si>
    <t>Ставка страховых взносов</t>
  </si>
  <si>
    <t>Количество часов работы работника</t>
  </si>
  <si>
    <t>СНР</t>
  </si>
  <si>
    <t>Константа</t>
  </si>
  <si>
    <t>Наименование</t>
  </si>
  <si>
    <t>Порядок расчета или исходные данные</t>
  </si>
  <si>
    <t>Ед. изм</t>
  </si>
  <si>
    <t>пост</t>
  </si>
  <si>
    <t xml:space="preserve">Сведения представлены по ссылке: https://www.economy.gov.ru/material/directions/makroec/prognozy_socialno_ekonomicheskogo_razvitiya/prognoz_socialno_ekonomicheskogo_razvitiya_rf_na_period_do_2024_goda_.html </t>
  </si>
  <si>
    <t>Ku1</t>
  </si>
  <si>
    <t>час</t>
  </si>
  <si>
    <t>Среднемесячная норма рабочего времени</t>
  </si>
  <si>
    <t>Переменная</t>
  </si>
  <si>
    <t>БЗП</t>
  </si>
  <si>
    <t>Базовая заработная плата</t>
  </si>
  <si>
    <t>Дн</t>
  </si>
  <si>
    <t xml:space="preserve">РО </t>
  </si>
  <si>
    <t>Резерв на отпуск</t>
  </si>
  <si>
    <t>МРОТ/СНР</t>
  </si>
  <si>
    <t>СВ</t>
  </si>
  <si>
    <t>Страховые взносы</t>
  </si>
  <si>
    <t>КР=</t>
  </si>
  <si>
    <t>* 0,2</t>
  </si>
  <si>
    <t>НП =</t>
  </si>
  <si>
    <t>Расчет</t>
  </si>
  <si>
    <t>(БЗП+Дн+Двп)/12</t>
  </si>
  <si>
    <t>(БЗП+Дн+Двп+РО)*30,2%</t>
  </si>
  <si>
    <t>Порядок расчета</t>
  </si>
  <si>
    <t>(20% от БЗП)/Кu1</t>
  </si>
  <si>
    <t>(100% от БЗП)/Кu1</t>
  </si>
  <si>
    <t>8-часовой пост ежедневно</t>
  </si>
  <si>
    <t>n1</t>
  </si>
  <si>
    <t>-</t>
  </si>
  <si>
    <t>Uб</t>
  </si>
  <si>
    <t>Uд1</t>
  </si>
  <si>
    <t>Uд2</t>
  </si>
  <si>
    <t>U1</t>
  </si>
  <si>
    <t>U3</t>
  </si>
  <si>
    <t>Двп1</t>
  </si>
  <si>
    <t>Двп3</t>
  </si>
  <si>
    <t>(100% от БЗП)/Кu3</t>
  </si>
  <si>
    <t>доплата за выходные и праздничные (для 8 часового)
(расчет осуществляется по 2021 г. т.к. производственный календарь на последующие периоды отсутствует)</t>
  </si>
  <si>
    <t>8 часа * 118 выходных и праздничных дня (из производственного календаря на 2021г.)= 944 выходных и праздничных часов</t>
  </si>
  <si>
    <t>доплата составит: 100% * 125,31 (БЗП) * 944 выходных и празничных часов = 118 292,64 руб.</t>
  </si>
  <si>
    <t>Для корректности расчета необходимо соотнести размер доплаты за выходные и праздничные к БЗП. Для этого нужно размер доплаты поделить на количество часов работы поста: 118 292,64 / 2920 = 40,51 руб/час</t>
  </si>
  <si>
    <t>=</t>
  </si>
  <si>
    <t>руб./час</t>
  </si>
  <si>
    <t>Сu3 (для 8 часового поста в 2021 - 2023 гг.)=(125,31 + 8,35 + 40,51 + 14,51 + 58,98 )*U3</t>
  </si>
  <si>
    <t>Н(М)ЦК(общ.)</t>
  </si>
  <si>
    <t>дополнительный коэффициент для 24 часового поста
(наличие спецсредств у охранника) да = 0,05; нет = 0</t>
  </si>
  <si>
    <t>дополнительный коэффициент для 8 часового поста
(наличие спецсредств у охранника) да = 0,05; нет = 0</t>
  </si>
  <si>
    <t>дополнительный коэффициент для 8 часового поста
(объект с требованиями по антитеррористической защищенности) да = 0,1; нет = 0</t>
  </si>
  <si>
    <t>дополнительный коэффициент для 8 часового поста
(место проведения массовых мероприятий) да = 0,3; нет = 0</t>
  </si>
  <si>
    <t>Минимальный размер оплаты труда с учетом уральского коэффициента</t>
  </si>
  <si>
    <t>ОБОСНОВАНИЕ НАЧАЛЬНОЙ (МАКСИМАЛЬНОЙ) ЦЕНЫ КОНТРАКТА</t>
  </si>
  <si>
    <t>Заказчик</t>
  </si>
  <si>
    <t>Основные характеристики объекта закупки</t>
  </si>
  <si>
    <t>Используемый метод определения НМЦК с обоснованием</t>
  </si>
  <si>
    <t>1. Определение общих используемых параметров</t>
  </si>
  <si>
    <t>2. Расчет прямых затрат Сu:</t>
  </si>
  <si>
    <t>3. Расчет НМЦК:</t>
  </si>
  <si>
    <t>3.1 Расчет общих прямых затрат</t>
  </si>
  <si>
    <t>3.2 Расчет КР (косвенные расходы)</t>
  </si>
  <si>
    <t>3.3 Расчет НП</t>
  </si>
  <si>
    <t>3.4 Полный расчет с НДС и инфляцией.</t>
  </si>
  <si>
    <t xml:space="preserve">Дата подготовки обоснования НМЦК: </t>
  </si>
  <si>
    <t>Объект закупки</t>
  </si>
  <si>
    <t>ПРИКАЗ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ДОПОЛНИТЕЛЬНЫЕ УСЛУГИ (проектирование, монтаж и эксплуатационному обслуживанию технических средств охраны; по защите жизни и здоровья граждан, средств технической охраны) НЕ ПРЕДУСМОТРЕНЫ.</t>
  </si>
  <si>
    <t xml:space="preserve">Количество требуемых  постов охраны </t>
  </si>
  <si>
    <t>Uб = 2 - 0,0417 * Количество часов работы поста</t>
  </si>
  <si>
    <t xml:space="preserve">Результат
</t>
  </si>
  <si>
    <t>Си = (БЗП + Дн + Двп + Дрк + РО + СВ) * U,</t>
  </si>
  <si>
    <t xml:space="preserve">Общие прямые затраты  = </t>
  </si>
  <si>
    <t xml:space="preserve">КР1 </t>
  </si>
  <si>
    <t>НП</t>
  </si>
  <si>
    <t xml:space="preserve">Н(М)ЦК </t>
  </si>
  <si>
    <t xml:space="preserve">Ст. 1 Закона от 19.06.2000 № 82-ФЗ о МРОТ </t>
  </si>
  <si>
    <t>руб/час</t>
  </si>
  <si>
    <t>руб</t>
  </si>
  <si>
    <t>Согласно ТК ночное время с 22 до 6, поэтому не учитывается</t>
  </si>
  <si>
    <t>доплата за ночные часы</t>
  </si>
  <si>
    <t xml:space="preserve">доплата за нерабочие праздничные дни 
</t>
  </si>
  <si>
    <t>всего часов</t>
  </si>
  <si>
    <r>
      <t xml:space="preserve">U=Uб+Uд1+Uд2+Uд.. </t>
    </r>
    <r>
      <rPr>
        <b/>
        <i/>
        <sz val="12"/>
        <rFont val="Liberation Serif"/>
        <family val="1"/>
        <charset val="204"/>
      </rPr>
      <t>(сумма Uд не может превышать 0,35)</t>
    </r>
  </si>
  <si>
    <r>
      <t xml:space="preserve">U3=Uб+Uд1+Uд2+Uд.. </t>
    </r>
    <r>
      <rPr>
        <b/>
        <i/>
        <sz val="12"/>
        <rFont val="Liberation Serif"/>
        <family val="1"/>
        <charset val="204"/>
      </rPr>
      <t>(сумма Uд не может превышать 0,35)</t>
    </r>
  </si>
  <si>
    <r>
      <t xml:space="preserve">базовый коэффициент </t>
    </r>
    <r>
      <rPr>
        <b/>
        <u/>
        <sz val="12"/>
        <rFont val="Liberation Serif"/>
        <family val="1"/>
        <charset val="204"/>
      </rPr>
      <t>для 8 часового поста</t>
    </r>
    <r>
      <rPr>
        <sz val="12"/>
        <rFont val="Liberation Serif"/>
        <family val="1"/>
        <charset val="204"/>
      </rPr>
      <t xml:space="preserve"> (равно 2-0,0417*Количество часов работы поста)</t>
    </r>
  </si>
  <si>
    <t>Охрана объектов и (или) имущества , а так же обеспечение внутриобъектового и пропускного режимов на объектах, вотношении которых установлены обязательные для выполнения требования к антитерраристической защищенности; да= 0,1;нет=0</t>
  </si>
  <si>
    <t>Наличие допуска к государственной тайне работника и режимно-секретного подразделения; да=0,05; нет=0</t>
  </si>
  <si>
    <t>дополнительный коэффициент для 24 часового поста
(Обеспечение порядка в местах проведения массовых мероприятий
) да = 0,3; нет = 0</t>
  </si>
  <si>
    <t>дополнительный коэффициент для 24 часового поста
(Охрана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
) да = 0,1; нет = 0</t>
  </si>
  <si>
    <t>В соответствии с производственным календарем на 2025 год</t>
  </si>
  <si>
    <t>за час. Округляем до десятых</t>
  </si>
  <si>
    <t>за час</t>
  </si>
  <si>
    <t>Изложены в Описании объекта закупки</t>
  </si>
  <si>
    <t>ИМАШ УрО РАН</t>
  </si>
  <si>
    <t>Оказание услуг по охране объекта, имущества, осуществлению пропускного режима в здании института</t>
  </si>
  <si>
    <r>
      <t xml:space="preserve">К услугам применен понижающий коэффициент 0,2784691160345998  в связи с выделенной субсидией на финансовое обеспечение выполнения государственного задания на 2025 г-2027 г.  и в соответствии с планом финансово-хозяйственной деятельности ИМАШ УРО РАН на 2025 г.-2027 г.
Стоимость услуги  с учетом доведенных лимитов на  2025 г.- 2027 г. составляет </t>
    </r>
    <r>
      <rPr>
        <b/>
        <sz val="14"/>
        <rFont val="Liberation Serif"/>
        <charset val="204"/>
      </rPr>
      <t>587 520,00</t>
    </r>
    <r>
      <rPr>
        <sz val="14"/>
        <rFont val="Liberation Serif"/>
        <family val="1"/>
        <charset val="204"/>
      </rPr>
      <t xml:space="preserve"> рублей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</si>
</sst>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i/>
      <sz val="12"/>
      <name val="Liberation Serif"/>
      <family val="1"/>
      <charset val="204"/>
    </font>
    <font>
      <b/>
      <u/>
      <sz val="12"/>
      <name val="Liberation Serif"/>
      <family val="1"/>
      <charset val="204"/>
    </font>
    <font>
      <sz val="12"/>
      <name val="Liberation Serif"/>
      <charset val="204"/>
    </font>
    <font>
      <sz val="14"/>
      <name val="Liberation Serif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Liberation Serif"/>
      <charset val="204"/>
    </font>
    <font>
      <b/>
      <sz val="12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 applyAlignment="1">
      <alignment horizontal="right"/>
    </xf>
    <xf numFmtId="4" fontId="2" fillId="0" borderId="1" xfId="0" applyNumberFormat="1" applyFont="1" applyFill="1" applyBorder="1"/>
    <xf numFmtId="4" fontId="2" fillId="0" borderId="0" xfId="0" applyNumberFormat="1" applyFont="1" applyFill="1"/>
    <xf numFmtId="4" fontId="2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/>
    <xf numFmtId="0" fontId="2" fillId="0" borderId="0" xfId="0" applyFont="1" applyAlignment="1">
      <alignment horizontal="left" vertical="center"/>
    </xf>
    <xf numFmtId="14" fontId="2" fillId="0" borderId="0" xfId="0" applyNumberFormat="1" applyFont="1" applyFill="1"/>
    <xf numFmtId="1" fontId="1" fillId="0" borderId="0" xfId="0" applyNumberFormat="1" applyFont="1" applyFill="1"/>
    <xf numFmtId="0" fontId="1" fillId="2" borderId="0" xfId="0" applyFont="1" applyFill="1" applyAlignment="1">
      <alignment horizontal="center"/>
    </xf>
    <xf numFmtId="1" fontId="2" fillId="0" borderId="0" xfId="0" applyNumberFormat="1" applyFont="1" applyFill="1"/>
    <xf numFmtId="4" fontId="1" fillId="2" borderId="1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/>
    <xf numFmtId="0" fontId="5" fillId="0" borderId="4" xfId="0" applyFont="1" applyFill="1" applyBorder="1"/>
    <xf numFmtId="0" fontId="6" fillId="0" borderId="0" xfId="0" applyFont="1" applyFill="1" applyAlignment="1">
      <alignment wrapText="1"/>
    </xf>
    <xf numFmtId="0" fontId="7" fillId="0" borderId="0" xfId="0" applyFont="1" applyAlignment="1"/>
    <xf numFmtId="0" fontId="9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29</xdr:row>
      <xdr:rowOff>190500</xdr:rowOff>
    </xdr:from>
    <xdr:to>
      <xdr:col>5</xdr:col>
      <xdr:colOff>514350</xdr:colOff>
      <xdr:row>31</xdr:row>
      <xdr:rowOff>76200</xdr:rowOff>
    </xdr:to>
    <xdr:pic>
      <xdr:nvPicPr>
        <xdr:cNvPr id="4121" name="Рисунок 5">
          <a:extLst>
            <a:ext uri="{FF2B5EF4-FFF2-40B4-BE49-F238E27FC236}">
              <a16:creationId xmlns:a16="http://schemas.microsoft.com/office/drawing/2014/main" id="{37F5EDC2-5E54-B8CD-1E1A-D6D13AA4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353675"/>
          <a:ext cx="51339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60</xdr:row>
      <xdr:rowOff>190500</xdr:rowOff>
    </xdr:from>
    <xdr:to>
      <xdr:col>2</xdr:col>
      <xdr:colOff>266700</xdr:colOff>
      <xdr:row>62</xdr:row>
      <xdr:rowOff>28575</xdr:rowOff>
    </xdr:to>
    <xdr:pic>
      <xdr:nvPicPr>
        <xdr:cNvPr id="4122" name="Рисунок 8">
          <a:extLst>
            <a:ext uri="{FF2B5EF4-FFF2-40B4-BE49-F238E27FC236}">
              <a16:creationId xmlns:a16="http://schemas.microsoft.com/office/drawing/2014/main" id="{774CC22B-C2B2-8187-550B-CAEA424A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344900"/>
          <a:ext cx="20764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54</xdr:row>
      <xdr:rowOff>85725</xdr:rowOff>
    </xdr:from>
    <xdr:to>
      <xdr:col>0</xdr:col>
      <xdr:colOff>1066800</xdr:colOff>
      <xdr:row>57</xdr:row>
      <xdr:rowOff>133349</xdr:rowOff>
    </xdr:to>
    <xdr:pic>
      <xdr:nvPicPr>
        <xdr:cNvPr id="4123" name="Рисунок 9">
          <a:extLst>
            <a:ext uri="{FF2B5EF4-FFF2-40B4-BE49-F238E27FC236}">
              <a16:creationId xmlns:a16="http://schemas.microsoft.com/office/drawing/2014/main" id="{FE3ABB1B-ACA9-7555-2947-8CCBAF188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039975"/>
          <a:ext cx="962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</xdr:colOff>
      <xdr:row>66</xdr:row>
      <xdr:rowOff>0</xdr:rowOff>
    </xdr:from>
    <xdr:to>
      <xdr:col>4</xdr:col>
      <xdr:colOff>323850</xdr:colOff>
      <xdr:row>67</xdr:row>
      <xdr:rowOff>0</xdr:rowOff>
    </xdr:to>
    <xdr:pic>
      <xdr:nvPicPr>
        <xdr:cNvPr id="4124" name="Рисунок 12">
          <a:extLst>
            <a:ext uri="{FF2B5EF4-FFF2-40B4-BE49-F238E27FC236}">
              <a16:creationId xmlns:a16="http://schemas.microsoft.com/office/drawing/2014/main" id="{DFD668B4-566E-4D04-2413-3EC898F7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7325975"/>
          <a:ext cx="393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49</xdr:row>
      <xdr:rowOff>104775</xdr:rowOff>
    </xdr:from>
    <xdr:to>
      <xdr:col>6</xdr:col>
      <xdr:colOff>104775</xdr:colOff>
      <xdr:row>52</xdr:row>
      <xdr:rowOff>190501</xdr:rowOff>
    </xdr:to>
    <xdr:pic>
      <xdr:nvPicPr>
        <xdr:cNvPr id="4125" name="Рисунок 1">
          <a:extLst>
            <a:ext uri="{FF2B5EF4-FFF2-40B4-BE49-F238E27FC236}">
              <a16:creationId xmlns:a16="http://schemas.microsoft.com/office/drawing/2014/main" id="{4779046C-C590-27E4-5CD6-112C82235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8900"/>
          <a:ext cx="6162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A730-6E99-409C-99A9-24EFC3E0256B}">
  <sheetPr>
    <pageSetUpPr fitToPage="1"/>
  </sheetPr>
  <dimension ref="A1:U84"/>
  <sheetViews>
    <sheetView tabSelected="1" topLeftCell="A54" zoomScale="70" zoomScaleNormal="70" workbookViewId="0">
      <selection activeCell="J89" sqref="J89"/>
    </sheetView>
  </sheetViews>
  <sheetFormatPr defaultRowHeight="15.75"/>
  <cols>
    <col min="1" max="1" width="21.42578125" style="2" customWidth="1"/>
    <col min="2" max="2" width="9.85546875" style="2" customWidth="1"/>
    <col min="3" max="3" width="8.28515625" style="2" customWidth="1"/>
    <col min="4" max="4" width="21.7109375" style="2" customWidth="1"/>
    <col min="5" max="5" width="9" style="2" customWidth="1"/>
    <col min="6" max="6" width="20.5703125" style="2" customWidth="1"/>
    <col min="7" max="7" width="13.28515625" style="2" customWidth="1"/>
    <col min="8" max="8" width="22" style="2" customWidth="1"/>
    <col min="9" max="9" width="6.140625" style="2" customWidth="1"/>
    <col min="10" max="10" width="31.140625" style="2" customWidth="1"/>
    <col min="11" max="11" width="17.28515625" style="2" customWidth="1"/>
    <col min="12" max="12" width="15.42578125" style="2" customWidth="1"/>
    <col min="13" max="13" width="16.42578125" style="2" customWidth="1"/>
    <col min="14" max="14" width="15.28515625" style="2" customWidth="1"/>
    <col min="15" max="15" width="9.140625" style="2"/>
    <col min="16" max="16" width="11.140625" style="2" bestFit="1" customWidth="1"/>
    <col min="17" max="16384" width="9.140625" style="2"/>
  </cols>
  <sheetData>
    <row r="1" spans="1:16">
      <c r="A1" s="54" t="s">
        <v>64</v>
      </c>
      <c r="B1" s="54"/>
      <c r="C1" s="54"/>
      <c r="D1" s="54"/>
      <c r="E1" s="54"/>
      <c r="F1" s="54"/>
      <c r="G1" s="54"/>
      <c r="H1" s="54"/>
      <c r="I1" s="54"/>
      <c r="J1" s="54"/>
    </row>
    <row r="3" spans="1:16">
      <c r="A3" s="3" t="s">
        <v>65</v>
      </c>
      <c r="B3" s="47" t="s">
        <v>104</v>
      </c>
      <c r="C3" s="48"/>
      <c r="D3" s="48"/>
      <c r="E3" s="48"/>
      <c r="F3" s="48"/>
      <c r="G3" s="48"/>
      <c r="H3" s="48"/>
      <c r="I3" s="48"/>
      <c r="J3" s="48"/>
    </row>
    <row r="4" spans="1:16" ht="47.25">
      <c r="A4" s="3" t="s">
        <v>66</v>
      </c>
      <c r="B4" s="48" t="s">
        <v>103</v>
      </c>
      <c r="C4" s="48"/>
      <c r="D4" s="48"/>
      <c r="E4" s="48"/>
      <c r="F4" s="48"/>
      <c r="G4" s="48"/>
      <c r="H4" s="48"/>
      <c r="I4" s="48"/>
      <c r="J4" s="48"/>
    </row>
    <row r="5" spans="1:16" ht="35.25" customHeight="1">
      <c r="A5" s="3" t="s">
        <v>76</v>
      </c>
      <c r="B5" s="55" t="s">
        <v>105</v>
      </c>
      <c r="C5" s="56"/>
      <c r="D5" s="56"/>
      <c r="E5" s="56"/>
      <c r="F5" s="56"/>
      <c r="G5" s="56"/>
      <c r="H5" s="56"/>
      <c r="I5" s="56"/>
      <c r="J5" s="57"/>
    </row>
    <row r="6" spans="1:16" ht="80.25" customHeight="1">
      <c r="A6" s="3" t="s">
        <v>67</v>
      </c>
      <c r="B6" s="48" t="s">
        <v>77</v>
      </c>
      <c r="C6" s="48"/>
      <c r="D6" s="48"/>
      <c r="E6" s="48"/>
      <c r="F6" s="48"/>
      <c r="G6" s="48"/>
      <c r="H6" s="48"/>
      <c r="I6" s="48"/>
      <c r="J6" s="48"/>
    </row>
    <row r="7" spans="1:16">
      <c r="A7" s="4"/>
      <c r="B7" s="5"/>
      <c r="C7" s="5"/>
      <c r="D7" s="5"/>
      <c r="E7" s="5"/>
      <c r="F7" s="5"/>
      <c r="G7" s="5"/>
      <c r="H7" s="5"/>
      <c r="I7" s="5"/>
      <c r="J7" s="5"/>
    </row>
    <row r="8" spans="1:16" hidden="1">
      <c r="A8" s="6" t="s">
        <v>47</v>
      </c>
      <c r="B8" s="50" t="s">
        <v>40</v>
      </c>
      <c r="C8" s="50"/>
      <c r="D8" s="50"/>
      <c r="E8" s="50"/>
      <c r="F8" s="50"/>
      <c r="G8" s="7"/>
    </row>
    <row r="9" spans="1:16">
      <c r="A9" s="2" t="s">
        <v>68</v>
      </c>
      <c r="M9" s="32"/>
    </row>
    <row r="10" spans="1:16" ht="42" customHeight="1">
      <c r="A10" s="9" t="s">
        <v>13</v>
      </c>
      <c r="B10" s="51" t="s">
        <v>14</v>
      </c>
      <c r="C10" s="51"/>
      <c r="D10" s="51"/>
      <c r="E10" s="51"/>
      <c r="F10" s="51" t="s">
        <v>15</v>
      </c>
      <c r="G10" s="51"/>
      <c r="H10" s="51"/>
      <c r="I10" s="10" t="s">
        <v>16</v>
      </c>
      <c r="K10" s="63">
        <v>24</v>
      </c>
      <c r="L10" s="10"/>
      <c r="M10" s="10"/>
    </row>
    <row r="11" spans="1:16" s="7" customFormat="1" ht="18.75" customHeight="1">
      <c r="A11" s="11" t="s">
        <v>41</v>
      </c>
      <c r="B11" s="48" t="s">
        <v>78</v>
      </c>
      <c r="C11" s="48"/>
      <c r="D11" s="48"/>
      <c r="E11" s="48"/>
      <c r="F11" s="43"/>
      <c r="G11" s="43"/>
      <c r="H11" s="43"/>
      <c r="I11" s="12" t="s">
        <v>17</v>
      </c>
      <c r="K11" s="13">
        <v>1</v>
      </c>
      <c r="L11" s="13"/>
      <c r="M11" s="13"/>
    </row>
    <row r="12" spans="1:16" ht="32.25" customHeight="1">
      <c r="A12" s="11" t="s">
        <v>0</v>
      </c>
      <c r="B12" s="40" t="s">
        <v>63</v>
      </c>
      <c r="C12" s="41"/>
      <c r="D12" s="41"/>
      <c r="E12" s="42"/>
      <c r="F12" s="52" t="s">
        <v>86</v>
      </c>
      <c r="G12" s="52"/>
      <c r="H12" s="52"/>
      <c r="I12" s="12" t="s">
        <v>3</v>
      </c>
      <c r="K12" s="34">
        <v>26928</v>
      </c>
      <c r="L12" s="34"/>
      <c r="M12" s="34"/>
      <c r="P12" s="23"/>
    </row>
    <row r="13" spans="1:16" ht="84" customHeight="1">
      <c r="A13" s="15" t="s">
        <v>1</v>
      </c>
      <c r="B13" s="53" t="s">
        <v>2</v>
      </c>
      <c r="C13" s="53"/>
      <c r="D13" s="53"/>
      <c r="E13" s="53"/>
      <c r="F13" s="44" t="s">
        <v>18</v>
      </c>
      <c r="G13" s="44"/>
      <c r="H13" s="44"/>
      <c r="I13" s="12" t="s">
        <v>4</v>
      </c>
      <c r="K13" s="12">
        <v>100</v>
      </c>
      <c r="L13" s="12"/>
      <c r="M13" s="12"/>
    </row>
    <row r="14" spans="1:16">
      <c r="A14" s="11" t="s">
        <v>5</v>
      </c>
      <c r="B14" s="46" t="s">
        <v>6</v>
      </c>
      <c r="C14" s="46"/>
      <c r="D14" s="46"/>
      <c r="E14" s="46"/>
      <c r="F14" s="46" t="s">
        <v>7</v>
      </c>
      <c r="G14" s="46"/>
      <c r="H14" s="46"/>
      <c r="I14" s="12" t="s">
        <v>4</v>
      </c>
      <c r="K14" s="12">
        <v>20</v>
      </c>
      <c r="L14" s="12"/>
      <c r="M14" s="12"/>
    </row>
    <row r="15" spans="1:16">
      <c r="A15" s="11" t="s">
        <v>9</v>
      </c>
      <c r="B15" s="46" t="s">
        <v>10</v>
      </c>
      <c r="C15" s="46"/>
      <c r="D15" s="46"/>
      <c r="E15" s="46"/>
      <c r="F15" s="46" t="s">
        <v>7</v>
      </c>
      <c r="G15" s="46"/>
      <c r="H15" s="46"/>
      <c r="I15" s="12" t="s">
        <v>4</v>
      </c>
      <c r="K15" s="12">
        <v>30.2</v>
      </c>
      <c r="L15" s="12"/>
      <c r="M15" s="12"/>
    </row>
    <row r="16" spans="1:16" ht="30" customHeight="1">
      <c r="A16" s="15" t="s">
        <v>46</v>
      </c>
      <c r="B16" s="46" t="s">
        <v>8</v>
      </c>
      <c r="C16" s="46"/>
      <c r="D16" s="46"/>
      <c r="E16" s="46"/>
      <c r="F16" s="44" t="s">
        <v>93</v>
      </c>
      <c r="G16" s="44"/>
      <c r="H16" s="44"/>
      <c r="I16" s="12" t="s">
        <v>42</v>
      </c>
      <c r="K16" s="12">
        <f>K17+K18+K19+K20</f>
        <v>1.6496000000000002</v>
      </c>
      <c r="L16" s="12"/>
      <c r="M16" s="12"/>
    </row>
    <row r="17" spans="1:21">
      <c r="A17" s="15" t="s">
        <v>43</v>
      </c>
      <c r="B17" s="46" t="s">
        <v>8</v>
      </c>
      <c r="C17" s="46"/>
      <c r="D17" s="46"/>
      <c r="E17" s="46"/>
      <c r="F17" s="45" t="s">
        <v>79</v>
      </c>
      <c r="G17" s="45"/>
      <c r="H17" s="45"/>
      <c r="I17" s="12" t="s">
        <v>42</v>
      </c>
      <c r="K17" s="13">
        <f>2-0.0417*12</f>
        <v>1.4996</v>
      </c>
      <c r="L17" s="13"/>
      <c r="M17" s="13"/>
    </row>
    <row r="18" spans="1:21" ht="48" customHeight="1">
      <c r="A18" s="15" t="s">
        <v>44</v>
      </c>
      <c r="B18" s="46" t="s">
        <v>8</v>
      </c>
      <c r="C18" s="46"/>
      <c r="D18" s="46"/>
      <c r="E18" s="46"/>
      <c r="F18" s="44" t="s">
        <v>59</v>
      </c>
      <c r="G18" s="45"/>
      <c r="H18" s="45"/>
      <c r="I18" s="12" t="s">
        <v>42</v>
      </c>
      <c r="K18" s="12">
        <v>0.05</v>
      </c>
      <c r="L18" s="12"/>
      <c r="M18" s="12"/>
    </row>
    <row r="19" spans="1:21" ht="72" customHeight="1">
      <c r="A19" s="15" t="s">
        <v>45</v>
      </c>
      <c r="B19" s="46" t="s">
        <v>8</v>
      </c>
      <c r="C19" s="46"/>
      <c r="D19" s="46"/>
      <c r="E19" s="46"/>
      <c r="F19" s="44" t="s">
        <v>98</v>
      </c>
      <c r="G19" s="45"/>
      <c r="H19" s="45"/>
      <c r="I19" s="12" t="s">
        <v>42</v>
      </c>
      <c r="K19" s="12">
        <v>0</v>
      </c>
      <c r="L19" s="12"/>
      <c r="M19" s="12"/>
    </row>
    <row r="20" spans="1:21" ht="115.5" customHeight="1">
      <c r="A20" s="15" t="s">
        <v>45</v>
      </c>
      <c r="B20" s="46" t="s">
        <v>8</v>
      </c>
      <c r="C20" s="46"/>
      <c r="D20" s="46"/>
      <c r="E20" s="46"/>
      <c r="F20" s="44" t="s">
        <v>99</v>
      </c>
      <c r="G20" s="45"/>
      <c r="H20" s="45"/>
      <c r="I20" s="12" t="s">
        <v>42</v>
      </c>
      <c r="K20" s="12">
        <v>0.1</v>
      </c>
      <c r="L20" s="12"/>
      <c r="M20" s="12"/>
    </row>
    <row r="21" spans="1:21" ht="30" hidden="1" customHeight="1">
      <c r="A21" s="15" t="s">
        <v>47</v>
      </c>
      <c r="B21" s="46" t="s">
        <v>8</v>
      </c>
      <c r="C21" s="46"/>
      <c r="D21" s="46"/>
      <c r="E21" s="46"/>
      <c r="F21" s="44" t="s">
        <v>94</v>
      </c>
      <c r="G21" s="44"/>
      <c r="H21" s="44"/>
      <c r="I21" s="12" t="s">
        <v>42</v>
      </c>
      <c r="K21" s="12">
        <f>1.67+0.35</f>
        <v>2.02</v>
      </c>
      <c r="L21" s="12"/>
      <c r="M21" s="12"/>
      <c r="U21" s="2" t="s">
        <v>96</v>
      </c>
    </row>
    <row r="22" spans="1:21" ht="33" hidden="1" customHeight="1">
      <c r="A22" s="15" t="s">
        <v>43</v>
      </c>
      <c r="B22" s="46" t="s">
        <v>8</v>
      </c>
      <c r="C22" s="46"/>
      <c r="D22" s="46"/>
      <c r="E22" s="46"/>
      <c r="F22" s="44" t="s">
        <v>95</v>
      </c>
      <c r="G22" s="44"/>
      <c r="H22" s="44"/>
      <c r="I22" s="12" t="s">
        <v>42</v>
      </c>
      <c r="K22" s="14">
        <f>2-(0.0417*8)</f>
        <v>1.6663999999999999</v>
      </c>
      <c r="L22" s="14"/>
      <c r="M22" s="14"/>
      <c r="U22" s="2" t="s">
        <v>97</v>
      </c>
    </row>
    <row r="23" spans="1:21" ht="28.5" hidden="1" customHeight="1">
      <c r="A23" s="15" t="s">
        <v>44</v>
      </c>
      <c r="B23" s="46" t="s">
        <v>8</v>
      </c>
      <c r="C23" s="46"/>
      <c r="D23" s="46"/>
      <c r="E23" s="46"/>
      <c r="F23" s="44" t="s">
        <v>60</v>
      </c>
      <c r="G23" s="45"/>
      <c r="H23" s="45"/>
      <c r="I23" s="12" t="s">
        <v>42</v>
      </c>
      <c r="K23" s="12">
        <v>0</v>
      </c>
      <c r="L23" s="12"/>
      <c r="M23" s="12"/>
    </row>
    <row r="24" spans="1:21" ht="45.75" hidden="1" customHeight="1">
      <c r="A24" s="15" t="s">
        <v>45</v>
      </c>
      <c r="B24" s="46" t="s">
        <v>8</v>
      </c>
      <c r="C24" s="46"/>
      <c r="D24" s="46"/>
      <c r="E24" s="46"/>
      <c r="F24" s="44" t="s">
        <v>62</v>
      </c>
      <c r="G24" s="45"/>
      <c r="H24" s="45"/>
      <c r="I24" s="12" t="s">
        <v>42</v>
      </c>
      <c r="K24" s="12">
        <v>0.3</v>
      </c>
      <c r="L24" s="12"/>
      <c r="M24" s="12"/>
    </row>
    <row r="25" spans="1:21" ht="45.75" hidden="1" customHeight="1">
      <c r="A25" s="15" t="s">
        <v>45</v>
      </c>
      <c r="B25" s="46" t="s">
        <v>8</v>
      </c>
      <c r="C25" s="46"/>
      <c r="D25" s="46"/>
      <c r="E25" s="46"/>
      <c r="F25" s="44" t="s">
        <v>61</v>
      </c>
      <c r="G25" s="45"/>
      <c r="H25" s="45"/>
      <c r="I25" s="12" t="s">
        <v>42</v>
      </c>
      <c r="K25" s="12">
        <v>0.1</v>
      </c>
      <c r="L25" s="12"/>
      <c r="M25" s="12"/>
    </row>
    <row r="26" spans="1:21" ht="15" customHeight="1">
      <c r="A26" s="11" t="s">
        <v>19</v>
      </c>
      <c r="B26" s="46" t="s">
        <v>11</v>
      </c>
      <c r="C26" s="46"/>
      <c r="D26" s="46"/>
      <c r="E26" s="46"/>
      <c r="F26" s="52"/>
      <c r="G26" s="52"/>
      <c r="H26" s="52"/>
      <c r="I26" s="12" t="s">
        <v>20</v>
      </c>
      <c r="K26" s="13">
        <v>3672</v>
      </c>
      <c r="L26" s="13"/>
      <c r="M26" s="13"/>
      <c r="N26" s="31">
        <f>K26+L26+M26</f>
        <v>3672</v>
      </c>
      <c r="O26" s="25" t="s">
        <v>92</v>
      </c>
    </row>
    <row r="27" spans="1:21" ht="40.5" customHeight="1">
      <c r="A27" s="11" t="s">
        <v>12</v>
      </c>
      <c r="B27" s="46" t="s">
        <v>21</v>
      </c>
      <c r="C27" s="46"/>
      <c r="D27" s="46"/>
      <c r="E27" s="46"/>
      <c r="F27" s="58" t="s">
        <v>100</v>
      </c>
      <c r="G27" s="58"/>
      <c r="H27" s="58"/>
      <c r="I27" s="12" t="s">
        <v>20</v>
      </c>
      <c r="K27" s="13">
        <v>164.92</v>
      </c>
      <c r="L27" s="13"/>
      <c r="M27" s="13"/>
    </row>
    <row r="30" spans="1:21">
      <c r="A30" s="2" t="s">
        <v>69</v>
      </c>
    </row>
    <row r="33" spans="1:13" ht="31.5">
      <c r="A33" s="16" t="s">
        <v>22</v>
      </c>
      <c r="B33" s="51" t="s">
        <v>14</v>
      </c>
      <c r="C33" s="51"/>
      <c r="D33" s="51"/>
      <c r="E33" s="51" t="s">
        <v>37</v>
      </c>
      <c r="F33" s="51"/>
      <c r="G33" s="51" t="s">
        <v>34</v>
      </c>
      <c r="H33" s="51"/>
      <c r="I33" s="51"/>
      <c r="K33" s="10" t="s">
        <v>80</v>
      </c>
      <c r="L33" s="10"/>
      <c r="M33" s="10"/>
    </row>
    <row r="34" spans="1:13" ht="15" customHeight="1">
      <c r="A34" s="17" t="s">
        <v>23</v>
      </c>
      <c r="B34" s="49" t="s">
        <v>24</v>
      </c>
      <c r="C34" s="38"/>
      <c r="D34" s="38"/>
      <c r="E34" s="38" t="s">
        <v>28</v>
      </c>
      <c r="F34" s="38"/>
      <c r="G34" s="49"/>
      <c r="H34" s="49"/>
      <c r="I34" s="49"/>
      <c r="K34" s="18">
        <f>K12/K27</f>
        <v>163.27916565607569</v>
      </c>
      <c r="L34" s="18"/>
      <c r="M34" s="18"/>
    </row>
    <row r="35" spans="1:13" ht="36" customHeight="1">
      <c r="A35" s="38" t="s">
        <v>25</v>
      </c>
      <c r="B35" s="49" t="s">
        <v>90</v>
      </c>
      <c r="C35" s="49"/>
      <c r="D35" s="49"/>
      <c r="E35" s="38" t="s">
        <v>38</v>
      </c>
      <c r="F35" s="38"/>
      <c r="G35" s="39" t="s">
        <v>89</v>
      </c>
      <c r="H35" s="39"/>
      <c r="I35" s="39"/>
      <c r="K35" s="35">
        <v>0</v>
      </c>
      <c r="L35" s="35"/>
      <c r="M35" s="35"/>
    </row>
    <row r="36" spans="1:13" ht="3" hidden="1" customHeight="1">
      <c r="A36" s="38"/>
      <c r="B36" s="49"/>
      <c r="C36" s="49"/>
      <c r="D36" s="49"/>
      <c r="E36" s="38"/>
      <c r="F36" s="38"/>
      <c r="G36" s="39"/>
      <c r="H36" s="39"/>
      <c r="I36" s="39"/>
      <c r="K36" s="36"/>
      <c r="L36" s="36"/>
      <c r="M36" s="36"/>
    </row>
    <row r="37" spans="1:13" ht="27" hidden="1" customHeight="1">
      <c r="A37" s="38"/>
      <c r="B37" s="49"/>
      <c r="C37" s="49"/>
      <c r="D37" s="49"/>
      <c r="E37" s="38"/>
      <c r="F37" s="38"/>
      <c r="G37" s="39"/>
      <c r="H37" s="39"/>
      <c r="I37" s="39"/>
      <c r="K37" s="36"/>
      <c r="L37" s="36"/>
      <c r="M37" s="36"/>
    </row>
    <row r="38" spans="1:13" ht="45" customHeight="1">
      <c r="A38" s="17" t="s">
        <v>48</v>
      </c>
      <c r="B38" s="49" t="s">
        <v>91</v>
      </c>
      <c r="C38" s="49"/>
      <c r="D38" s="49"/>
      <c r="E38" s="38" t="s">
        <v>39</v>
      </c>
      <c r="F38" s="38"/>
      <c r="G38" s="39"/>
      <c r="H38" s="39"/>
      <c r="I38" s="39"/>
      <c r="K38" s="18">
        <f>K34/K26</f>
        <v>4.4466003718974863E-2</v>
      </c>
      <c r="L38" s="18"/>
      <c r="M38" s="18"/>
    </row>
    <row r="39" spans="1:13" ht="45" hidden="1" customHeight="1">
      <c r="A39" s="38" t="s">
        <v>49</v>
      </c>
      <c r="B39" s="49" t="s">
        <v>51</v>
      </c>
      <c r="C39" s="49"/>
      <c r="D39" s="49"/>
      <c r="E39" s="38" t="s">
        <v>50</v>
      </c>
      <c r="F39" s="38"/>
      <c r="G39" s="39" t="s">
        <v>52</v>
      </c>
      <c r="H39" s="39"/>
      <c r="I39" s="39"/>
      <c r="K39" s="35">
        <v>40.51</v>
      </c>
      <c r="L39" s="35"/>
      <c r="M39" s="35"/>
    </row>
    <row r="40" spans="1:13" ht="30.75" hidden="1" customHeight="1">
      <c r="A40" s="38"/>
      <c r="B40" s="49"/>
      <c r="C40" s="49"/>
      <c r="D40" s="49"/>
      <c r="E40" s="38"/>
      <c r="F40" s="38"/>
      <c r="G40" s="39" t="s">
        <v>53</v>
      </c>
      <c r="H40" s="39"/>
      <c r="I40" s="39"/>
      <c r="K40" s="36"/>
      <c r="L40" s="36"/>
      <c r="M40" s="36"/>
    </row>
    <row r="41" spans="1:13" ht="75.75" hidden="1" customHeight="1">
      <c r="A41" s="38"/>
      <c r="B41" s="49"/>
      <c r="C41" s="49"/>
      <c r="D41" s="49"/>
      <c r="E41" s="38"/>
      <c r="F41" s="38"/>
      <c r="G41" s="39" t="s">
        <v>54</v>
      </c>
      <c r="H41" s="39"/>
      <c r="I41" s="39"/>
      <c r="K41" s="37"/>
      <c r="L41" s="37"/>
      <c r="M41" s="37"/>
    </row>
    <row r="42" spans="1:13" ht="15" customHeight="1">
      <c r="A42" s="17" t="s">
        <v>26</v>
      </c>
      <c r="B42" s="38" t="s">
        <v>27</v>
      </c>
      <c r="C42" s="38"/>
      <c r="D42" s="38"/>
      <c r="E42" s="38" t="s">
        <v>35</v>
      </c>
      <c r="F42" s="38"/>
      <c r="G42" s="39"/>
      <c r="H42" s="39"/>
      <c r="I42" s="39"/>
      <c r="K42" s="19">
        <f>K34/12</f>
        <v>13.606597138006308</v>
      </c>
      <c r="L42" s="19"/>
      <c r="M42" s="19"/>
    </row>
    <row r="43" spans="1:13" ht="30" customHeight="1">
      <c r="A43" s="17" t="s">
        <v>29</v>
      </c>
      <c r="B43" s="38" t="s">
        <v>30</v>
      </c>
      <c r="C43" s="38"/>
      <c r="D43" s="38"/>
      <c r="E43" s="38" t="s">
        <v>36</v>
      </c>
      <c r="F43" s="38"/>
      <c r="G43" s="39"/>
      <c r="H43" s="39"/>
      <c r="I43" s="39"/>
      <c r="K43" s="19">
        <f>(K34+K35+K38+K42)*30.2%</f>
        <v>53.432929096935887</v>
      </c>
      <c r="L43" s="19"/>
      <c r="M43" s="19"/>
    </row>
    <row r="44" spans="1:13">
      <c r="K44" s="20"/>
      <c r="L44" s="20"/>
      <c r="M44" s="20"/>
    </row>
    <row r="45" spans="1:13">
      <c r="A45" s="2" t="s">
        <v>81</v>
      </c>
      <c r="G45" s="21" t="s">
        <v>55</v>
      </c>
      <c r="K45" s="22">
        <f>(K34+K35+K38+K42+K43)*K16</f>
        <v>380.00706526315793</v>
      </c>
      <c r="L45" s="22"/>
      <c r="M45" s="22"/>
    </row>
    <row r="46" spans="1:13" hidden="1">
      <c r="A46" s="2" t="s">
        <v>57</v>
      </c>
      <c r="G46" s="21" t="s">
        <v>55</v>
      </c>
      <c r="K46" s="20" t="s">
        <v>56</v>
      </c>
      <c r="L46" s="20"/>
      <c r="M46" s="20"/>
    </row>
    <row r="47" spans="1:13">
      <c r="G47" s="21"/>
      <c r="K47" s="24" t="s">
        <v>87</v>
      </c>
      <c r="L47" s="24"/>
      <c r="M47" s="24"/>
    </row>
    <row r="48" spans="1:13">
      <c r="G48" s="21"/>
      <c r="H48" s="23"/>
    </row>
    <row r="49" spans="1:13">
      <c r="A49" s="25" t="s">
        <v>70</v>
      </c>
    </row>
    <row r="54" spans="1:13">
      <c r="A54" s="25" t="s">
        <v>71</v>
      </c>
    </row>
    <row r="59" spans="1:13">
      <c r="A59" s="25" t="s">
        <v>82</v>
      </c>
      <c r="E59" s="23"/>
      <c r="K59" s="22">
        <f>(K45*K26)*K11</f>
        <v>1395385.943646316</v>
      </c>
      <c r="L59" s="22"/>
      <c r="M59" s="22"/>
    </row>
    <row r="60" spans="1:13">
      <c r="F60" s="23"/>
      <c r="K60" s="26" t="s">
        <v>88</v>
      </c>
      <c r="L60" s="26"/>
      <c r="M60" s="26"/>
    </row>
    <row r="61" spans="1:13">
      <c r="A61" s="25" t="s">
        <v>72</v>
      </c>
    </row>
    <row r="62" spans="1:13">
      <c r="A62" s="25" t="s">
        <v>31</v>
      </c>
      <c r="C62" s="1" t="s">
        <v>32</v>
      </c>
    </row>
    <row r="64" spans="1:13" ht="16.5" customHeight="1">
      <c r="A64" s="25" t="s">
        <v>83</v>
      </c>
      <c r="B64" s="8"/>
      <c r="C64" s="23"/>
      <c r="D64" s="2" t="s">
        <v>55</v>
      </c>
      <c r="K64" s="22">
        <f>K59*0.2</f>
        <v>279077.1887292632</v>
      </c>
      <c r="L64" s="22"/>
      <c r="M64" s="22"/>
    </row>
    <row r="65" spans="1:13" ht="12.75" customHeight="1">
      <c r="K65" s="24" t="s">
        <v>88</v>
      </c>
      <c r="L65" s="24"/>
      <c r="M65" s="24"/>
    </row>
    <row r="66" spans="1:13">
      <c r="A66" s="25" t="s">
        <v>73</v>
      </c>
    </row>
    <row r="67" spans="1:13">
      <c r="A67" s="27" t="s">
        <v>33</v>
      </c>
    </row>
    <row r="69" spans="1:13">
      <c r="A69" s="25" t="s">
        <v>84</v>
      </c>
      <c r="D69" s="2" t="s">
        <v>55</v>
      </c>
      <c r="K69" s="22">
        <f>(K59+K64)*0.05</f>
        <v>83723.156618778958</v>
      </c>
      <c r="L69" s="22"/>
      <c r="M69" s="22"/>
    </row>
    <row r="70" spans="1:13">
      <c r="K70" s="24" t="s">
        <v>88</v>
      </c>
      <c r="L70" s="24"/>
      <c r="M70" s="24"/>
    </row>
    <row r="71" spans="1:13">
      <c r="A71" s="25" t="s">
        <v>74</v>
      </c>
    </row>
    <row r="73" spans="1:13">
      <c r="A73" s="25" t="s">
        <v>85</v>
      </c>
      <c r="C73" s="1"/>
      <c r="D73" s="23" t="s">
        <v>55</v>
      </c>
      <c r="G73" s="23"/>
      <c r="K73" s="24">
        <f>(K59+K64+K69)*(K13/100)+((K59+K64+K69)*(K13/100))*20%</f>
        <v>2109823.5467932299</v>
      </c>
      <c r="L73" s="24"/>
      <c r="M73" s="24"/>
    </row>
    <row r="74" spans="1:13">
      <c r="K74" s="26" t="s">
        <v>88</v>
      </c>
      <c r="L74" s="26"/>
      <c r="M74" s="26"/>
    </row>
    <row r="75" spans="1:13" ht="16.5" thickBot="1">
      <c r="A75" s="25"/>
      <c r="B75" s="1"/>
      <c r="C75" s="28"/>
      <c r="D75" s="28"/>
    </row>
    <row r="76" spans="1:13" ht="16.5" thickBot="1">
      <c r="A76" s="25" t="s">
        <v>58</v>
      </c>
      <c r="J76" s="59">
        <f>SUM(K73:M73)</f>
        <v>2109823.5467932299</v>
      </c>
      <c r="L76" s="33"/>
    </row>
    <row r="77" spans="1:13">
      <c r="A77" s="29" t="s">
        <v>75</v>
      </c>
      <c r="D77" s="30">
        <v>45867</v>
      </c>
    </row>
    <row r="80" spans="1:13">
      <c r="J80" s="2" t="s">
        <v>102</v>
      </c>
      <c r="K80" s="2">
        <f>K73/K26</f>
        <v>574.57068267789487</v>
      </c>
    </row>
    <row r="81" spans="2:13" ht="16.5" thickBot="1">
      <c r="J81" s="2" t="s">
        <v>101</v>
      </c>
      <c r="K81" s="2">
        <v>574.57000000000005</v>
      </c>
    </row>
    <row r="82" spans="2:13" ht="16.5" thickBot="1">
      <c r="J82" s="60">
        <f>K82+L82+M82</f>
        <v>2109821.04</v>
      </c>
      <c r="K82" s="2">
        <f>K81*K26</f>
        <v>2109821.04</v>
      </c>
      <c r="L82" s="2">
        <f>L81*L26</f>
        <v>0</v>
      </c>
      <c r="M82" s="2">
        <f>M81*M26</f>
        <v>0</v>
      </c>
    </row>
    <row r="84" spans="2:13" ht="78" customHeight="1">
      <c r="B84" s="61" t="s">
        <v>106</v>
      </c>
      <c r="C84" s="62"/>
      <c r="D84" s="62"/>
      <c r="E84" s="62"/>
      <c r="F84" s="62"/>
      <c r="G84" s="62"/>
      <c r="H84" s="62"/>
      <c r="I84" s="62"/>
      <c r="J84" s="62"/>
      <c r="K84" s="62"/>
    </row>
  </sheetData>
  <mergeCells count="76">
    <mergeCell ref="B84:K84"/>
    <mergeCell ref="B26:E26"/>
    <mergeCell ref="K39:K41"/>
    <mergeCell ref="F25:H25"/>
    <mergeCell ref="F16:H16"/>
    <mergeCell ref="G37:I37"/>
    <mergeCell ref="F27:H27"/>
    <mergeCell ref="F21:H21"/>
    <mergeCell ref="B17:E17"/>
    <mergeCell ref="F17:H17"/>
    <mergeCell ref="B24:E24"/>
    <mergeCell ref="A1:J1"/>
    <mergeCell ref="B5:J5"/>
    <mergeCell ref="G35:I35"/>
    <mergeCell ref="B25:E25"/>
    <mergeCell ref="F20:H20"/>
    <mergeCell ref="A35:A37"/>
    <mergeCell ref="B27:E27"/>
    <mergeCell ref="F26:H26"/>
    <mergeCell ref="B35:D37"/>
    <mergeCell ref="E34:F34"/>
    <mergeCell ref="A39:A41"/>
    <mergeCell ref="B39:D41"/>
    <mergeCell ref="E39:F41"/>
    <mergeCell ref="G39:I39"/>
    <mergeCell ref="B38:D38"/>
    <mergeCell ref="G40:I40"/>
    <mergeCell ref="F18:H18"/>
    <mergeCell ref="G36:I36"/>
    <mergeCell ref="B14:E14"/>
    <mergeCell ref="B13:E13"/>
    <mergeCell ref="F14:H14"/>
    <mergeCell ref="B33:D33"/>
    <mergeCell ref="F15:H15"/>
    <mergeCell ref="B16:E16"/>
    <mergeCell ref="B15:E15"/>
    <mergeCell ref="F19:H19"/>
    <mergeCell ref="B18:E18"/>
    <mergeCell ref="E33:F33"/>
    <mergeCell ref="E43:F43"/>
    <mergeCell ref="G42:I42"/>
    <mergeCell ref="G38:I38"/>
    <mergeCell ref="G34:I34"/>
    <mergeCell ref="G41:I41"/>
    <mergeCell ref="E38:F38"/>
    <mergeCell ref="E35:F37"/>
    <mergeCell ref="G33:I33"/>
    <mergeCell ref="B3:J3"/>
    <mergeCell ref="B4:J4"/>
    <mergeCell ref="B6:J6"/>
    <mergeCell ref="B34:D34"/>
    <mergeCell ref="B8:F8"/>
    <mergeCell ref="B23:E23"/>
    <mergeCell ref="B10:E10"/>
    <mergeCell ref="F10:H10"/>
    <mergeCell ref="B11:E11"/>
    <mergeCell ref="F12:H12"/>
    <mergeCell ref="B12:E12"/>
    <mergeCell ref="F11:H11"/>
    <mergeCell ref="F24:H24"/>
    <mergeCell ref="B19:E19"/>
    <mergeCell ref="F22:H22"/>
    <mergeCell ref="B20:E20"/>
    <mergeCell ref="F23:H23"/>
    <mergeCell ref="B21:E21"/>
    <mergeCell ref="F13:H13"/>
    <mergeCell ref="B22:E22"/>
    <mergeCell ref="L35:L37"/>
    <mergeCell ref="M35:M37"/>
    <mergeCell ref="M39:M41"/>
    <mergeCell ref="L39:L41"/>
    <mergeCell ref="B43:D43"/>
    <mergeCell ref="E42:F42"/>
    <mergeCell ref="K35:K37"/>
    <mergeCell ref="B42:D42"/>
    <mergeCell ref="G43:I43"/>
  </mergeCells>
  <pageMargins left="0.25" right="0.25" top="0.75" bottom="0.75" header="0.3" footer="0.3"/>
  <pageSetup paperSize="9"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C7F6-8B49-4F38-9097-50858F4F8F4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Акимова Светлана Анатольевна</dc:creator>
  <cp:lastModifiedBy>Виталий Левин</cp:lastModifiedBy>
  <cp:lastPrinted>2022-11-29T09:18:57Z</cp:lastPrinted>
  <dcterms:created xsi:type="dcterms:W3CDTF">2021-03-02T13:37:08Z</dcterms:created>
  <dcterms:modified xsi:type="dcterms:W3CDTF">2025-07-29T09:05:33Z</dcterms:modified>
</cp:coreProperties>
</file>