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zakupki\ЗАКУПКИ\2026\44-ФЗ\ЕД.ПОСТАВЩИК\ЕАТ\В РАБОТЕ\Аптека\Разные группы\на размещение\"/>
    </mc:Choice>
  </mc:AlternateContent>
  <bookViews>
    <workbookView xWindow="4785" yWindow="660" windowWidth="10575" windowHeight="6675"/>
  </bookViews>
  <sheets>
    <sheet name="НМЦК" sheetId="1" r:id="rId1"/>
    <sheet name="Лист1" sheetId="10" r:id="rId2"/>
    <sheet name="кп" sheetId="9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5" i="1" l="1"/>
  <c r="X26" i="1" s="1"/>
  <c r="R158" i="10" l="1"/>
  <c r="P158" i="10"/>
  <c r="H158" i="10"/>
  <c r="L158" i="10" s="1"/>
  <c r="E16" i="9"/>
  <c r="U23" i="1"/>
  <c r="X13" i="1"/>
  <c r="X14" i="1"/>
  <c r="X15" i="1"/>
  <c r="X16" i="1"/>
  <c r="X17" i="1"/>
  <c r="X18" i="1"/>
  <c r="X19" i="1"/>
  <c r="X20" i="1"/>
  <c r="X21" i="1"/>
  <c r="X22" i="1"/>
  <c r="X23" i="1"/>
  <c r="X24" i="1"/>
  <c r="U12" i="1"/>
  <c r="U13" i="1"/>
  <c r="U14" i="1"/>
  <c r="U15" i="1"/>
  <c r="U16" i="1"/>
  <c r="U17" i="1"/>
  <c r="U18" i="1"/>
  <c r="U19" i="1"/>
  <c r="U20" i="1"/>
  <c r="U21" i="1"/>
  <c r="U22" i="1"/>
  <c r="U11" i="1"/>
  <c r="P159" i="10" l="1"/>
  <c r="P160" i="10" s="1"/>
  <c r="R159" i="10"/>
  <c r="R148" i="10"/>
  <c r="R147" i="10"/>
  <c r="P149" i="10"/>
  <c r="P148" i="10"/>
  <c r="P147" i="10"/>
  <c r="K147" i="10"/>
  <c r="H147" i="10"/>
  <c r="R135" i="10"/>
  <c r="P135" i="10"/>
  <c r="H135" i="10"/>
  <c r="K135" i="10" s="1"/>
  <c r="R126" i="10"/>
  <c r="P126" i="10"/>
  <c r="H126" i="10"/>
  <c r="L126" i="10" s="1"/>
  <c r="R117" i="10"/>
  <c r="P117" i="10"/>
  <c r="H117" i="10"/>
  <c r="K117" i="10" s="1"/>
  <c r="R106" i="10"/>
  <c r="P106" i="10"/>
  <c r="H106" i="10"/>
  <c r="K106" i="10" s="1"/>
  <c r="H97" i="10"/>
  <c r="L97" i="10" s="1"/>
  <c r="P97" i="10" s="1"/>
  <c r="P98" i="10" s="1"/>
  <c r="R89" i="10"/>
  <c r="P89" i="10"/>
  <c r="P90" i="10" s="1"/>
  <c r="P91" i="10" s="1"/>
  <c r="H89" i="10"/>
  <c r="K89" i="10" s="1"/>
  <c r="R90" i="10" s="1"/>
  <c r="P80" i="10"/>
  <c r="H80" i="10"/>
  <c r="K80" i="10" s="1"/>
  <c r="R70" i="10"/>
  <c r="R71" i="10" s="1"/>
  <c r="L70" i="10"/>
  <c r="P70" i="10" s="1"/>
  <c r="P71" i="10" s="1"/>
  <c r="R61" i="10"/>
  <c r="P61" i="10"/>
  <c r="H61" i="10"/>
  <c r="L61" i="10" s="1"/>
  <c r="R42" i="10"/>
  <c r="P42" i="10"/>
  <c r="H42" i="10"/>
  <c r="K42" i="10" s="1"/>
  <c r="R31" i="10"/>
  <c r="P31" i="10"/>
  <c r="H31" i="10"/>
  <c r="K31" i="10" s="1"/>
  <c r="R20" i="10"/>
  <c r="P20" i="10"/>
  <c r="H20" i="10"/>
  <c r="K20" i="10" s="1"/>
  <c r="R8" i="10"/>
  <c r="N8" i="10"/>
  <c r="H8" i="10"/>
  <c r="R118" i="10" l="1"/>
  <c r="P118" i="10"/>
  <c r="P119" i="10" s="1"/>
  <c r="R127" i="10"/>
  <c r="P136" i="10"/>
  <c r="P137" i="10" s="1"/>
  <c r="P127" i="10"/>
  <c r="P128" i="10" s="1"/>
  <c r="R136" i="10"/>
  <c r="P81" i="10"/>
  <c r="P82" i="10" s="1"/>
  <c r="R62" i="10"/>
  <c r="P107" i="10"/>
  <c r="P108" i="10" s="1"/>
  <c r="P62" i="10"/>
  <c r="P63" i="10" s="1"/>
  <c r="R107" i="10"/>
  <c r="R21" i="10"/>
  <c r="P21" i="10"/>
  <c r="P22" i="10" s="1"/>
  <c r="P43" i="10"/>
  <c r="P44" i="10" s="1"/>
  <c r="R43" i="10"/>
  <c r="P8" i="10"/>
  <c r="P32" i="10"/>
  <c r="P33" i="10" s="1"/>
  <c r="Q31" i="10"/>
  <c r="M4" i="9"/>
  <c r="M5" i="9"/>
  <c r="M6" i="9"/>
  <c r="M7" i="9"/>
  <c r="M8" i="9"/>
  <c r="J17" i="1" s="1"/>
  <c r="M9" i="9"/>
  <c r="J18" i="1" s="1"/>
  <c r="M10" i="9"/>
  <c r="J19" i="1" s="1"/>
  <c r="M11" i="9"/>
  <c r="J20" i="1" s="1"/>
  <c r="M12" i="9"/>
  <c r="J21" i="1" s="1"/>
  <c r="M13" i="9"/>
  <c r="J22" i="1" s="1"/>
  <c r="M14" i="9"/>
  <c r="J23" i="1" s="1"/>
  <c r="M15" i="9"/>
  <c r="J24" i="1" s="1"/>
  <c r="M16" i="9"/>
  <c r="J4" i="9"/>
  <c r="J5" i="9"/>
  <c r="J6" i="9"/>
  <c r="J7" i="9"/>
  <c r="H16" i="1" s="1"/>
  <c r="J8" i="9"/>
  <c r="H17" i="1" s="1"/>
  <c r="J9" i="9"/>
  <c r="H18" i="1" s="1"/>
  <c r="J10" i="9"/>
  <c r="H19" i="1" s="1"/>
  <c r="J11" i="9"/>
  <c r="H20" i="1" s="1"/>
  <c r="J12" i="9"/>
  <c r="H21" i="1" s="1"/>
  <c r="J13" i="9"/>
  <c r="H22" i="1" s="1"/>
  <c r="J14" i="9"/>
  <c r="H23" i="1" s="1"/>
  <c r="J15" i="9"/>
  <c r="H24" i="1" s="1"/>
  <c r="J16" i="9"/>
  <c r="G4" i="9"/>
  <c r="G5" i="9"/>
  <c r="F14" i="1" s="1"/>
  <c r="G6" i="9"/>
  <c r="F15" i="1" s="1"/>
  <c r="G7" i="9"/>
  <c r="F16" i="1" s="1"/>
  <c r="G8" i="9"/>
  <c r="F17" i="1" s="1"/>
  <c r="G9" i="9"/>
  <c r="F18" i="1" s="1"/>
  <c r="G10" i="9"/>
  <c r="F19" i="1" s="1"/>
  <c r="G11" i="9"/>
  <c r="F20" i="1" s="1"/>
  <c r="G12" i="9"/>
  <c r="F21" i="1" s="1"/>
  <c r="G13" i="9"/>
  <c r="F22" i="1" s="1"/>
  <c r="G14" i="9"/>
  <c r="F23" i="1" s="1"/>
  <c r="G15" i="9"/>
  <c r="F24" i="1" s="1"/>
  <c r="G16" i="9"/>
  <c r="F25" i="1" s="1"/>
  <c r="M25" i="1" s="1"/>
  <c r="Y13" i="1"/>
  <c r="Y14" i="1"/>
  <c r="Y15" i="1"/>
  <c r="Y16" i="1"/>
  <c r="Y17" i="1"/>
  <c r="Y18" i="1"/>
  <c r="Y19" i="1"/>
  <c r="Y20" i="1"/>
  <c r="Y21" i="1"/>
  <c r="Y22" i="1"/>
  <c r="Y23" i="1"/>
  <c r="Y24" i="1"/>
  <c r="V13" i="1"/>
  <c r="V14" i="1"/>
  <c r="V15" i="1"/>
  <c r="V16" i="1"/>
  <c r="V17" i="1"/>
  <c r="V18" i="1"/>
  <c r="V19" i="1"/>
  <c r="V20" i="1"/>
  <c r="V21" i="1"/>
  <c r="V22" i="1"/>
  <c r="V23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J13" i="1"/>
  <c r="J14" i="1"/>
  <c r="J15" i="1"/>
  <c r="J16" i="1"/>
  <c r="J25" i="1"/>
  <c r="H13" i="1"/>
  <c r="H14" i="1"/>
  <c r="H15" i="1"/>
  <c r="H25" i="1"/>
  <c r="F13" i="1"/>
  <c r="L14" i="1" l="1"/>
  <c r="L13" i="1"/>
  <c r="O25" i="1"/>
  <c r="U25" i="1" s="1"/>
  <c r="V25" i="1" s="1"/>
  <c r="L25" i="1"/>
  <c r="N25" i="1" s="1"/>
  <c r="L24" i="1"/>
  <c r="O23" i="1"/>
  <c r="L23" i="1"/>
  <c r="O22" i="1"/>
  <c r="L22" i="1"/>
  <c r="O21" i="1"/>
  <c r="L21" i="1"/>
  <c r="O20" i="1"/>
  <c r="L20" i="1"/>
  <c r="M19" i="1"/>
  <c r="L19" i="1"/>
  <c r="O19" i="1"/>
  <c r="L18" i="1"/>
  <c r="M18" i="1"/>
  <c r="N18" i="1" s="1"/>
  <c r="O18" i="1"/>
  <c r="L17" i="1"/>
  <c r="M17" i="1"/>
  <c r="N17" i="1" s="1"/>
  <c r="O17" i="1"/>
  <c r="L16" i="1"/>
  <c r="O16" i="1"/>
  <c r="M16" i="1"/>
  <c r="O15" i="1"/>
  <c r="L15" i="1"/>
  <c r="M15" i="1"/>
  <c r="O14" i="1"/>
  <c r="M14" i="1"/>
  <c r="N14" i="1" s="1"/>
  <c r="O13" i="1"/>
  <c r="O24" i="1"/>
  <c r="U24" i="1" s="1"/>
  <c r="V24" i="1" s="1"/>
  <c r="M24" i="1"/>
  <c r="N24" i="1" s="1"/>
  <c r="M13" i="1"/>
  <c r="N13" i="1" s="1"/>
  <c r="M23" i="1"/>
  <c r="N23" i="1" s="1"/>
  <c r="M22" i="1"/>
  <c r="N22" i="1" s="1"/>
  <c r="M21" i="1"/>
  <c r="M20" i="1"/>
  <c r="N20" i="1" s="1"/>
  <c r="X12" i="1"/>
  <c r="V12" i="1"/>
  <c r="X11" i="1"/>
  <c r="V11" i="1"/>
  <c r="S12" i="1"/>
  <c r="S11" i="1"/>
  <c r="N15" i="1" l="1"/>
  <c r="N21" i="1"/>
  <c r="N16" i="1"/>
  <c r="N19" i="1"/>
  <c r="Y12" i="1"/>
  <c r="M3" i="9" l="1"/>
  <c r="J12" i="1" s="1"/>
  <c r="J3" i="9"/>
  <c r="H12" i="1" s="1"/>
  <c r="G3" i="9" l="1"/>
  <c r="F12" i="1" s="1"/>
  <c r="M2" i="9"/>
  <c r="J11" i="1" s="1"/>
  <c r="J2" i="9"/>
  <c r="H11" i="1" s="1"/>
  <c r="G2" i="9"/>
  <c r="F11" i="1" s="1"/>
  <c r="M12" i="1" l="1"/>
  <c r="O12" i="1"/>
  <c r="L12" i="1"/>
  <c r="N12" i="1" s="1"/>
  <c r="O11" i="1"/>
  <c r="M11" i="1"/>
  <c r="L11" i="1"/>
  <c r="N11" i="1" l="1"/>
  <c r="Y11" i="1"/>
  <c r="AB12" i="1" l="1"/>
  <c r="AE12" i="1" l="1"/>
  <c r="AF12" i="1" s="1"/>
  <c r="AC12" i="1"/>
  <c r="AH12" i="1" l="1"/>
  <c r="AI12" i="1" s="1"/>
  <c r="AC26" i="1" l="1"/>
  <c r="AF26" i="1" l="1"/>
  <c r="AI26" i="1"/>
</calcChain>
</file>

<file path=xl/sharedStrings.xml><?xml version="1.0" encoding="utf-8"?>
<sst xmlns="http://schemas.openxmlformats.org/spreadsheetml/2006/main" count="505" uniqueCount="220">
  <si>
    <t>№</t>
  </si>
  <si>
    <t>Потребность (лекарственная форма, дозировка, фасовка)</t>
  </si>
  <si>
    <t>Ед.изм.</t>
  </si>
  <si>
    <t>Кол-во</t>
  </si>
  <si>
    <t>Наименование предмета контракта</t>
  </si>
  <si>
    <t>Коммерческие предложения</t>
  </si>
  <si>
    <t>Однородность совокупности значений выявленных цен, используемых в расчете цена контракта</t>
  </si>
  <si>
    <t xml:space="preserve">Цена единицы планируемого к закупке лекарственного средства </t>
  </si>
  <si>
    <t>grls.rosminzdrav.ru</t>
  </si>
  <si>
    <t>Заключенные заказчиком контракты (договора) за предшествующие 12 месяцев (без учета НДС и оптовой надбавки)</t>
  </si>
  <si>
    <t>Средневзвешенная цена</t>
  </si>
  <si>
    <t>Цена единицы планируемого  к закупке лекарственного средства (руб./ед.изм.)</t>
  </si>
  <si>
    <t>Цена единицы планируемого  к закупке лекарственного средства с учетом НДС (руб./ед.изм.)</t>
  </si>
  <si>
    <t>Цена единицы планируемого  к закупке лекарственного средства с учетом НДС и оптовой надбавки</t>
  </si>
  <si>
    <t>НМЦК с учетом округления цены за единицу (руб.)*</t>
  </si>
  <si>
    <t>Цена</t>
  </si>
  <si>
    <t>Сред. арифм. цена за ед &lt;ц&gt;</t>
  </si>
  <si>
    <t>Сред. квадратич. отклонение</t>
  </si>
  <si>
    <t>Коэффициент вариации цен  V (%)</t>
  </si>
  <si>
    <t>Цена (руб. за ед. изм)</t>
  </si>
  <si>
    <t>кол-во закупленных лекарственных препаратов в ед изм</t>
  </si>
  <si>
    <t>Общая стоимость (руб.)</t>
  </si>
  <si>
    <t>Расчет произведен с помощью стандартных функций табличного редактора EXCEL.</t>
  </si>
  <si>
    <t>к-во уп</t>
  </si>
  <si>
    <t>цена за уп</t>
  </si>
  <si>
    <t>сумма</t>
  </si>
  <si>
    <t>ОМС по НМЦК</t>
  </si>
  <si>
    <t xml:space="preserve">ВМП по НМЦК </t>
  </si>
  <si>
    <t>Вб по НМЦК</t>
  </si>
  <si>
    <t>КП-1</t>
  </si>
  <si>
    <t>КП-3</t>
  </si>
  <si>
    <t>КП-2</t>
  </si>
  <si>
    <t>Исп.                               Зятькова Т. Б.</t>
  </si>
  <si>
    <t>мл</t>
  </si>
  <si>
    <t>АДЕМЕТИОНИН</t>
  </si>
  <si>
    <t>ВАНКОМИЦИН</t>
  </si>
  <si>
    <t>Лиофилизат для приготовления раствора для инфузий 1000МГ</t>
  </si>
  <si>
    <t>ВОДА ДЛЯ ИНЪЕКЦИЙ</t>
  </si>
  <si>
    <t>ДЕКСКЕТОПРОФЕН</t>
  </si>
  <si>
    <t>ЛИДОКАИН</t>
  </si>
  <si>
    <t>МЕТРОНИДАЗОЛ</t>
  </si>
  <si>
    <t>Таблетки, покрытые оболочкой 500 мг №20</t>
  </si>
  <si>
    <t>Растворитель для приготовления лекарственных форм для инъекций 10мл №10</t>
  </si>
  <si>
    <t xml:space="preserve">Раствор для внутривенного и внутримышечного введения 25 мг/мл 2мл №10 </t>
  </si>
  <si>
    <t xml:space="preserve">Раствор для
инъекций 20 мг/мл 2МЛ №10
</t>
  </si>
  <si>
    <t>Раствор инфузий 5 мг/мл 100 МЛ</t>
  </si>
  <si>
    <t>НИМЕСУЛИД</t>
  </si>
  <si>
    <t>Гранулы для приготовления суспензии для приема внутрь 100 мг — 2,0 №30</t>
  </si>
  <si>
    <t>НИФЕДИПИН</t>
  </si>
  <si>
    <t>Таблетки с пролонгированным высвобождением, покрытые оболочкой 20 мг №50</t>
  </si>
  <si>
    <t>РИФАКСИМИН</t>
  </si>
  <si>
    <t xml:space="preserve">Таблетки, покрытые оболочкой 200 мг №40 </t>
  </si>
  <si>
    <t>СМЕКТИТ ДИОКТАЭДРИЧЕСКИЙ</t>
  </si>
  <si>
    <t xml:space="preserve">Порошок для приготовления
суспензии для приема внутрь
3000 мг №30
</t>
  </si>
  <si>
    <t>ТИОКТОВАЯ КИСЛОТА</t>
  </si>
  <si>
    <t xml:space="preserve"> Концентрат для приготовления раствора для инфузий 30 мг/мл 10МЛ №10</t>
  </si>
  <si>
    <t>УРСОДЕЗОКСИХОЛЕВАЯ КИСЛОТА</t>
  </si>
  <si>
    <t>Капс 250мг №100</t>
  </si>
  <si>
    <t xml:space="preserve">ФОЛИЕВАЯ КИСЛОТА </t>
  </si>
  <si>
    <t xml:space="preserve">ХЛОРОПИРАМИН </t>
  </si>
  <si>
    <t>Раствор для внутривенного и внутримышечного введения 20 мг/мл 1мл №10</t>
  </si>
  <si>
    <t xml:space="preserve">ЭНОКСАПАРИН НАТРИЯ
</t>
  </si>
  <si>
    <t xml:space="preserve">
Раствор для инъекций 6000 анти-Ха МЕ/0.6 мл №10</t>
  </si>
  <si>
    <t>кол-во в упак</t>
  </si>
  <si>
    <t>цена за упак</t>
  </si>
  <si>
    <t>цена за ед</t>
  </si>
  <si>
    <t>шт</t>
  </si>
  <si>
    <t>мг</t>
  </si>
  <si>
    <t>г</t>
  </si>
  <si>
    <t>кол-во ед в упак</t>
  </si>
  <si>
    <t>п/п</t>
  </si>
  <si>
    <t>КП №539от 17.06.2026</t>
  </si>
  <si>
    <t>КП №640 от 17.06.2026</t>
  </si>
  <si>
    <t>КП №641 от 17.06.2026</t>
  </si>
  <si>
    <t>таблетки 1мг №60</t>
  </si>
  <si>
    <t>-</t>
  </si>
  <si>
    <t>Номенклатура</t>
  </si>
  <si>
    <t>Поступление товаров</t>
  </si>
  <si>
    <t>К.</t>
  </si>
  <si>
    <t>Сумма</t>
  </si>
  <si>
    <t>Фактическая</t>
  </si>
  <si>
    <t>Самеликс, табл. кишечнораствор. п.п.о. 500 мг, бл. 10, пач. картон. 2</t>
  </si>
  <si>
    <t>Поступление товаров АБ00-000799 от 15.12.2025 10:32:12</t>
  </si>
  <si>
    <t>040825 до 31.08.27</t>
  </si>
  <si>
    <t>пач. картон. 20</t>
  </si>
  <si>
    <t>Ванкомицин-АКОС, пор. д/приг. конц. д/приг. р-ра д/инф. и р-ра д/приема внутрь 1000 мг, фл. 1000 мг,</t>
  </si>
  <si>
    <t>Поступление товаров АБ00-000102 от 09.04.2026 15:34:28</t>
  </si>
  <si>
    <t>131025 до 31.10.27</t>
  </si>
  <si>
    <t>пач. картон. 1</t>
  </si>
  <si>
    <t>Поступление товаров АБ00-000103 от 09.04.2026 15:36:01</t>
  </si>
  <si>
    <t>Ванкомицин, лиоф. д/приг. р-ра д/инф. и приема внутрь 1 г, фл. 1 г, пач. картон. 1</t>
  </si>
  <si>
    <t>Поступление товаров АБ00-000238 от 20.06.2025 13:55:24</t>
  </si>
  <si>
    <t>10760125 до 31.01.27</t>
  </si>
  <si>
    <t>Поступление товаров АБ00-000668 от 31.10.2025 9:15:00</t>
  </si>
  <si>
    <t>Поступление товаров АБ00-000669 от 31.10.2025 9:26:21</t>
  </si>
  <si>
    <t>Вода для инъекций, растворит. д/приг. лек. форм д/ин., амп. 10 мл, пач. картон. 10</t>
  </si>
  <si>
    <t>Поступление товаров АБ00-000251 от 25.06.2025 10:37:50</t>
  </si>
  <si>
    <t>401224 до 30.11.27</t>
  </si>
  <si>
    <t>пач. картон. 10</t>
  </si>
  <si>
    <t>Поступление товаров АБ00-000306 от 10.07.2025 10:59:54</t>
  </si>
  <si>
    <t>Поступление товаров АБ00-000661 от 30.10.2025 10:36:20</t>
  </si>
  <si>
    <t>411224 до 30.11.27</t>
  </si>
  <si>
    <t>Кетодексал, р-р для в/в и в/м введ. 25 мг/мл, амп. 2 мл, пач. картон. 5</t>
  </si>
  <si>
    <t>Поступление товаров АБ00-000793 от 11.12.2025 14:35:06</t>
  </si>
  <si>
    <t>2405821 до 31.03.28</t>
  </si>
  <si>
    <t>пач. картон. 5</t>
  </si>
  <si>
    <t>Поступление товаров АБ00-000794 от 11.12.2025 14:38:08</t>
  </si>
  <si>
    <t>Риклинг, р-р для в/в и в/м введ. 25 мг/мл, амп. 2 мл, пач. картон. 5</t>
  </si>
  <si>
    <t>Поступление товаров АБ00-000585 от 16.10.2025 14:07:39</t>
  </si>
  <si>
    <t>041224 до 30.11.26</t>
  </si>
  <si>
    <t>Поступление товаров АБ00-000689 от 07.11.2025 14:12:51</t>
  </si>
  <si>
    <t>Лидокаин, р-р д/ин. 2 %, амп. 2 мл, кор. 10</t>
  </si>
  <si>
    <t>Поступление товаров АБ00-000644 от 29.10.2025 10:21:35</t>
  </si>
  <si>
    <t>1220725 до 31.07.28</t>
  </si>
  <si>
    <t>кор. 10</t>
  </si>
  <si>
    <t>Лидокаин, р-р д/ин. 20 мг/мл, амп. 2 мл, пач. картон. 10</t>
  </si>
  <si>
    <t>110525 до 31.05.28</t>
  </si>
  <si>
    <t>Поступление товаров АБ00-000225 от 19.06.2025 10:41:48</t>
  </si>
  <si>
    <t>611024 до 30.09.26</t>
  </si>
  <si>
    <t>Поступление товаров АБ00-000227 от 19.06.2025 11:00:32</t>
  </si>
  <si>
    <t>120325 до 28.02.27</t>
  </si>
  <si>
    <t>Поступление товаров АБ00-000294 от 07.07.2025 12:16:17</t>
  </si>
  <si>
    <t>Поступление товаров АБ00-000571 от 15.10.2025 14:58:38</t>
  </si>
  <si>
    <t>440625 до 31.05.27</t>
  </si>
  <si>
    <t>Поступление товаров АБ00-000603 от 20.10.2025 14:24:05</t>
  </si>
  <si>
    <t>Поступление товаров АБ00-000034 от 06.03.2026 11:49:58</t>
  </si>
  <si>
    <t>020126 до 31.12.27</t>
  </si>
  <si>
    <t>Поступление товаров АБ00-000035 от 06.03.2026 11:51:27</t>
  </si>
  <si>
    <t>Поступление товаров АБ00-000040 от 10.03.2026 11:48:26</t>
  </si>
  <si>
    <t>Поступление товаров АБ00-000223 от 01.06.2026 14:04:37</t>
  </si>
  <si>
    <t>070226 до 31.01.28</t>
  </si>
  <si>
    <t>Метронидазол, р-р д/инф. 5 мг/мл, бан. 100 мл, ящ. картон 1</t>
  </si>
  <si>
    <t>Поступление товаров АБ00-000376 от 08.08.2025 10:33:11</t>
  </si>
  <si>
    <t>B430625 до 31.05.27</t>
  </si>
  <si>
    <t>ящ. картон 1</t>
  </si>
  <si>
    <t>Найсулид, гран. д/приг. сусп. д/приема внутрь 100 мг, пак. 2 г, пач. картон. 30</t>
  </si>
  <si>
    <t>Поступление товаров АБ00-000814 от 17.12.2025 14:31:54</t>
  </si>
  <si>
    <t>1060925 до 30.09.28</t>
  </si>
  <si>
    <t>пач. картон. 30</t>
  </si>
  <si>
    <t>Поступление товаров АБ00-000021 от 26.02.2026 15:03:41</t>
  </si>
  <si>
    <t>450525 до 31.05.28</t>
  </si>
  <si>
    <t>Поступление товаров АБ00-000046 от 11.03.2026 14:06:38</t>
  </si>
  <si>
    <t>1030925 до 30.09.28</t>
  </si>
  <si>
    <t>Поступление товаров АБ00-000074 от 25.03.2026 14:44:28</t>
  </si>
  <si>
    <t>Коринфар ретард, табл. с пролонг. высвоб. п.п.о. 20 мг, фл. 50, пач. картон. 1</t>
  </si>
  <si>
    <t>Поступление товаров АБ00-000790 от 11.12.2025 11:38:32</t>
  </si>
  <si>
    <t>6352072 до 30.06.27</t>
  </si>
  <si>
    <t>пач. картон. 50</t>
  </si>
  <si>
    <t>Поступление товаров АБ00-000791 от 11.12.2025 11:41:04</t>
  </si>
  <si>
    <t>Альфаксим, табл. п.п.о. 200 мг, бл. 10, пач. картон. 4</t>
  </si>
  <si>
    <t>Поступление товаров АБ00-000255 от 25.06.2025 13:24:33</t>
  </si>
  <si>
    <t>1070824 до 31.08.26</t>
  </si>
  <si>
    <t>пач. картон. 40</t>
  </si>
  <si>
    <t>Смекта, пор. д/сусп. для приема внутрь 3 г, пак. 3,76 г, пач. картон. 30</t>
  </si>
  <si>
    <t>Поступление товаров АБ00-000782 от 10.12.2025 10:44:41</t>
  </si>
  <si>
    <t>D50785 до 31.12.27</t>
  </si>
  <si>
    <t>Поступление товаров АБ00-000783 от 10.12.2025 10:45:10</t>
  </si>
  <si>
    <t>Тиоктовая кислота, конц. д/приг. р-ра д/инф. 30 мг/мл, амп. 10 мл, пач. картон. 10</t>
  </si>
  <si>
    <t>Поступление товаров АБ00-000487 от 15.09.2025 14:56:37</t>
  </si>
  <si>
    <t>210725 до 30.06.28</t>
  </si>
  <si>
    <t>Поступление товаров АБ00-000658 от 29.10.2025 15:07:13</t>
  </si>
  <si>
    <t>Поступление товаров АБ00-000691 от 07.11.2025 14:19:55</t>
  </si>
  <si>
    <t>280925 до 31.08.28</t>
  </si>
  <si>
    <t>Тиоктовая кислота, конц. для р-ра д/инф. 30 мг/мл, 10 мл, N 10 Озон ООО</t>
  </si>
  <si>
    <t>Поступление товаров АБ00-000457 от 08.09.2025 10:34:43</t>
  </si>
  <si>
    <t>050325 до 29.02.28</t>
  </si>
  <si>
    <t>Фолиевая кислота, табл. 1 мг, бл. 50, пач. картон. 1</t>
  </si>
  <si>
    <t>080324 до 28.02.27</t>
  </si>
  <si>
    <t>Хлоропирамин, р-р для в/в и в/м введ. 20 мг/мл, амп. 1 мл, пач. картон. 5</t>
  </si>
  <si>
    <t>Поступление товаров АБ00-000749 от 28.11.2025 10:09:04</t>
  </si>
  <si>
    <t>010525 до 30.04.28</t>
  </si>
  <si>
    <t>Поступление товаров АБ00-000750 от 28.11.2025 10:41:37</t>
  </si>
  <si>
    <t>ЭНОКСАПАРИН НАТРИЯ ВЕЛФАРМ, р-р д/ин. 10000 анти-Xa МЕ/мл, амп. 0,6 мл, пач. картон. 10</t>
  </si>
  <si>
    <t>Поступление товаров АБ00-000679 от 07.11.2025 10:06:47</t>
  </si>
  <si>
    <t>471124 до 31.10.26</t>
  </si>
  <si>
    <t>Поступление товаров АБ00-000680 от 07.11.2025 10:12:22</t>
  </si>
  <si>
    <t>30525 до 30.04.27</t>
  </si>
  <si>
    <t>ЭНОПАРИН, р-р д/ин. 10000 анти-Xa МЕ/мл, амп. 0,6 мл, пач. картон. 10</t>
  </si>
  <si>
    <t>Поступление товаров АБ00-000079 от 27.03.2026 14:36:14</t>
  </si>
  <si>
    <t>261124 до 30.11.27</t>
  </si>
  <si>
    <t>Поступление товаров АБ00-000080 от 27.03.2026 14:36:26</t>
  </si>
  <si>
    <t>без ндс</t>
  </si>
  <si>
    <t xml:space="preserve">кол во в ед </t>
  </si>
  <si>
    <t>сумма без ндс</t>
  </si>
  <si>
    <t xml:space="preserve">без ндс за ед </t>
  </si>
  <si>
    <t>б/ндс</t>
  </si>
  <si>
    <t>за мг с ндс</t>
  </si>
  <si>
    <t>за мг без ндс</t>
  </si>
  <si>
    <t>упак</t>
  </si>
  <si>
    <t xml:space="preserve">за мл с ндс </t>
  </si>
  <si>
    <t xml:space="preserve">за мл без ндс </t>
  </si>
  <si>
    <t>с ндс мл</t>
  </si>
  <si>
    <t xml:space="preserve"> б/ндс мл</t>
  </si>
  <si>
    <t>факт сумма</t>
  </si>
  <si>
    <t>факт за мл</t>
  </si>
  <si>
    <t>цена мл с ндс</t>
  </si>
  <si>
    <t>факт цена мл</t>
  </si>
  <si>
    <t>мл с ндс</t>
  </si>
  <si>
    <t>цена за г с ндс</t>
  </si>
  <si>
    <t>таб</t>
  </si>
  <si>
    <t>цена таб с ндс</t>
  </si>
  <si>
    <t>табл</t>
  </si>
  <si>
    <t>с ндс за таб</t>
  </si>
  <si>
    <t>с ндс за г</t>
  </si>
  <si>
    <t>факт б/ндс</t>
  </si>
  <si>
    <t>цена за мл с ндс</t>
  </si>
  <si>
    <t>за мл</t>
  </si>
  <si>
    <t>с ндс</t>
  </si>
  <si>
    <t>с/ндс</t>
  </si>
  <si>
    <t>факт за ед</t>
  </si>
  <si>
    <t>с ндс за мл</t>
  </si>
  <si>
    <t>факт зм мл</t>
  </si>
  <si>
    <t>Урсодезоксихолевая кислота, капс. 250 мг, бл. 10, пач. картон. 10</t>
  </si>
  <si>
    <t>270924 до 31.08.27</t>
  </si>
  <si>
    <t>пач. картон. 100</t>
  </si>
  <si>
    <t>Поступление товаров АБ00-000777 от 08.12.2025 12:21:23</t>
  </si>
  <si>
    <t>Урцевел, капс. 250 мг, бл. 10, пач. картон. 10</t>
  </si>
  <si>
    <t>80725 до 30.06.28</t>
  </si>
  <si>
    <t>капс</t>
  </si>
  <si>
    <r>
      <t xml:space="preserve">ОБОСНОВАНИЕ НАЧАЛЬНОЙ (МАКСИМАЛЬНОЙ) ЦЕНЫ КОНТРАКТА
Определение и обоснование начальной (максимальной) цены контракта проведено в соответствии с положениями ч.22, ст. 22 Федерального закона от 05.04.2013 № 44 – ФЗ «О контрактной системе в сфере закупок товаров, работ, услуг для обеспечения государственных и муниципальных нужд» и Порядком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применения, утвержденных приказом Министерства Здравоохранения РФ от 19.12.2019 № 1064н. В связи с тем, что на участие в закупке № </t>
    </r>
    <r>
      <rPr>
        <sz val="11"/>
        <rFont val="Times New Roman"/>
        <family val="1"/>
        <charset val="204"/>
      </rPr>
      <t>0372100032626000316</t>
    </r>
    <r>
      <rPr>
        <sz val="11"/>
        <color theme="1"/>
        <rFont val="Times New Roman"/>
        <family val="1"/>
        <charset val="204"/>
      </rPr>
      <t xml:space="preserve"> не подано ни одной заявки по НМЦК с ценой единицы планируемых к закупке лекарственных препаратов, определенных в соответствии с п.8 Порядка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осуществлении закупок лекарственных препаратов для медицинского применения, утвержденного Приказом Минздрава России от 19.12.2019 N 1064н, то в соответствии с п.12 настоящего Порядка, при объявлении следующей закупки в качестве цены единицы планируемого к закупке лекарственного препарата принимается минимальное значение начальной цены единицы лекарственного препарата, следующее после НМЦК, начальной цены единицы лекарственного препарата, на участие в закупке по которой не подано ни одной заявки.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</si>
</sst>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0.0000"/>
    <numFmt numFmtId="165" formatCode="0.00000"/>
    <numFmt numFmtId="166" formatCode="0.000"/>
    <numFmt numFmtId="167" formatCode="#,##0.000"/>
    <numFmt numFmtId="168" formatCode="#,##0.00000\ _₽"/>
  </numFmts>
  <fonts count="26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</font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</borders>
  <cellStyleXfs count="12">
    <xf numFmtId="0" fontId="0" fillId="0" borderId="0"/>
    <xf numFmtId="0" fontId="3" fillId="0" borderId="0"/>
    <xf numFmtId="0" fontId="5" fillId="0" borderId="0"/>
    <xf numFmtId="0" fontId="6" fillId="0" borderId="0"/>
    <xf numFmtId="0" fontId="8" fillId="0" borderId="0"/>
    <xf numFmtId="0" fontId="10" fillId="0" borderId="0"/>
    <xf numFmtId="0" fontId="11" fillId="0" borderId="0"/>
    <xf numFmtId="43" fontId="12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  <xf numFmtId="0" fontId="21" fillId="0" borderId="0"/>
  </cellStyleXfs>
  <cellXfs count="115">
    <xf numFmtId="0" fontId="0" fillId="0" borderId="0" xfId="0"/>
    <xf numFmtId="0" fontId="1" fillId="0" borderId="0" xfId="0" applyFont="1" applyAlignment="1">
      <alignment horizontal="justify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wrapText="1"/>
    </xf>
    <xf numFmtId="4" fontId="4" fillId="2" borderId="0" xfId="1" applyNumberFormat="1" applyFont="1" applyFill="1" applyAlignment="1">
      <alignment vertical="center" wrapText="1"/>
    </xf>
    <xf numFmtId="4" fontId="0" fillId="0" borderId="0" xfId="0" applyNumberFormat="1"/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9" fillId="0" borderId="0" xfId="0" applyFont="1" applyAlignment="1">
      <alignment vertical="top" wrapText="1"/>
    </xf>
    <xf numFmtId="2" fontId="0" fillId="0" borderId="0" xfId="0" applyNumberFormat="1"/>
    <xf numFmtId="4" fontId="2" fillId="0" borderId="2" xfId="0" applyNumberFormat="1" applyFont="1" applyBorder="1" applyAlignment="1">
      <alignment horizontal="center" vertical="center"/>
    </xf>
    <xf numFmtId="2" fontId="13" fillId="0" borderId="0" xfId="0" applyNumberFormat="1" applyFont="1" applyAlignment="1">
      <alignment horizontal="center" vertical="top" shrinkToFi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43" fontId="9" fillId="0" borderId="1" xfId="7" applyFont="1" applyFill="1" applyBorder="1" applyAlignment="1">
      <alignment horizontal="center"/>
    </xf>
    <xf numFmtId="4" fontId="9" fillId="0" borderId="0" xfId="0" applyNumberFormat="1" applyFont="1" applyAlignment="1"/>
    <xf numFmtId="3" fontId="9" fillId="0" borderId="1" xfId="0" applyNumberFormat="1" applyFont="1" applyBorder="1" applyAlignment="1">
      <alignment horizontal="center"/>
    </xf>
    <xf numFmtId="0" fontId="9" fillId="0" borderId="0" xfId="0" applyFont="1" applyAlignment="1"/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0" fillId="0" borderId="0" xfId="0" applyBorder="1"/>
    <xf numFmtId="4" fontId="2" fillId="0" borderId="0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ill="1"/>
    <xf numFmtId="2" fontId="0" fillId="0" borderId="0" xfId="0" applyNumberFormat="1" applyFill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4" fontId="0" fillId="0" borderId="0" xfId="0" applyNumberFormat="1"/>
    <xf numFmtId="164" fontId="9" fillId="0" borderId="1" xfId="0" applyNumberFormat="1" applyFont="1" applyBorder="1" applyAlignment="1">
      <alignment horizontal="center"/>
    </xf>
    <xf numFmtId="164" fontId="9" fillId="0" borderId="1" xfId="7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right" wrapText="1"/>
    </xf>
    <xf numFmtId="165" fontId="9" fillId="0" borderId="1" xfId="7" applyNumberFormat="1" applyFont="1" applyFill="1" applyBorder="1" applyAlignment="1">
      <alignment horizontal="center"/>
    </xf>
    <xf numFmtId="0" fontId="21" fillId="0" borderId="0" xfId="11"/>
    <xf numFmtId="0" fontId="22" fillId="3" borderId="9" xfId="11" applyNumberFormat="1" applyFont="1" applyFill="1" applyBorder="1" applyAlignment="1">
      <alignment vertical="top" wrapText="1"/>
    </xf>
    <xf numFmtId="0" fontId="22" fillId="3" borderId="11" xfId="11" applyNumberFormat="1" applyFont="1" applyFill="1" applyBorder="1" applyAlignment="1">
      <alignment vertical="top" wrapText="1"/>
    </xf>
    <xf numFmtId="0" fontId="22" fillId="3" borderId="10" xfId="11" applyNumberFormat="1" applyFont="1" applyFill="1" applyBorder="1" applyAlignment="1">
      <alignment vertical="top" wrapText="1"/>
    </xf>
    <xf numFmtId="0" fontId="22" fillId="3" borderId="12" xfId="11" applyNumberFormat="1" applyFont="1" applyFill="1" applyBorder="1" applyAlignment="1">
      <alignment vertical="top" wrapText="1"/>
    </xf>
    <xf numFmtId="0" fontId="23" fillId="4" borderId="9" xfId="11" applyNumberFormat="1" applyFont="1" applyFill="1" applyBorder="1" applyAlignment="1">
      <alignment vertical="top"/>
    </xf>
    <xf numFmtId="0" fontId="21" fillId="0" borderId="9" xfId="11" applyNumberFormat="1" applyFont="1" applyBorder="1" applyAlignment="1">
      <alignment vertical="top" wrapText="1" indent="2"/>
    </xf>
    <xf numFmtId="0" fontId="21" fillId="0" borderId="9" xfId="11" applyNumberFormat="1" applyFont="1" applyBorder="1" applyAlignment="1">
      <alignment vertical="top" wrapText="1"/>
    </xf>
    <xf numFmtId="166" fontId="21" fillId="0" borderId="9" xfId="11" applyNumberFormat="1" applyFont="1" applyBorder="1" applyAlignment="1">
      <alignment horizontal="right" vertical="top" wrapText="1"/>
    </xf>
    <xf numFmtId="0" fontId="21" fillId="0" borderId="9" xfId="11" applyNumberFormat="1" applyFont="1" applyBorder="1" applyAlignment="1">
      <alignment vertical="top" wrapText="1"/>
    </xf>
    <xf numFmtId="4" fontId="21" fillId="0" borderId="9" xfId="11" applyNumberFormat="1" applyFont="1" applyBorder="1" applyAlignment="1">
      <alignment horizontal="right" vertical="top" wrapText="1"/>
    </xf>
    <xf numFmtId="4" fontId="21" fillId="0" borderId="9" xfId="11" applyNumberFormat="1" applyFont="1" applyBorder="1" applyAlignment="1">
      <alignment horizontal="right" vertical="top"/>
    </xf>
    <xf numFmtId="167" fontId="21" fillId="0" borderId="9" xfId="11" applyNumberFormat="1" applyFont="1" applyBorder="1" applyAlignment="1">
      <alignment horizontal="right" vertical="top" wrapText="1"/>
    </xf>
    <xf numFmtId="2" fontId="21" fillId="0" borderId="9" xfId="11" applyNumberFormat="1" applyFont="1" applyBorder="1" applyAlignment="1">
      <alignment horizontal="right" vertical="top" wrapText="1"/>
    </xf>
    <xf numFmtId="0" fontId="5" fillId="3" borderId="9" xfId="11" applyNumberFormat="1" applyFont="1" applyFill="1" applyBorder="1" applyAlignment="1">
      <alignment vertical="top" wrapText="1"/>
    </xf>
    <xf numFmtId="0" fontId="5" fillId="3" borderId="10" xfId="11" applyNumberFormat="1" applyFont="1" applyFill="1" applyBorder="1" applyAlignment="1">
      <alignment vertical="top" wrapText="1"/>
    </xf>
    <xf numFmtId="0" fontId="5" fillId="3" borderId="11" xfId="11" applyNumberFormat="1" applyFont="1" applyFill="1" applyBorder="1" applyAlignment="1">
      <alignment vertical="top" wrapText="1"/>
    </xf>
    <xf numFmtId="0" fontId="5" fillId="3" borderId="13" xfId="11" applyNumberFormat="1" applyFont="1" applyFill="1" applyBorder="1" applyAlignment="1">
      <alignment vertical="top" wrapText="1"/>
    </xf>
    <xf numFmtId="0" fontId="5" fillId="3" borderId="12" xfId="11" applyNumberFormat="1" applyFont="1" applyFill="1" applyBorder="1" applyAlignment="1">
      <alignment vertical="top" wrapText="1"/>
    </xf>
    <xf numFmtId="0" fontId="24" fillId="4" borderId="9" xfId="11" applyNumberFormat="1" applyFont="1" applyFill="1" applyBorder="1" applyAlignment="1">
      <alignment vertical="top"/>
    </xf>
    <xf numFmtId="0" fontId="5" fillId="3" borderId="10" xfId="11" applyNumberFormat="1" applyFont="1" applyFill="1" applyBorder="1" applyAlignment="1">
      <alignment vertical="top" wrapText="1"/>
    </xf>
    <xf numFmtId="2" fontId="21" fillId="0" borderId="9" xfId="11" applyNumberFormat="1" applyFont="1" applyBorder="1" applyAlignment="1">
      <alignment horizontal="right" vertical="top"/>
    </xf>
    <xf numFmtId="166" fontId="21" fillId="0" borderId="9" xfId="11" applyNumberFormat="1" applyFont="1" applyBorder="1" applyAlignment="1">
      <alignment horizontal="right" vertical="top" wrapText="1"/>
    </xf>
    <xf numFmtId="0" fontId="21" fillId="0" borderId="9" xfId="11" applyNumberFormat="1" applyFont="1" applyBorder="1" applyAlignment="1">
      <alignment horizontal="right" vertical="top" wrapText="1"/>
    </xf>
    <xf numFmtId="0" fontId="21" fillId="0" borderId="9" xfId="11" applyNumberFormat="1" applyFont="1" applyBorder="1" applyAlignment="1">
      <alignment horizontal="right" vertical="top"/>
    </xf>
    <xf numFmtId="0" fontId="21" fillId="0" borderId="0" xfId="11" applyNumberFormat="1" applyFont="1" applyBorder="1" applyAlignment="1">
      <alignment vertical="top" wrapText="1" indent="2"/>
    </xf>
    <xf numFmtId="0" fontId="21" fillId="0" borderId="0" xfId="11" applyNumberFormat="1" applyFont="1" applyBorder="1" applyAlignment="1">
      <alignment vertical="top" wrapText="1"/>
    </xf>
    <xf numFmtId="166" fontId="21" fillId="0" borderId="0" xfId="11" applyNumberFormat="1" applyFont="1" applyBorder="1" applyAlignment="1">
      <alignment horizontal="right" vertical="top" wrapText="1"/>
    </xf>
    <xf numFmtId="4" fontId="21" fillId="0" borderId="0" xfId="11" applyNumberFormat="1" applyFont="1" applyBorder="1" applyAlignment="1">
      <alignment horizontal="right" vertical="top" wrapText="1"/>
    </xf>
    <xf numFmtId="4" fontId="21" fillId="0" borderId="0" xfId="11" applyNumberFormat="1" applyFont="1" applyBorder="1" applyAlignment="1">
      <alignment horizontal="right" vertical="top"/>
    </xf>
    <xf numFmtId="4" fontId="25" fillId="0" borderId="0" xfId="11" applyNumberFormat="1" applyFont="1" applyBorder="1" applyAlignment="1">
      <alignment horizontal="right" vertical="top"/>
    </xf>
    <xf numFmtId="4" fontId="25" fillId="0" borderId="0" xfId="11" applyNumberFormat="1" applyFont="1" applyBorder="1" applyAlignment="1">
      <alignment horizontal="right" vertical="top" wrapText="1"/>
    </xf>
    <xf numFmtId="2" fontId="21" fillId="0" borderId="0" xfId="11" applyNumberFormat="1" applyFont="1" applyBorder="1" applyAlignment="1">
      <alignment horizontal="right" vertical="top" wrapText="1"/>
    </xf>
    <xf numFmtId="2" fontId="21" fillId="0" borderId="0" xfId="11" applyNumberFormat="1" applyFont="1" applyBorder="1" applyAlignment="1">
      <alignment horizontal="right" vertical="top"/>
    </xf>
    <xf numFmtId="2" fontId="25" fillId="0" borderId="0" xfId="11" applyNumberFormat="1" applyFont="1" applyBorder="1" applyAlignment="1">
      <alignment horizontal="right" vertical="top" wrapText="1"/>
    </xf>
    <xf numFmtId="166" fontId="0" fillId="0" borderId="0" xfId="0" applyNumberFormat="1"/>
    <xf numFmtId="0" fontId="20" fillId="0" borderId="0" xfId="0" applyFont="1"/>
    <xf numFmtId="0" fontId="21" fillId="0" borderId="0" xfId="11" applyNumberFormat="1" applyFont="1" applyBorder="1" applyAlignment="1">
      <alignment horizontal="right" vertical="top" wrapText="1"/>
    </xf>
    <xf numFmtId="0" fontId="21" fillId="0" borderId="0" xfId="11" applyNumberFormat="1" applyFont="1" applyBorder="1" applyAlignment="1">
      <alignment horizontal="right" vertical="top"/>
    </xf>
    <xf numFmtId="166" fontId="21" fillId="0" borderId="0" xfId="11" applyNumberFormat="1"/>
    <xf numFmtId="2" fontId="21" fillId="0" borderId="0" xfId="11" applyNumberFormat="1"/>
    <xf numFmtId="0" fontId="25" fillId="0" borderId="0" xfId="11" applyFont="1"/>
    <xf numFmtId="43" fontId="9" fillId="0" borderId="1" xfId="0" applyNumberFormat="1" applyFont="1" applyBorder="1" applyAlignment="1">
      <alignment horizontal="center"/>
    </xf>
    <xf numFmtId="168" fontId="0" fillId="0" borderId="0" xfId="0" applyNumberFormat="1"/>
    <xf numFmtId="168" fontId="9" fillId="0" borderId="1" xfId="0" applyNumberFormat="1" applyFont="1" applyBorder="1" applyAlignment="1">
      <alignment horizontal="center"/>
    </xf>
    <xf numFmtId="168" fontId="2" fillId="0" borderId="0" xfId="0" applyNumberFormat="1" applyFont="1" applyAlignment="1">
      <alignment horizontal="right" wrapText="1"/>
    </xf>
    <xf numFmtId="168" fontId="9" fillId="0" borderId="0" xfId="0" applyNumberFormat="1" applyFont="1" applyAlignment="1">
      <alignment vertical="top" wrapText="1"/>
    </xf>
    <xf numFmtId="4" fontId="9" fillId="0" borderId="0" xfId="0" applyNumberFormat="1" applyFont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0" xfId="1" applyNumberFormat="1" applyFont="1" applyFill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wrapText="1"/>
    </xf>
    <xf numFmtId="0" fontId="9" fillId="0" borderId="2" xfId="0" applyFont="1" applyBorder="1" applyAlignment="1">
      <alignment horizontal="right" wrapText="1"/>
    </xf>
    <xf numFmtId="0" fontId="16" fillId="0" borderId="0" xfId="0" applyFont="1" applyAlignment="1">
      <alignment horizontal="left" vertical="top" wrapText="1"/>
    </xf>
    <xf numFmtId="4" fontId="17" fillId="2" borderId="0" xfId="1" applyNumberFormat="1" applyFont="1" applyFill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 vertical="center"/>
    </xf>
    <xf numFmtId="0" fontId="21" fillId="0" borderId="9" xfId="11" applyNumberFormat="1" applyFont="1" applyBorder="1" applyAlignment="1">
      <alignment vertical="top" wrapText="1"/>
    </xf>
    <xf numFmtId="4" fontId="21" fillId="0" borderId="9" xfId="11" applyNumberFormat="1" applyFont="1" applyBorder="1" applyAlignment="1">
      <alignment horizontal="right" vertical="top" wrapText="1"/>
    </xf>
    <xf numFmtId="0" fontId="5" fillId="3" borderId="9" xfId="11" applyNumberFormat="1" applyFont="1" applyFill="1" applyBorder="1" applyAlignment="1">
      <alignment vertical="top" wrapText="1"/>
    </xf>
    <xf numFmtId="0" fontId="24" fillId="4" borderId="9" xfId="11" applyNumberFormat="1" applyFont="1" applyFill="1" applyBorder="1" applyAlignment="1">
      <alignment vertical="top" wrapText="1"/>
    </xf>
    <xf numFmtId="2" fontId="21" fillId="0" borderId="9" xfId="11" applyNumberFormat="1" applyFont="1" applyBorder="1" applyAlignment="1">
      <alignment horizontal="right" vertical="top" wrapText="1"/>
    </xf>
    <xf numFmtId="0" fontId="5" fillId="3" borderId="10" xfId="11" applyNumberFormat="1" applyFont="1" applyFill="1" applyBorder="1" applyAlignment="1">
      <alignment vertical="top" wrapText="1"/>
    </xf>
    <xf numFmtId="166" fontId="21" fillId="0" borderId="9" xfId="11" applyNumberFormat="1" applyFont="1" applyBorder="1" applyAlignment="1">
      <alignment horizontal="right" vertical="top" wrapText="1"/>
    </xf>
    <xf numFmtId="0" fontId="22" fillId="3" borderId="9" xfId="11" applyNumberFormat="1" applyFont="1" applyFill="1" applyBorder="1" applyAlignment="1">
      <alignment vertical="top" wrapText="1"/>
    </xf>
    <xf numFmtId="0" fontId="22" fillId="3" borderId="10" xfId="11" applyNumberFormat="1" applyFont="1" applyFill="1" applyBorder="1" applyAlignment="1">
      <alignment vertical="top" wrapText="1"/>
    </xf>
    <xf numFmtId="0" fontId="23" fillId="4" borderId="9" xfId="11" applyNumberFormat="1" applyFont="1" applyFill="1" applyBorder="1" applyAlignment="1">
      <alignment vertical="top" wrapText="1"/>
    </xf>
  </cellXfs>
  <cellStyles count="12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7 2" xfId="10"/>
    <cellStyle name="Обычный 8" xfId="8"/>
    <cellStyle name="Обычный 9" xfId="9"/>
    <cellStyle name="Обычный_Лист1" xfId="11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5"/>
  <sheetViews>
    <sheetView tabSelected="1" zoomScale="124" zoomScaleNormal="124" workbookViewId="0">
      <selection activeCell="W30" sqref="W30"/>
    </sheetView>
  </sheetViews>
  <sheetFormatPr defaultRowHeight="15" x14ac:dyDescent="0.25"/>
  <cols>
    <col min="1" max="1" width="3.42578125" customWidth="1"/>
    <col min="2" max="2" width="20.5703125" customWidth="1"/>
    <col min="3" max="3" width="28.85546875" customWidth="1"/>
    <col min="4" max="4" width="8.28515625" customWidth="1"/>
    <col min="5" max="5" width="9.42578125" customWidth="1"/>
    <col min="6" max="6" width="8.7109375" customWidth="1"/>
    <col min="7" max="7" width="8.5703125" customWidth="1"/>
    <col min="8" max="8" width="8.42578125" customWidth="1"/>
    <col min="10" max="10" width="8.7109375" customWidth="1"/>
    <col min="15" max="15" width="12.140625" customWidth="1"/>
    <col min="16" max="16" width="11.85546875" style="39" bestFit="1" customWidth="1"/>
    <col min="19" max="19" width="12.42578125" customWidth="1"/>
    <col min="21" max="21" width="10.5703125" customWidth="1"/>
    <col min="22" max="22" width="11" customWidth="1"/>
    <col min="23" max="23" width="14.85546875" style="87" customWidth="1"/>
    <col min="24" max="24" width="13.85546875" customWidth="1"/>
    <col min="25" max="25" width="8.5703125" customWidth="1"/>
    <col min="26" max="26" width="10.42578125" customWidth="1"/>
    <col min="27" max="27" width="9.140625" hidden="1" customWidth="1"/>
    <col min="28" max="28" width="12" hidden="1" customWidth="1"/>
    <col min="29" max="29" width="13.85546875" hidden="1" customWidth="1"/>
    <col min="30" max="30" width="10.5703125" hidden="1" customWidth="1"/>
    <col min="31" max="31" width="11.28515625" hidden="1" customWidth="1"/>
    <col min="32" max="32" width="14.85546875" hidden="1" customWidth="1"/>
    <col min="33" max="34" width="9.140625" hidden="1" customWidth="1"/>
    <col min="35" max="35" width="10.28515625" hidden="1" customWidth="1"/>
  </cols>
  <sheetData>
    <row r="1" spans="1:35" x14ac:dyDescent="0.25">
      <c r="A1" s="101" t="s">
        <v>219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AA1" s="14"/>
    </row>
    <row r="2" spans="1:35" x14ac:dyDescent="0.2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AA2" s="14"/>
    </row>
    <row r="3" spans="1:35" x14ac:dyDescent="0.2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AA3" s="14"/>
    </row>
    <row r="4" spans="1:35" x14ac:dyDescent="0.2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AA4" s="14"/>
    </row>
    <row r="5" spans="1:35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AA5" s="15"/>
    </row>
    <row r="6" spans="1:35" ht="118.5" customHeight="1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</row>
    <row r="7" spans="1:35" x14ac:dyDescent="0.2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35" s="1" customFormat="1" ht="30.75" customHeight="1" x14ac:dyDescent="0.25">
      <c r="A8" s="92" t="s">
        <v>0</v>
      </c>
      <c r="B8" s="92" t="s">
        <v>4</v>
      </c>
      <c r="C8" s="92" t="s">
        <v>1</v>
      </c>
      <c r="D8" s="92" t="s">
        <v>2</v>
      </c>
      <c r="E8" s="92" t="s">
        <v>3</v>
      </c>
      <c r="F8" s="92" t="s">
        <v>5</v>
      </c>
      <c r="G8" s="92"/>
      <c r="H8" s="92"/>
      <c r="I8" s="92"/>
      <c r="J8" s="92"/>
      <c r="K8" s="92"/>
      <c r="L8" s="92" t="s">
        <v>6</v>
      </c>
      <c r="M8" s="92"/>
      <c r="N8" s="92"/>
      <c r="O8" s="92" t="s">
        <v>7</v>
      </c>
      <c r="P8" s="96" t="s">
        <v>8</v>
      </c>
      <c r="Q8" s="92" t="s">
        <v>9</v>
      </c>
      <c r="R8" s="92"/>
      <c r="S8" s="92"/>
      <c r="T8" s="92" t="s">
        <v>10</v>
      </c>
      <c r="U8" s="92" t="s">
        <v>11</v>
      </c>
      <c r="V8" s="92" t="s">
        <v>12</v>
      </c>
      <c r="W8" s="95" t="s">
        <v>13</v>
      </c>
      <c r="X8" s="92" t="s">
        <v>14</v>
      </c>
    </row>
    <row r="9" spans="1:35" s="1" customFormat="1" ht="95.25" customHeight="1" x14ac:dyDescent="0.25">
      <c r="A9" s="92"/>
      <c r="B9" s="92"/>
      <c r="C9" s="92"/>
      <c r="D9" s="92"/>
      <c r="E9" s="92"/>
      <c r="F9" s="8" t="s">
        <v>15</v>
      </c>
      <c r="G9" s="8" t="s">
        <v>71</v>
      </c>
      <c r="H9" s="8" t="s">
        <v>15</v>
      </c>
      <c r="I9" s="8" t="s">
        <v>72</v>
      </c>
      <c r="J9" s="8" t="s">
        <v>15</v>
      </c>
      <c r="K9" s="8" t="s">
        <v>73</v>
      </c>
      <c r="L9" s="16" t="s">
        <v>16</v>
      </c>
      <c r="M9" s="16" t="s">
        <v>17</v>
      </c>
      <c r="N9" s="16" t="s">
        <v>18</v>
      </c>
      <c r="O9" s="92"/>
      <c r="P9" s="96"/>
      <c r="Q9" s="16" t="s">
        <v>19</v>
      </c>
      <c r="R9" s="16" t="s">
        <v>20</v>
      </c>
      <c r="S9" s="16" t="s">
        <v>21</v>
      </c>
      <c r="T9" s="92"/>
      <c r="U9" s="92"/>
      <c r="V9" s="92"/>
      <c r="W9" s="95"/>
      <c r="X9" s="92"/>
      <c r="AA9" s="92" t="s">
        <v>27</v>
      </c>
      <c r="AB9" s="92"/>
      <c r="AC9" s="92"/>
      <c r="AD9" s="92" t="s">
        <v>26</v>
      </c>
      <c r="AE9" s="92"/>
      <c r="AF9" s="92"/>
      <c r="AG9" s="92" t="s">
        <v>28</v>
      </c>
      <c r="AH9" s="92"/>
      <c r="AI9" s="92"/>
    </row>
    <row r="10" spans="1:35" x14ac:dyDescent="0.25">
      <c r="A10" s="3">
        <v>1</v>
      </c>
      <c r="B10" s="3">
        <v>2</v>
      </c>
      <c r="C10" s="3">
        <v>3</v>
      </c>
      <c r="D10" s="17">
        <v>4</v>
      </c>
      <c r="E10" s="17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  <c r="P10" s="3">
        <v>16</v>
      </c>
      <c r="Q10" s="3">
        <v>17</v>
      </c>
      <c r="R10" s="3">
        <v>18</v>
      </c>
      <c r="S10" s="3">
        <v>19</v>
      </c>
      <c r="T10" s="3">
        <v>20</v>
      </c>
      <c r="U10" s="3">
        <v>21</v>
      </c>
      <c r="V10" s="3">
        <v>22</v>
      </c>
      <c r="W10" s="3">
        <v>23</v>
      </c>
      <c r="X10" s="3">
        <v>24</v>
      </c>
      <c r="AA10" s="2" t="s">
        <v>23</v>
      </c>
      <c r="AB10" s="2" t="s">
        <v>24</v>
      </c>
      <c r="AC10" s="2" t="s">
        <v>25</v>
      </c>
      <c r="AD10" s="2" t="s">
        <v>23</v>
      </c>
      <c r="AE10" s="2" t="s">
        <v>24</v>
      </c>
      <c r="AF10" s="2" t="s">
        <v>25</v>
      </c>
      <c r="AG10" s="2" t="s">
        <v>23</v>
      </c>
      <c r="AH10" s="2" t="s">
        <v>24</v>
      </c>
      <c r="AI10" s="2" t="s">
        <v>25</v>
      </c>
    </row>
    <row r="11" spans="1:35" ht="25.5" x14ac:dyDescent="0.25">
      <c r="A11" s="18">
        <v>1</v>
      </c>
      <c r="B11" s="35" t="s">
        <v>34</v>
      </c>
      <c r="C11" s="35" t="s">
        <v>41</v>
      </c>
      <c r="D11" s="19" t="s">
        <v>66</v>
      </c>
      <c r="E11" s="19">
        <v>100</v>
      </c>
      <c r="F11" s="20">
        <f>кп!G2</f>
        <v>73.936499999999995</v>
      </c>
      <c r="G11" s="18" t="s">
        <v>29</v>
      </c>
      <c r="H11" s="20">
        <f>кп!J2</f>
        <v>73.936499999999995</v>
      </c>
      <c r="I11" s="18" t="s">
        <v>31</v>
      </c>
      <c r="J11" s="20">
        <f>кп!M2</f>
        <v>73.936499999999995</v>
      </c>
      <c r="K11" s="18" t="s">
        <v>30</v>
      </c>
      <c r="L11" s="21">
        <f>AVERAGE(F11,H11,J11)</f>
        <v>73.936499999999995</v>
      </c>
      <c r="M11" s="21">
        <f>STDEV(F11,H11,J11)</f>
        <v>0</v>
      </c>
      <c r="N11" s="21">
        <f>M11/L11*100</f>
        <v>0</v>
      </c>
      <c r="O11" s="22">
        <f>MIN(F11,H11,J11)</f>
        <v>73.936499999999995</v>
      </c>
      <c r="P11" s="40">
        <v>69.302000000000007</v>
      </c>
      <c r="Q11" s="18">
        <v>71.8</v>
      </c>
      <c r="R11" s="18">
        <v>100</v>
      </c>
      <c r="S11" s="20">
        <f>R11*Q11</f>
        <v>7180</v>
      </c>
      <c r="T11" s="21"/>
      <c r="U11" s="86">
        <f>O11</f>
        <v>73.936499999999995</v>
      </c>
      <c r="V11" s="20">
        <f>U11*1.1</f>
        <v>81.330150000000003</v>
      </c>
      <c r="W11" s="88">
        <v>86.87</v>
      </c>
      <c r="X11" s="20">
        <f>W11*E11</f>
        <v>8687</v>
      </c>
      <c r="Y11" s="23">
        <f>ROUND(W11,2)</f>
        <v>86.87</v>
      </c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25.5" x14ac:dyDescent="0.25">
      <c r="A12" s="18">
        <v>2</v>
      </c>
      <c r="B12" s="35" t="s">
        <v>35</v>
      </c>
      <c r="C12" s="35" t="s">
        <v>36</v>
      </c>
      <c r="D12" s="18" t="s">
        <v>67</v>
      </c>
      <c r="E12" s="24">
        <v>100000</v>
      </c>
      <c r="F12" s="20">
        <f>кп!G3</f>
        <v>0.35669999999999996</v>
      </c>
      <c r="G12" s="18" t="s">
        <v>29</v>
      </c>
      <c r="H12" s="20">
        <f>кп!J3</f>
        <v>0.35669999999999996</v>
      </c>
      <c r="I12" s="18" t="s">
        <v>31</v>
      </c>
      <c r="J12" s="20">
        <f>кп!M3</f>
        <v>0.35669999999999996</v>
      </c>
      <c r="K12" s="18" t="s">
        <v>30</v>
      </c>
      <c r="L12" s="21">
        <f>AVERAGE(F12,H12,J12)</f>
        <v>0.35669999999999996</v>
      </c>
      <c r="M12" s="21">
        <f>STDEV(F12,H12,J12)</f>
        <v>0</v>
      </c>
      <c r="N12" s="21">
        <f>M12/L12*100</f>
        <v>0</v>
      </c>
      <c r="O12" s="22">
        <f>MIN(F12,H12,J12)</f>
        <v>0.35669999999999996</v>
      </c>
      <c r="P12" s="41">
        <v>0.23710000000000001</v>
      </c>
      <c r="Q12" s="21">
        <v>0.2</v>
      </c>
      <c r="R12" s="18">
        <v>170000</v>
      </c>
      <c r="S12" s="20">
        <f>R12*Q12</f>
        <v>34000</v>
      </c>
      <c r="T12" s="21"/>
      <c r="U12" s="86">
        <f t="shared" ref="U12:U25" si="0">O12</f>
        <v>0.35669999999999996</v>
      </c>
      <c r="V12" s="20">
        <f>U12*1.1</f>
        <v>0.39237</v>
      </c>
      <c r="W12" s="88">
        <v>0.39500000000000002</v>
      </c>
      <c r="X12" s="20">
        <f>W12*E12</f>
        <v>39500</v>
      </c>
      <c r="Y12" s="23">
        <f>ROUND(W12,2)</f>
        <v>0.4</v>
      </c>
      <c r="AA12" s="2">
        <v>20</v>
      </c>
      <c r="AB12" s="7">
        <f>X11/(AA12+AD12+AG12)</f>
        <v>173.74</v>
      </c>
      <c r="AC12" s="7">
        <f t="shared" ref="AC12" si="1">AB12*AA12</f>
        <v>3474.8</v>
      </c>
      <c r="AD12" s="2">
        <v>30</v>
      </c>
      <c r="AE12" s="7">
        <f t="shared" ref="AE12" si="2">AB12</f>
        <v>173.74</v>
      </c>
      <c r="AF12" s="7">
        <f t="shared" ref="AF12" si="3">AE12*AD12</f>
        <v>5212.2000000000007</v>
      </c>
      <c r="AG12" s="2"/>
      <c r="AH12" s="7">
        <f t="shared" ref="AH12" si="4">AE12</f>
        <v>173.74</v>
      </c>
      <c r="AI12" s="7">
        <f t="shared" ref="AI12" si="5">AH12*AG12</f>
        <v>0</v>
      </c>
    </row>
    <row r="13" spans="1:35" ht="38.25" x14ac:dyDescent="0.25">
      <c r="A13" s="30">
        <v>3</v>
      </c>
      <c r="B13" s="36" t="s">
        <v>37</v>
      </c>
      <c r="C13" s="37" t="s">
        <v>42</v>
      </c>
      <c r="D13" s="31" t="s">
        <v>33</v>
      </c>
      <c r="E13" s="27">
        <v>600</v>
      </c>
      <c r="F13" s="20">
        <f>кп!G4</f>
        <v>2.2589999999999999</v>
      </c>
      <c r="G13" s="18" t="s">
        <v>29</v>
      </c>
      <c r="H13" s="20">
        <f>кп!J4</f>
        <v>2.2589999999999999</v>
      </c>
      <c r="I13" s="18" t="s">
        <v>31</v>
      </c>
      <c r="J13" s="20">
        <f>кп!M4</f>
        <v>2.2589999999999999</v>
      </c>
      <c r="K13" s="18" t="s">
        <v>30</v>
      </c>
      <c r="L13" s="21">
        <f t="shared" ref="L13:L25" si="6">AVERAGE(F13,H13,J13)</f>
        <v>2.2589999999999999</v>
      </c>
      <c r="M13" s="21">
        <f t="shared" ref="M13:M25" si="7">STDEV(F13,H13,J13)</f>
        <v>0</v>
      </c>
      <c r="N13" s="21">
        <f t="shared" ref="N13:N25" si="8">M13/L13*100</f>
        <v>0</v>
      </c>
      <c r="O13" s="22">
        <f t="shared" ref="O13:O25" si="9">MIN(F13,H13,J13)</f>
        <v>2.2589999999999999</v>
      </c>
      <c r="P13" s="43">
        <v>5.0959999999999998E-2</v>
      </c>
      <c r="Q13" s="21">
        <v>0.8</v>
      </c>
      <c r="R13" s="18">
        <v>9800</v>
      </c>
      <c r="S13" s="20">
        <f t="shared" ref="S13:S25" si="10">R13*Q13</f>
        <v>7840</v>
      </c>
      <c r="T13" s="21"/>
      <c r="U13" s="86">
        <f t="shared" si="0"/>
        <v>2.2589999999999999</v>
      </c>
      <c r="V13" s="20">
        <f t="shared" ref="V13:V25" si="11">U13*1.1</f>
        <v>2.4849000000000001</v>
      </c>
      <c r="W13" s="88">
        <v>2.67</v>
      </c>
      <c r="X13" s="20">
        <f t="shared" ref="X13:X24" si="12">W13*E13</f>
        <v>1602</v>
      </c>
      <c r="Y13" s="23">
        <f t="shared" ref="Y13:Y25" si="13">ROUND(W13,2)</f>
        <v>2.67</v>
      </c>
      <c r="AA13" s="28"/>
      <c r="AB13" s="13"/>
      <c r="AC13" s="29"/>
      <c r="AD13" s="28"/>
      <c r="AE13" s="29"/>
      <c r="AF13" s="29"/>
      <c r="AG13" s="28"/>
      <c r="AH13" s="29"/>
      <c r="AI13" s="29"/>
    </row>
    <row r="14" spans="1:35" ht="38.25" x14ac:dyDescent="0.25">
      <c r="A14" s="30">
        <v>4</v>
      </c>
      <c r="B14" s="37" t="s">
        <v>38</v>
      </c>
      <c r="C14" s="37" t="s">
        <v>43</v>
      </c>
      <c r="D14" s="31" t="s">
        <v>33</v>
      </c>
      <c r="E14" s="27">
        <v>800</v>
      </c>
      <c r="F14" s="20">
        <f>кп!G5</f>
        <v>22.252000000000002</v>
      </c>
      <c r="G14" s="18" t="s">
        <v>29</v>
      </c>
      <c r="H14" s="20">
        <f>кп!J5</f>
        <v>22.252000000000002</v>
      </c>
      <c r="I14" s="18" t="s">
        <v>31</v>
      </c>
      <c r="J14" s="20">
        <f>кп!M5</f>
        <v>22.252000000000002</v>
      </c>
      <c r="K14" s="18" t="s">
        <v>30</v>
      </c>
      <c r="L14" s="21">
        <f t="shared" si="6"/>
        <v>22.251999999999999</v>
      </c>
      <c r="M14" s="21">
        <f t="shared" si="7"/>
        <v>4.3511678576336583E-15</v>
      </c>
      <c r="N14" s="21">
        <f t="shared" si="8"/>
        <v>1.9554052928427368E-14</v>
      </c>
      <c r="O14" s="22">
        <f t="shared" si="9"/>
        <v>22.252000000000002</v>
      </c>
      <c r="P14" s="41">
        <v>15.45</v>
      </c>
      <c r="Q14" s="21">
        <v>16.14</v>
      </c>
      <c r="R14" s="18">
        <v>1350</v>
      </c>
      <c r="S14" s="20">
        <f t="shared" si="10"/>
        <v>21789</v>
      </c>
      <c r="T14" s="21"/>
      <c r="U14" s="86">
        <f t="shared" si="0"/>
        <v>22.252000000000002</v>
      </c>
      <c r="V14" s="20">
        <f t="shared" si="11"/>
        <v>24.477200000000003</v>
      </c>
      <c r="W14" s="88">
        <v>27.14</v>
      </c>
      <c r="X14" s="20">
        <f t="shared" si="12"/>
        <v>21712</v>
      </c>
      <c r="Y14" s="23">
        <f t="shared" si="13"/>
        <v>27.14</v>
      </c>
      <c r="AA14" s="28"/>
      <c r="AB14" s="13"/>
      <c r="AC14" s="29"/>
      <c r="AD14" s="28"/>
      <c r="AE14" s="29"/>
      <c r="AF14" s="29"/>
      <c r="AG14" s="28"/>
      <c r="AH14" s="29"/>
      <c r="AI14" s="29"/>
    </row>
    <row r="15" spans="1:35" ht="28.5" customHeight="1" x14ac:dyDescent="0.25">
      <c r="A15" s="30">
        <v>5</v>
      </c>
      <c r="B15" s="37" t="s">
        <v>39</v>
      </c>
      <c r="C15" s="37" t="s">
        <v>44</v>
      </c>
      <c r="D15" s="31" t="s">
        <v>33</v>
      </c>
      <c r="E15" s="27">
        <v>600</v>
      </c>
      <c r="F15" s="20">
        <f>кп!G6</f>
        <v>3.4899999999999998</v>
      </c>
      <c r="G15" s="18" t="s">
        <v>29</v>
      </c>
      <c r="H15" s="20">
        <f>кп!J6</f>
        <v>5.085</v>
      </c>
      <c r="I15" s="18" t="s">
        <v>31</v>
      </c>
      <c r="J15" s="20">
        <f>кп!M6</f>
        <v>5.085</v>
      </c>
      <c r="K15" s="18" t="s">
        <v>30</v>
      </c>
      <c r="L15" s="21">
        <f t="shared" si="6"/>
        <v>4.5533333333333337</v>
      </c>
      <c r="M15" s="21">
        <f t="shared" si="7"/>
        <v>0.92087367935745268</v>
      </c>
      <c r="N15" s="21">
        <f t="shared" si="8"/>
        <v>20.224165725273483</v>
      </c>
      <c r="O15" s="22">
        <f t="shared" si="9"/>
        <v>3.4899999999999998</v>
      </c>
      <c r="P15" s="41">
        <v>2.2930000000000001</v>
      </c>
      <c r="Q15" s="21">
        <v>3.24</v>
      </c>
      <c r="R15" s="18">
        <v>6520</v>
      </c>
      <c r="S15" s="20">
        <f t="shared" si="10"/>
        <v>21124.800000000003</v>
      </c>
      <c r="T15" s="21"/>
      <c r="U15" s="86">
        <f t="shared" si="0"/>
        <v>3.4899999999999998</v>
      </c>
      <c r="V15" s="20">
        <f t="shared" si="11"/>
        <v>3.839</v>
      </c>
      <c r="W15" s="88">
        <v>4.5199999999999996</v>
      </c>
      <c r="X15" s="20">
        <f t="shared" si="12"/>
        <v>2711.9999999999995</v>
      </c>
      <c r="Y15" s="23">
        <f t="shared" si="13"/>
        <v>4.5199999999999996</v>
      </c>
      <c r="AA15" s="28"/>
      <c r="AB15" s="13"/>
      <c r="AC15" s="29"/>
      <c r="AD15" s="28"/>
      <c r="AE15" s="29"/>
      <c r="AF15" s="29"/>
      <c r="AG15" s="28"/>
      <c r="AH15" s="29"/>
      <c r="AI15" s="29"/>
    </row>
    <row r="16" spans="1:35" x14ac:dyDescent="0.25">
      <c r="A16" s="18">
        <v>6</v>
      </c>
      <c r="B16" s="38" t="s">
        <v>40</v>
      </c>
      <c r="C16" s="35" t="s">
        <v>45</v>
      </c>
      <c r="D16" s="26" t="s">
        <v>33</v>
      </c>
      <c r="E16" s="27">
        <v>5000</v>
      </c>
      <c r="F16" s="20">
        <f>кп!G7</f>
        <v>0.26690000000000003</v>
      </c>
      <c r="G16" s="18" t="s">
        <v>29</v>
      </c>
      <c r="H16" s="20">
        <f>кп!J7</f>
        <v>0.26690000000000003</v>
      </c>
      <c r="I16" s="18" t="s">
        <v>31</v>
      </c>
      <c r="J16" s="20">
        <f>кп!M7</f>
        <v>0.26690000000000003</v>
      </c>
      <c r="K16" s="18" t="s">
        <v>30</v>
      </c>
      <c r="L16" s="21">
        <f t="shared" si="6"/>
        <v>0.26690000000000003</v>
      </c>
      <c r="M16" s="21">
        <f t="shared" si="7"/>
        <v>0</v>
      </c>
      <c r="N16" s="21">
        <f t="shared" si="8"/>
        <v>0</v>
      </c>
      <c r="O16" s="22">
        <f t="shared" si="9"/>
        <v>0.26690000000000003</v>
      </c>
      <c r="P16" s="41">
        <v>0.23849999999999999</v>
      </c>
      <c r="Q16" s="21">
        <v>0.27</v>
      </c>
      <c r="R16" s="18">
        <v>10000</v>
      </c>
      <c r="S16" s="20">
        <f t="shared" si="10"/>
        <v>2700</v>
      </c>
      <c r="T16" s="21"/>
      <c r="U16" s="86">
        <f t="shared" si="0"/>
        <v>0.26690000000000003</v>
      </c>
      <c r="V16" s="20">
        <f t="shared" si="11"/>
        <v>0.29359000000000007</v>
      </c>
      <c r="W16" s="88">
        <v>0.34499999999999997</v>
      </c>
      <c r="X16" s="20">
        <f t="shared" si="12"/>
        <v>1724.9999999999998</v>
      </c>
      <c r="Y16" s="23">
        <f t="shared" si="13"/>
        <v>0.35</v>
      </c>
      <c r="AA16" s="28"/>
      <c r="AB16" s="13"/>
      <c r="AC16" s="29"/>
      <c r="AD16" s="28"/>
      <c r="AE16" s="29"/>
      <c r="AF16" s="29"/>
      <c r="AG16" s="28"/>
      <c r="AH16" s="29"/>
      <c r="AI16" s="29"/>
    </row>
    <row r="17" spans="1:35" ht="38.25" x14ac:dyDescent="0.25">
      <c r="A17" s="18">
        <v>7</v>
      </c>
      <c r="B17" s="35" t="s">
        <v>46</v>
      </c>
      <c r="C17" s="35" t="s">
        <v>47</v>
      </c>
      <c r="D17" s="26" t="s">
        <v>68</v>
      </c>
      <c r="E17" s="27">
        <v>600</v>
      </c>
      <c r="F17" s="20">
        <f>кп!G8</f>
        <v>18.727166666666669</v>
      </c>
      <c r="G17" s="18" t="s">
        <v>29</v>
      </c>
      <c r="H17" s="20">
        <f>кп!J8</f>
        <v>20.136333333333333</v>
      </c>
      <c r="I17" s="18" t="s">
        <v>31</v>
      </c>
      <c r="J17" s="20">
        <f>кп!M8</f>
        <v>19.090833333333332</v>
      </c>
      <c r="K17" s="18" t="s">
        <v>30</v>
      </c>
      <c r="L17" s="21">
        <f t="shared" si="6"/>
        <v>19.318111111111111</v>
      </c>
      <c r="M17" s="21">
        <f t="shared" si="7"/>
        <v>0.73155933786317928</v>
      </c>
      <c r="N17" s="21">
        <f t="shared" si="8"/>
        <v>3.7869092565805342</v>
      </c>
      <c r="O17" s="22">
        <f t="shared" si="9"/>
        <v>18.727166666666669</v>
      </c>
      <c r="P17" s="41" t="s">
        <v>75</v>
      </c>
      <c r="Q17" s="21">
        <v>4.08</v>
      </c>
      <c r="R17" s="18">
        <v>1500</v>
      </c>
      <c r="S17" s="20">
        <f t="shared" si="10"/>
        <v>6120</v>
      </c>
      <c r="T17" s="21"/>
      <c r="U17" s="86">
        <f t="shared" si="0"/>
        <v>18.727166666666669</v>
      </c>
      <c r="V17" s="20">
        <f t="shared" si="11"/>
        <v>20.599883333333338</v>
      </c>
      <c r="W17" s="88">
        <v>20.6</v>
      </c>
      <c r="X17" s="20">
        <f t="shared" si="12"/>
        <v>12360</v>
      </c>
      <c r="Y17" s="23">
        <f t="shared" si="13"/>
        <v>20.6</v>
      </c>
      <c r="AA17" s="28"/>
      <c r="AB17" s="13"/>
      <c r="AC17" s="29"/>
      <c r="AD17" s="28"/>
      <c r="AE17" s="29"/>
      <c r="AF17" s="29"/>
      <c r="AG17" s="28"/>
      <c r="AH17" s="29"/>
      <c r="AI17" s="29"/>
    </row>
    <row r="18" spans="1:35" ht="38.25" x14ac:dyDescent="0.25">
      <c r="A18" s="18">
        <v>8</v>
      </c>
      <c r="B18" s="35" t="s">
        <v>48</v>
      </c>
      <c r="C18" s="35" t="s">
        <v>49</v>
      </c>
      <c r="D18" s="26" t="s">
        <v>66</v>
      </c>
      <c r="E18" s="27">
        <v>50</v>
      </c>
      <c r="F18" s="20">
        <f>кп!G9</f>
        <v>0.83400000000000007</v>
      </c>
      <c r="G18" s="18" t="s">
        <v>29</v>
      </c>
      <c r="H18" s="20">
        <f>кп!J9</f>
        <v>0.83400000000000007</v>
      </c>
      <c r="I18" s="18" t="s">
        <v>31</v>
      </c>
      <c r="J18" s="20">
        <f>кп!M9</f>
        <v>0.83400000000000007</v>
      </c>
      <c r="K18" s="18" t="s">
        <v>30</v>
      </c>
      <c r="L18" s="21">
        <f t="shared" si="6"/>
        <v>0.83400000000000007</v>
      </c>
      <c r="M18" s="21">
        <f t="shared" si="7"/>
        <v>0</v>
      </c>
      <c r="N18" s="21">
        <f t="shared" si="8"/>
        <v>0</v>
      </c>
      <c r="O18" s="22">
        <f t="shared" si="9"/>
        <v>0.83400000000000007</v>
      </c>
      <c r="P18" s="41">
        <v>1.19</v>
      </c>
      <c r="Q18" s="21">
        <v>2.1800000000000002</v>
      </c>
      <c r="R18" s="18">
        <v>150</v>
      </c>
      <c r="S18" s="20">
        <f t="shared" si="10"/>
        <v>327</v>
      </c>
      <c r="T18" s="21"/>
      <c r="U18" s="86">
        <f t="shared" si="0"/>
        <v>0.83400000000000007</v>
      </c>
      <c r="V18" s="20">
        <f t="shared" si="11"/>
        <v>0.9174000000000001</v>
      </c>
      <c r="W18" s="88">
        <v>1.08</v>
      </c>
      <c r="X18" s="20">
        <f t="shared" si="12"/>
        <v>54</v>
      </c>
      <c r="Y18" s="23">
        <f t="shared" si="13"/>
        <v>1.08</v>
      </c>
      <c r="AA18" s="28"/>
      <c r="AB18" s="13"/>
      <c r="AC18" s="29"/>
      <c r="AD18" s="28"/>
      <c r="AE18" s="29"/>
      <c r="AF18" s="29"/>
      <c r="AG18" s="28"/>
      <c r="AH18" s="29"/>
      <c r="AI18" s="29"/>
    </row>
    <row r="19" spans="1:35" ht="25.5" x14ac:dyDescent="0.25">
      <c r="A19" s="18">
        <v>9</v>
      </c>
      <c r="B19" s="35" t="s">
        <v>50</v>
      </c>
      <c r="C19" s="35" t="s">
        <v>51</v>
      </c>
      <c r="D19" s="26" t="s">
        <v>66</v>
      </c>
      <c r="E19" s="27">
        <v>200</v>
      </c>
      <c r="F19" s="20">
        <f>кп!G10</f>
        <v>55.09075</v>
      </c>
      <c r="G19" s="18" t="s">
        <v>29</v>
      </c>
      <c r="H19" s="20">
        <f>кп!J10</f>
        <v>55.709000000000003</v>
      </c>
      <c r="I19" s="18" t="s">
        <v>31</v>
      </c>
      <c r="J19" s="20">
        <f>кп!M10</f>
        <v>44.363599999999998</v>
      </c>
      <c r="K19" s="18" t="s">
        <v>30</v>
      </c>
      <c r="L19" s="21">
        <f t="shared" si="6"/>
        <v>51.721116666666667</v>
      </c>
      <c r="M19" s="21">
        <f t="shared" si="7"/>
        <v>6.3792904692318482</v>
      </c>
      <c r="N19" s="21">
        <f t="shared" si="8"/>
        <v>12.33401535072267</v>
      </c>
      <c r="O19" s="22">
        <f t="shared" si="9"/>
        <v>44.363599999999998</v>
      </c>
      <c r="P19" s="41" t="s">
        <v>75</v>
      </c>
      <c r="Q19" s="21">
        <v>26.36</v>
      </c>
      <c r="R19" s="18">
        <v>200</v>
      </c>
      <c r="S19" s="20">
        <f t="shared" si="10"/>
        <v>5272</v>
      </c>
      <c r="T19" s="21"/>
      <c r="U19" s="86">
        <f t="shared" si="0"/>
        <v>44.363599999999998</v>
      </c>
      <c r="V19" s="20">
        <f t="shared" si="11"/>
        <v>48.799959999999999</v>
      </c>
      <c r="W19" s="88">
        <v>60.6</v>
      </c>
      <c r="X19" s="20">
        <f t="shared" si="12"/>
        <v>12120</v>
      </c>
      <c r="Y19" s="23">
        <f t="shared" si="13"/>
        <v>60.6</v>
      </c>
      <c r="AA19" s="28"/>
      <c r="AB19" s="13"/>
      <c r="AC19" s="29"/>
      <c r="AD19" s="28"/>
      <c r="AE19" s="29"/>
      <c r="AF19" s="29"/>
      <c r="AG19" s="28"/>
      <c r="AH19" s="29"/>
      <c r="AI19" s="29"/>
    </row>
    <row r="20" spans="1:35" ht="46.5" customHeight="1" x14ac:dyDescent="0.25">
      <c r="A20" s="18">
        <v>10</v>
      </c>
      <c r="B20" s="35" t="s">
        <v>52</v>
      </c>
      <c r="C20" s="35" t="s">
        <v>53</v>
      </c>
      <c r="D20" s="26" t="s">
        <v>68</v>
      </c>
      <c r="E20" s="27">
        <v>900</v>
      </c>
      <c r="F20" s="20">
        <f>кп!G11</f>
        <v>3.1063333333333332</v>
      </c>
      <c r="G20" s="18" t="s">
        <v>29</v>
      </c>
      <c r="H20" s="20">
        <f>кп!J11</f>
        <v>3.1063333333333332</v>
      </c>
      <c r="I20" s="18" t="s">
        <v>31</v>
      </c>
      <c r="J20" s="20">
        <f>кп!M11</f>
        <v>3.1063333333333332</v>
      </c>
      <c r="K20" s="18" t="s">
        <v>30</v>
      </c>
      <c r="L20" s="21">
        <f t="shared" si="6"/>
        <v>3.1063333333333332</v>
      </c>
      <c r="M20" s="21">
        <f t="shared" si="7"/>
        <v>0</v>
      </c>
      <c r="N20" s="21">
        <f t="shared" si="8"/>
        <v>0</v>
      </c>
      <c r="O20" s="22">
        <f t="shared" si="9"/>
        <v>3.1063333333333332</v>
      </c>
      <c r="P20" s="41">
        <v>2.6</v>
      </c>
      <c r="Q20" s="21">
        <v>2.31</v>
      </c>
      <c r="R20" s="18">
        <v>1800</v>
      </c>
      <c r="S20" s="20">
        <f t="shared" si="10"/>
        <v>4158</v>
      </c>
      <c r="T20" s="21"/>
      <c r="U20" s="86">
        <f t="shared" si="0"/>
        <v>3.1063333333333332</v>
      </c>
      <c r="V20" s="20">
        <f t="shared" si="11"/>
        <v>3.4169666666666667</v>
      </c>
      <c r="W20" s="88">
        <v>3.81</v>
      </c>
      <c r="X20" s="20">
        <f t="shared" si="12"/>
        <v>3429</v>
      </c>
      <c r="Y20" s="23">
        <f t="shared" si="13"/>
        <v>3.81</v>
      </c>
      <c r="AA20" s="28"/>
      <c r="AB20" s="13"/>
      <c r="AC20" s="29"/>
      <c r="AD20" s="28"/>
      <c r="AE20" s="29"/>
      <c r="AF20" s="29"/>
      <c r="AG20" s="28"/>
      <c r="AH20" s="29"/>
      <c r="AI20" s="29"/>
    </row>
    <row r="21" spans="1:35" ht="38.25" x14ac:dyDescent="0.25">
      <c r="A21" s="18">
        <v>11</v>
      </c>
      <c r="B21" s="35" t="s">
        <v>54</v>
      </c>
      <c r="C21" s="35" t="s">
        <v>55</v>
      </c>
      <c r="D21" s="26" t="s">
        <v>33</v>
      </c>
      <c r="E21" s="27">
        <v>1500</v>
      </c>
      <c r="F21" s="20">
        <f>кп!G12</f>
        <v>7.1029999999999998</v>
      </c>
      <c r="G21" s="18" t="s">
        <v>29</v>
      </c>
      <c r="H21" s="20">
        <f>кп!J12</f>
        <v>7.1029999999999998</v>
      </c>
      <c r="I21" s="18" t="s">
        <v>31</v>
      </c>
      <c r="J21" s="20">
        <f>кп!M12</f>
        <v>7.1029999999999998</v>
      </c>
      <c r="K21" s="18" t="s">
        <v>30</v>
      </c>
      <c r="L21" s="21">
        <f t="shared" si="6"/>
        <v>7.1029999999999989</v>
      </c>
      <c r="M21" s="21">
        <f t="shared" si="7"/>
        <v>1.0877919644084146E-15</v>
      </c>
      <c r="N21" s="21">
        <f t="shared" si="8"/>
        <v>1.5314542649703149E-14</v>
      </c>
      <c r="O21" s="22">
        <f t="shared" si="9"/>
        <v>7.1029999999999998</v>
      </c>
      <c r="P21" s="41">
        <v>3.32</v>
      </c>
      <c r="Q21" s="21">
        <v>0.41</v>
      </c>
      <c r="R21" s="18">
        <v>232300</v>
      </c>
      <c r="S21" s="20">
        <f t="shared" si="10"/>
        <v>95243</v>
      </c>
      <c r="T21" s="21"/>
      <c r="U21" s="86">
        <f t="shared" si="0"/>
        <v>7.1029999999999998</v>
      </c>
      <c r="V21" s="20">
        <f t="shared" si="11"/>
        <v>7.8133000000000008</v>
      </c>
      <c r="W21" s="88">
        <v>7.9</v>
      </c>
      <c r="X21" s="20">
        <f t="shared" si="12"/>
        <v>11850</v>
      </c>
      <c r="Y21" s="23">
        <f t="shared" si="13"/>
        <v>7.9</v>
      </c>
      <c r="AA21" s="28"/>
      <c r="AB21" s="13"/>
      <c r="AC21" s="29"/>
      <c r="AD21" s="28"/>
      <c r="AE21" s="29"/>
      <c r="AF21" s="29"/>
      <c r="AG21" s="28"/>
      <c r="AH21" s="29"/>
      <c r="AI21" s="29"/>
    </row>
    <row r="22" spans="1:35" ht="25.5" x14ac:dyDescent="0.25">
      <c r="A22" s="18">
        <v>12</v>
      </c>
      <c r="B22" s="35" t="s">
        <v>56</v>
      </c>
      <c r="C22" s="35" t="s">
        <v>57</v>
      </c>
      <c r="D22" s="26" t="s">
        <v>66</v>
      </c>
      <c r="E22" s="27">
        <v>1000</v>
      </c>
      <c r="F22" s="20">
        <f>кп!G13</f>
        <v>13.531400000000001</v>
      </c>
      <c r="G22" s="18" t="s">
        <v>29</v>
      </c>
      <c r="H22" s="20">
        <f>кп!J13</f>
        <v>13.531400000000001</v>
      </c>
      <c r="I22" s="18" t="s">
        <v>31</v>
      </c>
      <c r="J22" s="20">
        <f>кп!M13</f>
        <v>13.531400000000001</v>
      </c>
      <c r="K22" s="18" t="s">
        <v>30</v>
      </c>
      <c r="L22" s="21">
        <f t="shared" si="6"/>
        <v>13.5314</v>
      </c>
      <c r="M22" s="21">
        <f t="shared" si="7"/>
        <v>2.1755839288168292E-15</v>
      </c>
      <c r="N22" s="21">
        <f t="shared" si="8"/>
        <v>1.6078040179263263E-14</v>
      </c>
      <c r="O22" s="22">
        <f t="shared" si="9"/>
        <v>13.531400000000001</v>
      </c>
      <c r="P22" s="41">
        <v>11.3</v>
      </c>
      <c r="Q22" s="21">
        <v>10.86</v>
      </c>
      <c r="R22" s="18">
        <v>4500</v>
      </c>
      <c r="S22" s="20">
        <f t="shared" si="10"/>
        <v>48870</v>
      </c>
      <c r="T22" s="21"/>
      <c r="U22" s="86">
        <f t="shared" si="0"/>
        <v>13.531400000000001</v>
      </c>
      <c r="V22" s="20">
        <f t="shared" si="11"/>
        <v>14.884540000000003</v>
      </c>
      <c r="W22" s="88">
        <v>16.350000000000001</v>
      </c>
      <c r="X22" s="20">
        <f t="shared" si="12"/>
        <v>16350.000000000002</v>
      </c>
      <c r="Y22" s="23">
        <f t="shared" si="13"/>
        <v>16.350000000000001</v>
      </c>
      <c r="AA22" s="28"/>
      <c r="AB22" s="13"/>
      <c r="AC22" s="29"/>
      <c r="AD22" s="28"/>
      <c r="AE22" s="29"/>
      <c r="AF22" s="29"/>
      <c r="AG22" s="28"/>
      <c r="AH22" s="29"/>
      <c r="AI22" s="29"/>
    </row>
    <row r="23" spans="1:35" ht="33" customHeight="1" x14ac:dyDescent="0.25">
      <c r="A23" s="18">
        <v>13</v>
      </c>
      <c r="B23" s="35" t="s">
        <v>58</v>
      </c>
      <c r="C23" s="35" t="s">
        <v>74</v>
      </c>
      <c r="D23" s="26" t="s">
        <v>66</v>
      </c>
      <c r="E23" s="27">
        <v>540</v>
      </c>
      <c r="F23" s="20">
        <f>кп!G14</f>
        <v>0.98599999999999999</v>
      </c>
      <c r="G23" s="18" t="s">
        <v>29</v>
      </c>
      <c r="H23" s="20">
        <f>кп!J14</f>
        <v>0.98599999999999999</v>
      </c>
      <c r="I23" s="18" t="s">
        <v>31</v>
      </c>
      <c r="J23" s="20">
        <f>кп!M14</f>
        <v>0.98599999999999999</v>
      </c>
      <c r="K23" s="18" t="s">
        <v>30</v>
      </c>
      <c r="L23" s="21">
        <f t="shared" si="6"/>
        <v>0.9860000000000001</v>
      </c>
      <c r="M23" s="21">
        <f t="shared" si="7"/>
        <v>1.3597399555105182E-16</v>
      </c>
      <c r="N23" s="21">
        <f t="shared" si="8"/>
        <v>1.3790466080228377E-14</v>
      </c>
      <c r="O23" s="22">
        <f t="shared" si="9"/>
        <v>0.98599999999999999</v>
      </c>
      <c r="P23" s="41">
        <v>0.47</v>
      </c>
      <c r="Q23" s="21">
        <v>0.49</v>
      </c>
      <c r="R23" s="18">
        <v>1000</v>
      </c>
      <c r="S23" s="20">
        <f t="shared" si="10"/>
        <v>490</v>
      </c>
      <c r="T23" s="21"/>
      <c r="U23" s="86">
        <f t="shared" si="0"/>
        <v>0.98599999999999999</v>
      </c>
      <c r="V23" s="20">
        <f t="shared" si="11"/>
        <v>1.0846</v>
      </c>
      <c r="W23" s="88">
        <v>1.26</v>
      </c>
      <c r="X23" s="20">
        <f t="shared" si="12"/>
        <v>680.4</v>
      </c>
      <c r="Y23" s="23">
        <f t="shared" si="13"/>
        <v>1.26</v>
      </c>
      <c r="AA23" s="28"/>
      <c r="AB23" s="13"/>
      <c r="AC23" s="29"/>
      <c r="AD23" s="28"/>
      <c r="AE23" s="29"/>
      <c r="AF23" s="29"/>
      <c r="AG23" s="28"/>
      <c r="AH23" s="29"/>
      <c r="AI23" s="29"/>
    </row>
    <row r="24" spans="1:35" ht="38.25" x14ac:dyDescent="0.25">
      <c r="A24" s="18">
        <v>14</v>
      </c>
      <c r="B24" s="35" t="s">
        <v>59</v>
      </c>
      <c r="C24" s="35" t="s">
        <v>60</v>
      </c>
      <c r="D24" s="26" t="s">
        <v>33</v>
      </c>
      <c r="E24" s="27">
        <v>100</v>
      </c>
      <c r="F24" s="20">
        <f>кп!G15</f>
        <v>24.582000000000001</v>
      </c>
      <c r="G24" s="18" t="s">
        <v>29</v>
      </c>
      <c r="H24" s="20">
        <f>кп!J15</f>
        <v>24.582000000000001</v>
      </c>
      <c r="I24" s="18" t="s">
        <v>31</v>
      </c>
      <c r="J24" s="20">
        <f>кп!M15</f>
        <v>24.582000000000001</v>
      </c>
      <c r="K24" s="18" t="s">
        <v>30</v>
      </c>
      <c r="L24" s="21">
        <f t="shared" si="6"/>
        <v>24.582000000000004</v>
      </c>
      <c r="M24" s="21">
        <f t="shared" si="7"/>
        <v>4.3511678576336583E-15</v>
      </c>
      <c r="N24" s="21">
        <f t="shared" si="8"/>
        <v>1.7700625895507517E-14</v>
      </c>
      <c r="O24" s="22">
        <f t="shared" si="9"/>
        <v>24.582000000000001</v>
      </c>
      <c r="P24" s="41">
        <v>13.606</v>
      </c>
      <c r="Q24" s="21">
        <v>17.68</v>
      </c>
      <c r="R24" s="18">
        <v>100</v>
      </c>
      <c r="S24" s="20">
        <f t="shared" si="10"/>
        <v>1768</v>
      </c>
      <c r="T24" s="21"/>
      <c r="U24" s="86">
        <f t="shared" si="0"/>
        <v>24.582000000000001</v>
      </c>
      <c r="V24" s="20">
        <f t="shared" si="11"/>
        <v>27.040200000000002</v>
      </c>
      <c r="W24" s="88">
        <v>30.16</v>
      </c>
      <c r="X24" s="20">
        <f t="shared" si="12"/>
        <v>3016</v>
      </c>
      <c r="Y24" s="23">
        <f t="shared" si="13"/>
        <v>30.16</v>
      </c>
      <c r="AA24" s="28"/>
      <c r="AB24" s="13"/>
      <c r="AC24" s="29"/>
      <c r="AD24" s="28"/>
      <c r="AE24" s="29"/>
      <c r="AF24" s="29"/>
      <c r="AG24" s="28"/>
      <c r="AH24" s="29"/>
      <c r="AI24" s="29"/>
    </row>
    <row r="25" spans="1:35" ht="38.25" x14ac:dyDescent="0.25">
      <c r="A25" s="18">
        <v>15</v>
      </c>
      <c r="B25" s="35" t="s">
        <v>61</v>
      </c>
      <c r="C25" s="35" t="s">
        <v>62</v>
      </c>
      <c r="D25" s="26" t="s">
        <v>33</v>
      </c>
      <c r="E25" s="27">
        <v>120</v>
      </c>
      <c r="F25" s="20">
        <f>кп!G16</f>
        <v>406.4083333333333</v>
      </c>
      <c r="G25" s="18" t="s">
        <v>29</v>
      </c>
      <c r="H25" s="20">
        <f>кп!J16</f>
        <v>406.4083333333333</v>
      </c>
      <c r="I25" s="18" t="s">
        <v>31</v>
      </c>
      <c r="J25" s="20">
        <f>кп!M16</f>
        <v>406.4083333333333</v>
      </c>
      <c r="K25" s="18" t="s">
        <v>30</v>
      </c>
      <c r="L25" s="21">
        <f t="shared" si="6"/>
        <v>406.4083333333333</v>
      </c>
      <c r="M25" s="21">
        <f t="shared" si="7"/>
        <v>0</v>
      </c>
      <c r="N25" s="21">
        <f t="shared" si="8"/>
        <v>0</v>
      </c>
      <c r="O25" s="22">
        <f t="shared" si="9"/>
        <v>406.4083333333333</v>
      </c>
      <c r="P25" s="41">
        <v>303.7</v>
      </c>
      <c r="Q25" s="21">
        <v>278.11</v>
      </c>
      <c r="R25" s="18">
        <v>330</v>
      </c>
      <c r="S25" s="20">
        <f t="shared" si="10"/>
        <v>91776.3</v>
      </c>
      <c r="T25" s="21"/>
      <c r="U25" s="86">
        <f t="shared" si="0"/>
        <v>406.4083333333333</v>
      </c>
      <c r="V25" s="20">
        <f t="shared" si="11"/>
        <v>447.04916666666668</v>
      </c>
      <c r="W25" s="88">
        <v>491</v>
      </c>
      <c r="X25" s="20">
        <f>W25*E25</f>
        <v>58920</v>
      </c>
      <c r="Y25" s="23">
        <v>491</v>
      </c>
      <c r="AA25" s="28"/>
      <c r="AB25" s="13"/>
      <c r="AC25" s="29"/>
      <c r="AD25" s="28"/>
      <c r="AE25" s="29"/>
      <c r="AF25" s="29"/>
      <c r="AG25" s="28"/>
      <c r="AH25" s="29"/>
      <c r="AI25" s="29"/>
    </row>
    <row r="26" spans="1:35" ht="12.75" customHeight="1" x14ac:dyDescent="0.25">
      <c r="A26" s="97"/>
      <c r="B26" s="97"/>
      <c r="C26" s="97"/>
      <c r="D26" s="98"/>
      <c r="E26" s="98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20">
        <f>SUM(X11:X25)</f>
        <v>194717.4</v>
      </c>
      <c r="Y26" s="25"/>
      <c r="Z26" s="6"/>
      <c r="AB26" s="13"/>
      <c r="AC26" s="6">
        <f>SUM(AC12:AC12)</f>
        <v>3474.8</v>
      </c>
      <c r="AF26" s="6">
        <f>SUM(AF12:AF12)</f>
        <v>5212.2000000000007</v>
      </c>
      <c r="AI26" s="6">
        <f>SUM(AI12:AI12)</f>
        <v>0</v>
      </c>
    </row>
    <row r="27" spans="1:35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42"/>
      <c r="Q27" s="10"/>
      <c r="R27" s="10"/>
      <c r="S27" s="10"/>
      <c r="T27" s="10"/>
      <c r="U27" s="10"/>
      <c r="V27" s="10"/>
      <c r="W27" s="89"/>
      <c r="X27" s="9"/>
      <c r="Z27" s="6"/>
      <c r="AB27" s="9"/>
      <c r="AC27" s="6"/>
      <c r="AF27" s="6"/>
      <c r="AI27" s="6"/>
    </row>
    <row r="28" spans="1:35" ht="12.75" customHeight="1" x14ac:dyDescent="0.25">
      <c r="A28" s="10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"/>
      <c r="M28" s="10"/>
      <c r="N28" s="10"/>
      <c r="O28" s="10"/>
      <c r="P28" s="42"/>
      <c r="Q28" s="10"/>
      <c r="R28" s="10"/>
      <c r="S28" s="10"/>
      <c r="T28" s="10"/>
      <c r="U28" s="10"/>
      <c r="V28" s="10"/>
      <c r="W28" s="89"/>
      <c r="X28" s="9"/>
      <c r="Z28" s="6"/>
      <c r="AB28" s="9"/>
      <c r="AC28" s="6"/>
      <c r="AF28" s="6"/>
      <c r="AI28" s="6"/>
    </row>
    <row r="29" spans="1:35" ht="12.75" customHeight="1" x14ac:dyDescent="0.25">
      <c r="A29" s="10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"/>
      <c r="M29" s="10"/>
      <c r="N29" s="10"/>
      <c r="O29" s="10"/>
      <c r="P29" s="42"/>
      <c r="Q29" s="10"/>
      <c r="R29" s="10"/>
      <c r="S29" s="10"/>
      <c r="T29" s="10"/>
      <c r="U29" s="10"/>
      <c r="V29" s="10"/>
      <c r="W29" s="89"/>
      <c r="X29" s="9"/>
      <c r="AF29" s="6"/>
    </row>
    <row r="30" spans="1:35" ht="28.5" customHeight="1" x14ac:dyDescent="0.25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11"/>
      <c r="U30" s="11"/>
      <c r="V30" s="11"/>
      <c r="W30" s="90"/>
      <c r="X30" s="91"/>
    </row>
    <row r="31" spans="1:35" ht="15" customHeight="1" x14ac:dyDescent="0.25">
      <c r="B31" s="93" t="s">
        <v>22</v>
      </c>
      <c r="C31" s="93"/>
      <c r="D31" s="93"/>
      <c r="E31" s="93"/>
      <c r="F31" s="93"/>
      <c r="G31" s="93"/>
      <c r="H31" s="93"/>
      <c r="I31" s="4"/>
      <c r="J31" s="4"/>
      <c r="K31" s="4"/>
      <c r="L31" s="4"/>
      <c r="M31" s="4"/>
      <c r="X31" s="9"/>
      <c r="AC31" s="6"/>
    </row>
    <row r="32" spans="1:35" x14ac:dyDescent="0.25"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X32" s="9"/>
      <c r="AC32" s="6"/>
    </row>
    <row r="33" spans="2:29" x14ac:dyDescent="0.25"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X33" s="9"/>
      <c r="AC33" s="6"/>
    </row>
    <row r="34" spans="2:29" ht="15" customHeight="1" x14ac:dyDescent="0.25">
      <c r="B34" s="94" t="s">
        <v>32</v>
      </c>
      <c r="C34" s="94"/>
      <c r="D34" s="94"/>
      <c r="E34" s="94"/>
      <c r="F34" s="94"/>
      <c r="G34" s="94"/>
      <c r="H34" s="94"/>
      <c r="I34" s="94"/>
      <c r="J34" s="94"/>
      <c r="K34" s="5"/>
      <c r="L34" s="5"/>
      <c r="M34" s="4"/>
    </row>
    <row r="35" spans="2:29" x14ac:dyDescent="0.25">
      <c r="B35" s="94"/>
      <c r="C35" s="94"/>
      <c r="D35" s="94"/>
      <c r="E35" s="94"/>
      <c r="F35" s="94"/>
      <c r="G35" s="94"/>
      <c r="H35" s="94"/>
      <c r="I35" s="94"/>
      <c r="J35" s="94"/>
      <c r="K35" s="5"/>
      <c r="L35" s="5"/>
      <c r="M35" s="4"/>
    </row>
  </sheetData>
  <mergeCells count="28">
    <mergeCell ref="B33:Q33"/>
    <mergeCell ref="A1:M6"/>
    <mergeCell ref="A7:K7"/>
    <mergeCell ref="A8:A9"/>
    <mergeCell ref="B8:B9"/>
    <mergeCell ref="C8:C9"/>
    <mergeCell ref="D8:D9"/>
    <mergeCell ref="E8:E9"/>
    <mergeCell ref="F8:K8"/>
    <mergeCell ref="L8:N8"/>
    <mergeCell ref="B28:K28"/>
    <mergeCell ref="B29:K29"/>
    <mergeCell ref="AG9:AI9"/>
    <mergeCell ref="AD9:AF9"/>
    <mergeCell ref="AA9:AC9"/>
    <mergeCell ref="B31:H31"/>
    <mergeCell ref="B34:J35"/>
    <mergeCell ref="W8:W9"/>
    <mergeCell ref="X8:X9"/>
    <mergeCell ref="O8:O9"/>
    <mergeCell ref="P8:P9"/>
    <mergeCell ref="Q8:S8"/>
    <mergeCell ref="T8:T9"/>
    <mergeCell ref="U8:U9"/>
    <mergeCell ref="V8:V9"/>
    <mergeCell ref="A26:W26"/>
    <mergeCell ref="B30:S30"/>
    <mergeCell ref="B32:Q32"/>
  </mergeCells>
  <phoneticPr fontId="7" type="noConversion"/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S160"/>
  <sheetViews>
    <sheetView topLeftCell="A139" workbookViewId="0">
      <selection activeCell="H158" sqref="H158"/>
    </sheetView>
  </sheetViews>
  <sheetFormatPr defaultRowHeight="15" x14ac:dyDescent="0.25"/>
  <cols>
    <col min="5" max="5" width="33.140625" customWidth="1"/>
    <col min="6" max="6" width="18.5703125" customWidth="1"/>
    <col min="16" max="16" width="12.7109375" customWidth="1"/>
    <col min="18" max="18" width="10" bestFit="1" customWidth="1"/>
  </cols>
  <sheetData>
    <row r="4" spans="5:19" x14ac:dyDescent="0.25">
      <c r="E4" s="112" t="s">
        <v>76</v>
      </c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5:19" ht="25.5" x14ac:dyDescent="0.25">
      <c r="E5" s="112" t="s">
        <v>77</v>
      </c>
      <c r="F5" s="112"/>
      <c r="G5" s="112"/>
      <c r="H5" s="112"/>
      <c r="I5" s="112"/>
      <c r="J5" s="44"/>
      <c r="K5" s="45" t="s">
        <v>78</v>
      </c>
      <c r="L5" s="113" t="s">
        <v>15</v>
      </c>
      <c r="M5" s="113"/>
      <c r="N5" s="46"/>
      <c r="O5" s="47" t="s">
        <v>79</v>
      </c>
      <c r="P5" s="46"/>
      <c r="Q5" s="45" t="s">
        <v>80</v>
      </c>
      <c r="R5" s="48"/>
      <c r="S5" s="44"/>
    </row>
    <row r="6" spans="5:19" x14ac:dyDescent="0.25">
      <c r="E6" s="114" t="s">
        <v>81</v>
      </c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49"/>
      <c r="S6" s="44"/>
    </row>
    <row r="7" spans="5:19" ht="45" x14ac:dyDescent="0.25">
      <c r="E7" s="50" t="s">
        <v>82</v>
      </c>
      <c r="F7" s="51" t="s">
        <v>81</v>
      </c>
      <c r="G7" s="51" t="s">
        <v>83</v>
      </c>
      <c r="H7" s="52">
        <v>5</v>
      </c>
      <c r="I7" s="105" t="s">
        <v>84</v>
      </c>
      <c r="J7" s="105"/>
      <c r="K7" s="52">
        <v>20</v>
      </c>
      <c r="L7" s="106">
        <v>1702.06</v>
      </c>
      <c r="M7" s="106"/>
      <c r="N7" s="106"/>
      <c r="O7" s="106">
        <v>8510.2999999999993</v>
      </c>
      <c r="P7" s="106"/>
      <c r="Q7" s="54">
        <v>1435.94</v>
      </c>
      <c r="R7" s="55">
        <v>7179.7</v>
      </c>
      <c r="S7" s="44"/>
    </row>
    <row r="8" spans="5:19" ht="22.5" x14ac:dyDescent="0.25">
      <c r="E8" s="69"/>
      <c r="F8" s="70"/>
      <c r="G8" s="70" t="s">
        <v>182</v>
      </c>
      <c r="H8" s="71">
        <f>5*20</f>
        <v>100</v>
      </c>
      <c r="I8" s="70" t="s">
        <v>66</v>
      </c>
      <c r="J8" s="70"/>
      <c r="K8" s="71"/>
      <c r="L8" s="72" t="s">
        <v>66</v>
      </c>
      <c r="M8" s="72" t="s">
        <v>184</v>
      </c>
      <c r="N8" s="75">
        <f>L7/20/1.1</f>
        <v>77.36636363636363</v>
      </c>
      <c r="O8" s="72" t="s">
        <v>183</v>
      </c>
      <c r="P8" s="72">
        <f>N8*H8</f>
        <v>7736.6363636363631</v>
      </c>
      <c r="Q8" s="72" t="s">
        <v>65</v>
      </c>
      <c r="R8" s="74">
        <f>Q7/20</f>
        <v>71.796999999999997</v>
      </c>
      <c r="S8" s="44"/>
    </row>
    <row r="9" spans="5:19" x14ac:dyDescent="0.25">
      <c r="E9" s="69"/>
      <c r="F9" s="70"/>
      <c r="G9" s="70"/>
      <c r="H9" s="71"/>
      <c r="I9" s="70"/>
      <c r="J9" s="70"/>
      <c r="K9" s="71"/>
      <c r="L9" s="72"/>
      <c r="M9" s="72"/>
      <c r="N9" s="72"/>
      <c r="O9" s="72"/>
      <c r="P9" s="72"/>
      <c r="Q9" s="72"/>
      <c r="R9" s="73"/>
      <c r="S9" s="44"/>
    </row>
    <row r="10" spans="5:19" x14ac:dyDescent="0.25">
      <c r="E10" s="69"/>
      <c r="F10" s="70"/>
      <c r="G10" s="70"/>
      <c r="H10" s="71"/>
      <c r="I10" s="70"/>
      <c r="J10" s="70"/>
      <c r="K10" s="71"/>
      <c r="L10" s="72"/>
      <c r="M10" s="72"/>
      <c r="N10" s="72"/>
      <c r="O10" s="72"/>
      <c r="P10" s="72"/>
      <c r="Q10" s="72"/>
      <c r="R10" s="73"/>
      <c r="S10" s="44"/>
    </row>
    <row r="12" spans="5:19" x14ac:dyDescent="0.25">
      <c r="E12" s="107" t="s">
        <v>76</v>
      </c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</row>
    <row r="13" spans="5:19" ht="25.5" x14ac:dyDescent="0.25">
      <c r="E13" s="107" t="s">
        <v>77</v>
      </c>
      <c r="F13" s="107"/>
      <c r="G13" s="107"/>
      <c r="H13" s="107"/>
      <c r="I13" s="107"/>
      <c r="J13" s="44"/>
      <c r="K13" s="58" t="s">
        <v>78</v>
      </c>
      <c r="L13" s="59" t="s">
        <v>15</v>
      </c>
      <c r="M13" s="60"/>
      <c r="N13" s="59" t="s">
        <v>79</v>
      </c>
      <c r="O13" s="61"/>
      <c r="P13" s="60"/>
      <c r="Q13" s="58" t="s">
        <v>80</v>
      </c>
      <c r="R13" s="62"/>
      <c r="S13" s="44"/>
    </row>
    <row r="14" spans="5:19" x14ac:dyDescent="0.25">
      <c r="E14" s="108" t="s">
        <v>85</v>
      </c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63"/>
      <c r="S14" s="44"/>
    </row>
    <row r="15" spans="5:19" ht="56.25" x14ac:dyDescent="0.25">
      <c r="E15" s="50" t="s">
        <v>86</v>
      </c>
      <c r="F15" s="51" t="s">
        <v>85</v>
      </c>
      <c r="G15" s="51" t="s">
        <v>87</v>
      </c>
      <c r="H15" s="52">
        <v>20</v>
      </c>
      <c r="I15" s="105" t="s">
        <v>88</v>
      </c>
      <c r="J15" s="105"/>
      <c r="K15" s="56">
        <v>1000</v>
      </c>
      <c r="L15" s="109">
        <v>211.2</v>
      </c>
      <c r="M15" s="109"/>
      <c r="N15" s="106">
        <v>4224</v>
      </c>
      <c r="O15" s="106"/>
      <c r="P15" s="106"/>
      <c r="Q15" s="57">
        <v>356.7</v>
      </c>
      <c r="R15" s="55">
        <v>7134</v>
      </c>
      <c r="S15" s="44"/>
    </row>
    <row r="16" spans="5:19" ht="56.25" x14ac:dyDescent="0.25">
      <c r="E16" s="50" t="s">
        <v>89</v>
      </c>
      <c r="F16" s="51" t="s">
        <v>85</v>
      </c>
      <c r="G16" s="51" t="s">
        <v>87</v>
      </c>
      <c r="H16" s="52">
        <v>20</v>
      </c>
      <c r="I16" s="105" t="s">
        <v>88</v>
      </c>
      <c r="J16" s="105"/>
      <c r="K16" s="56">
        <v>1000</v>
      </c>
      <c r="L16" s="109">
        <v>211.2</v>
      </c>
      <c r="M16" s="109"/>
      <c r="N16" s="106">
        <v>4224</v>
      </c>
      <c r="O16" s="106"/>
      <c r="P16" s="106"/>
      <c r="Q16" s="57">
        <v>356.7</v>
      </c>
      <c r="R16" s="55">
        <v>7134</v>
      </c>
      <c r="S16" s="44"/>
    </row>
    <row r="17" spans="5:19" ht="45" x14ac:dyDescent="0.25">
      <c r="E17" s="50" t="s">
        <v>91</v>
      </c>
      <c r="F17" s="51" t="s">
        <v>90</v>
      </c>
      <c r="G17" s="51" t="s">
        <v>92</v>
      </c>
      <c r="H17" s="52">
        <v>30</v>
      </c>
      <c r="I17" s="105" t="s">
        <v>88</v>
      </c>
      <c r="J17" s="105"/>
      <c r="K17" s="52">
        <v>1</v>
      </c>
      <c r="L17" s="109">
        <v>220</v>
      </c>
      <c r="M17" s="109"/>
      <c r="N17" s="106">
        <v>6600</v>
      </c>
      <c r="O17" s="106"/>
      <c r="P17" s="106"/>
      <c r="Q17" s="57">
        <v>180</v>
      </c>
      <c r="R17" s="55">
        <v>5400</v>
      </c>
      <c r="S17" s="44"/>
    </row>
    <row r="18" spans="5:19" ht="45" x14ac:dyDescent="0.25">
      <c r="E18" s="50" t="s">
        <v>93</v>
      </c>
      <c r="F18" s="51" t="s">
        <v>90</v>
      </c>
      <c r="G18" s="51" t="s">
        <v>92</v>
      </c>
      <c r="H18" s="52">
        <v>70</v>
      </c>
      <c r="I18" s="105" t="s">
        <v>88</v>
      </c>
      <c r="J18" s="105"/>
      <c r="K18" s="52">
        <v>1</v>
      </c>
      <c r="L18" s="109">
        <v>220</v>
      </c>
      <c r="M18" s="109"/>
      <c r="N18" s="106">
        <v>15400</v>
      </c>
      <c r="O18" s="106"/>
      <c r="P18" s="106"/>
      <c r="Q18" s="57">
        <v>180</v>
      </c>
      <c r="R18" s="55">
        <v>12600</v>
      </c>
      <c r="S18" s="44"/>
    </row>
    <row r="19" spans="5:19" ht="45" x14ac:dyDescent="0.25">
      <c r="E19" s="50" t="s">
        <v>94</v>
      </c>
      <c r="F19" s="51" t="s">
        <v>90</v>
      </c>
      <c r="G19" s="51" t="s">
        <v>92</v>
      </c>
      <c r="H19" s="52">
        <v>30</v>
      </c>
      <c r="I19" s="105" t="s">
        <v>88</v>
      </c>
      <c r="J19" s="105"/>
      <c r="K19" s="52">
        <v>1</v>
      </c>
      <c r="L19" s="109">
        <v>220</v>
      </c>
      <c r="M19" s="109"/>
      <c r="N19" s="106">
        <v>6600</v>
      </c>
      <c r="O19" s="106"/>
      <c r="P19" s="106"/>
      <c r="Q19" s="57">
        <v>180</v>
      </c>
      <c r="R19" s="55">
        <v>5400</v>
      </c>
      <c r="S19" s="44"/>
    </row>
    <row r="20" spans="5:19" x14ac:dyDescent="0.25">
      <c r="E20" s="69"/>
      <c r="F20" s="70"/>
      <c r="G20" s="70"/>
      <c r="H20" s="71">
        <f>SUM(H15:H19)</f>
        <v>170</v>
      </c>
      <c r="I20" s="70"/>
      <c r="J20" s="70" t="s">
        <v>67</v>
      </c>
      <c r="K20" s="71">
        <f>H20*1000</f>
        <v>170000</v>
      </c>
      <c r="L20" s="76"/>
      <c r="M20" s="76"/>
      <c r="N20" s="72"/>
      <c r="O20" s="72"/>
      <c r="P20" s="72">
        <f>SUM(N15:P19)</f>
        <v>37048</v>
      </c>
      <c r="Q20" s="76"/>
      <c r="R20" s="73">
        <f>SUM(R15:R19)</f>
        <v>37668</v>
      </c>
      <c r="S20" s="44"/>
    </row>
    <row r="21" spans="5:19" x14ac:dyDescent="0.25">
      <c r="E21" s="69"/>
      <c r="F21" s="70"/>
      <c r="G21" s="70"/>
      <c r="H21" s="71"/>
      <c r="I21" s="70"/>
      <c r="J21" s="70"/>
      <c r="K21" s="71"/>
      <c r="L21" s="76"/>
      <c r="M21" s="76"/>
      <c r="N21" s="72"/>
      <c r="O21" s="72" t="s">
        <v>186</v>
      </c>
      <c r="P21" s="72">
        <f>P20/K20</f>
        <v>0.21792941176470587</v>
      </c>
      <c r="Q21" s="76"/>
      <c r="R21" s="74">
        <f>R20/K20</f>
        <v>0.22157647058823529</v>
      </c>
      <c r="S21" s="44"/>
    </row>
    <row r="22" spans="5:19" ht="22.5" x14ac:dyDescent="0.25">
      <c r="E22" s="69"/>
      <c r="F22" s="70"/>
      <c r="G22" s="70"/>
      <c r="H22" s="71"/>
      <c r="I22" s="70"/>
      <c r="J22" s="70"/>
      <c r="K22" s="71"/>
      <c r="L22" s="76"/>
      <c r="M22" s="76"/>
      <c r="N22" s="72"/>
      <c r="O22" s="72" t="s">
        <v>187</v>
      </c>
      <c r="P22" s="75">
        <f>P21/1.1</f>
        <v>0.19811764705882351</v>
      </c>
      <c r="Q22" s="76"/>
      <c r="R22" s="73"/>
      <c r="S22" s="44"/>
    </row>
    <row r="24" spans="5:19" x14ac:dyDescent="0.25">
      <c r="E24" s="107" t="s">
        <v>76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5:19" ht="25.5" x14ac:dyDescent="0.25">
      <c r="E25" s="107" t="s">
        <v>77</v>
      </c>
      <c r="F25" s="107"/>
      <c r="G25" s="107"/>
      <c r="H25" s="107"/>
      <c r="I25" s="107"/>
      <c r="J25" s="44"/>
      <c r="K25" s="58" t="s">
        <v>78</v>
      </c>
      <c r="L25" s="59" t="s">
        <v>15</v>
      </c>
      <c r="M25" s="60"/>
      <c r="N25" s="110" t="s">
        <v>79</v>
      </c>
      <c r="O25" s="110"/>
      <c r="P25" s="60"/>
      <c r="Q25" s="58" t="s">
        <v>80</v>
      </c>
      <c r="R25" s="62"/>
      <c r="S25" s="44"/>
    </row>
    <row r="26" spans="5:19" x14ac:dyDescent="0.25">
      <c r="E26" s="108" t="s">
        <v>95</v>
      </c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63"/>
      <c r="S26" s="44"/>
    </row>
    <row r="27" spans="5:19" ht="45" x14ac:dyDescent="0.25">
      <c r="E27" s="50" t="s">
        <v>96</v>
      </c>
      <c r="F27" s="51" t="s">
        <v>95</v>
      </c>
      <c r="G27" s="51" t="s">
        <v>97</v>
      </c>
      <c r="H27" s="52">
        <v>24</v>
      </c>
      <c r="I27" s="105" t="s">
        <v>98</v>
      </c>
      <c r="J27" s="105"/>
      <c r="K27" s="52">
        <v>100</v>
      </c>
      <c r="L27" s="109">
        <v>88</v>
      </c>
      <c r="M27" s="109"/>
      <c r="N27" s="106">
        <v>2112</v>
      </c>
      <c r="O27" s="106"/>
      <c r="P27" s="106"/>
      <c r="Q27" s="57">
        <v>71</v>
      </c>
      <c r="R27" s="55">
        <v>1704</v>
      </c>
      <c r="S27" s="44"/>
    </row>
    <row r="28" spans="5:19" ht="45" x14ac:dyDescent="0.25">
      <c r="E28" s="50" t="s">
        <v>99</v>
      </c>
      <c r="F28" s="51" t="s">
        <v>95</v>
      </c>
      <c r="G28" s="51" t="s">
        <v>97</v>
      </c>
      <c r="H28" s="52">
        <v>26</v>
      </c>
      <c r="I28" s="105" t="s">
        <v>98</v>
      </c>
      <c r="J28" s="105"/>
      <c r="K28" s="52">
        <v>100</v>
      </c>
      <c r="L28" s="109">
        <v>88</v>
      </c>
      <c r="M28" s="109"/>
      <c r="N28" s="106">
        <v>2288</v>
      </c>
      <c r="O28" s="106"/>
      <c r="P28" s="106"/>
      <c r="Q28" s="57">
        <v>91</v>
      </c>
      <c r="R28" s="55">
        <v>2366</v>
      </c>
      <c r="S28" s="44"/>
    </row>
    <row r="29" spans="5:19" ht="45" x14ac:dyDescent="0.25">
      <c r="E29" s="50" t="s">
        <v>100</v>
      </c>
      <c r="F29" s="51" t="s">
        <v>95</v>
      </c>
      <c r="G29" s="51" t="s">
        <v>97</v>
      </c>
      <c r="H29" s="52">
        <v>44</v>
      </c>
      <c r="I29" s="105" t="s">
        <v>98</v>
      </c>
      <c r="J29" s="105"/>
      <c r="K29" s="52">
        <v>100</v>
      </c>
      <c r="L29" s="109">
        <v>88</v>
      </c>
      <c r="M29" s="109"/>
      <c r="N29" s="106">
        <v>3872</v>
      </c>
      <c r="O29" s="106"/>
      <c r="P29" s="106"/>
      <c r="Q29" s="57">
        <v>91</v>
      </c>
      <c r="R29" s="55">
        <v>4004</v>
      </c>
      <c r="S29" s="44"/>
    </row>
    <row r="30" spans="5:19" ht="45" x14ac:dyDescent="0.25">
      <c r="E30" s="50" t="s">
        <v>100</v>
      </c>
      <c r="F30" s="51" t="s">
        <v>95</v>
      </c>
      <c r="G30" s="51" t="s">
        <v>101</v>
      </c>
      <c r="H30" s="52">
        <v>4</v>
      </c>
      <c r="I30" s="105" t="s">
        <v>98</v>
      </c>
      <c r="J30" s="105"/>
      <c r="K30" s="52">
        <v>100</v>
      </c>
      <c r="L30" s="109">
        <v>88</v>
      </c>
      <c r="M30" s="109"/>
      <c r="N30" s="109">
        <v>352</v>
      </c>
      <c r="O30" s="109"/>
      <c r="P30" s="109"/>
      <c r="Q30" s="57">
        <v>68.75</v>
      </c>
      <c r="R30" s="65">
        <v>275</v>
      </c>
      <c r="S30" s="44"/>
    </row>
    <row r="31" spans="5:19" x14ac:dyDescent="0.25">
      <c r="E31" s="69"/>
      <c r="F31" s="70"/>
      <c r="G31" s="70" t="s">
        <v>188</v>
      </c>
      <c r="H31" s="71">
        <f>SUM(H27:H30)</f>
        <v>98</v>
      </c>
      <c r="I31" s="70"/>
      <c r="J31" s="70" t="s">
        <v>33</v>
      </c>
      <c r="K31" s="71">
        <f>H31*10*10</f>
        <v>9800</v>
      </c>
      <c r="L31" s="76"/>
      <c r="M31" s="76"/>
      <c r="N31" s="76"/>
      <c r="O31" s="76"/>
      <c r="P31" s="76">
        <f>SUM(N27:P30)</f>
        <v>8624</v>
      </c>
      <c r="Q31" s="78">
        <f>R31/K31</f>
        <v>0.85193877551020403</v>
      </c>
      <c r="R31" s="77">
        <f>SUM(R27:R30)</f>
        <v>8349</v>
      </c>
      <c r="S31" s="44"/>
    </row>
    <row r="32" spans="5:19" ht="22.5" x14ac:dyDescent="0.25">
      <c r="E32" s="69"/>
      <c r="F32" s="70"/>
      <c r="G32" s="70"/>
      <c r="H32" s="71"/>
      <c r="I32" s="70"/>
      <c r="J32" s="70"/>
      <c r="K32" s="71"/>
      <c r="L32" s="76"/>
      <c r="M32" s="76"/>
      <c r="N32" s="76"/>
      <c r="O32" s="76" t="s">
        <v>189</v>
      </c>
      <c r="P32" s="76">
        <f>P31/K31</f>
        <v>0.88</v>
      </c>
      <c r="Q32" s="76"/>
      <c r="R32" s="77"/>
      <c r="S32" s="44"/>
    </row>
    <row r="33" spans="5:19" ht="22.5" x14ac:dyDescent="0.25">
      <c r="E33" s="69"/>
      <c r="F33" s="70"/>
      <c r="G33" s="70"/>
      <c r="H33" s="71"/>
      <c r="I33" s="70"/>
      <c r="J33" s="70"/>
      <c r="K33" s="71"/>
      <c r="L33" s="76"/>
      <c r="M33" s="76"/>
      <c r="N33" s="76"/>
      <c r="O33" s="76" t="s">
        <v>190</v>
      </c>
      <c r="P33" s="78">
        <f>P32/1.1</f>
        <v>0.79999999999999993</v>
      </c>
      <c r="Q33" s="76"/>
      <c r="R33" s="77"/>
      <c r="S33" s="44"/>
    </row>
    <row r="35" spans="5:19" x14ac:dyDescent="0.25">
      <c r="E35" s="107" t="s">
        <v>76</v>
      </c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</row>
    <row r="36" spans="5:19" ht="25.5" x14ac:dyDescent="0.25">
      <c r="E36" s="107" t="s">
        <v>77</v>
      </c>
      <c r="F36" s="107"/>
      <c r="G36" s="107"/>
      <c r="H36" s="107"/>
      <c r="I36" s="107"/>
      <c r="J36" s="44"/>
      <c r="K36" s="58" t="s">
        <v>78</v>
      </c>
      <c r="L36" s="110" t="s">
        <v>15</v>
      </c>
      <c r="M36" s="110"/>
      <c r="N36" s="60"/>
      <c r="O36" s="59" t="s">
        <v>79</v>
      </c>
      <c r="P36" s="60"/>
      <c r="Q36" s="58" t="s">
        <v>80</v>
      </c>
      <c r="R36" s="62"/>
      <c r="S36" s="44"/>
    </row>
    <row r="37" spans="5:19" x14ac:dyDescent="0.25">
      <c r="E37" s="108" t="s">
        <v>102</v>
      </c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63"/>
      <c r="S37" s="44"/>
    </row>
    <row r="38" spans="5:19" ht="45" x14ac:dyDescent="0.25">
      <c r="E38" s="50" t="s">
        <v>103</v>
      </c>
      <c r="F38" s="51" t="s">
        <v>102</v>
      </c>
      <c r="G38" s="51" t="s">
        <v>104</v>
      </c>
      <c r="H38" s="52">
        <v>50</v>
      </c>
      <c r="I38" s="105" t="s">
        <v>105</v>
      </c>
      <c r="J38" s="105"/>
      <c r="K38" s="52">
        <v>10</v>
      </c>
      <c r="L38" s="109">
        <v>187</v>
      </c>
      <c r="M38" s="109"/>
      <c r="N38" s="109"/>
      <c r="O38" s="106">
        <v>9350</v>
      </c>
      <c r="P38" s="106"/>
      <c r="Q38" s="57">
        <v>154.19999999999999</v>
      </c>
      <c r="R38" s="55">
        <v>7710</v>
      </c>
      <c r="S38" s="44"/>
    </row>
    <row r="39" spans="5:19" ht="45" x14ac:dyDescent="0.25">
      <c r="E39" s="50" t="s">
        <v>106</v>
      </c>
      <c r="F39" s="51" t="s">
        <v>102</v>
      </c>
      <c r="G39" s="51" t="s">
        <v>104</v>
      </c>
      <c r="H39" s="52">
        <v>50</v>
      </c>
      <c r="I39" s="105" t="s">
        <v>105</v>
      </c>
      <c r="J39" s="105"/>
      <c r="K39" s="52">
        <v>10</v>
      </c>
      <c r="L39" s="109">
        <v>187</v>
      </c>
      <c r="M39" s="109"/>
      <c r="N39" s="109"/>
      <c r="O39" s="106">
        <v>9350</v>
      </c>
      <c r="P39" s="106"/>
      <c r="Q39" s="57">
        <v>154.19999999999999</v>
      </c>
      <c r="R39" s="55">
        <v>7710</v>
      </c>
      <c r="S39" s="44"/>
    </row>
    <row r="40" spans="5:19" ht="45" x14ac:dyDescent="0.25">
      <c r="E40" s="50" t="s">
        <v>108</v>
      </c>
      <c r="F40" s="51" t="s">
        <v>107</v>
      </c>
      <c r="G40" s="51" t="s">
        <v>109</v>
      </c>
      <c r="H40" s="52">
        <v>20</v>
      </c>
      <c r="I40" s="105" t="s">
        <v>105</v>
      </c>
      <c r="J40" s="105"/>
      <c r="K40" s="52">
        <v>10</v>
      </c>
      <c r="L40" s="109">
        <v>222.3</v>
      </c>
      <c r="M40" s="109"/>
      <c r="N40" s="109"/>
      <c r="O40" s="106">
        <v>4446</v>
      </c>
      <c r="P40" s="106"/>
      <c r="Q40" s="57">
        <v>182.06</v>
      </c>
      <c r="R40" s="55">
        <v>3641.2</v>
      </c>
      <c r="S40" s="44"/>
    </row>
    <row r="41" spans="5:19" ht="45" x14ac:dyDescent="0.25">
      <c r="E41" s="50" t="s">
        <v>110</v>
      </c>
      <c r="F41" s="51" t="s">
        <v>107</v>
      </c>
      <c r="G41" s="51" t="s">
        <v>109</v>
      </c>
      <c r="H41" s="52">
        <v>15</v>
      </c>
      <c r="I41" s="105" t="s">
        <v>105</v>
      </c>
      <c r="J41" s="105"/>
      <c r="K41" s="52">
        <v>10</v>
      </c>
      <c r="L41" s="109">
        <v>222.3</v>
      </c>
      <c r="M41" s="109"/>
      <c r="N41" s="109"/>
      <c r="O41" s="106">
        <v>3334.5</v>
      </c>
      <c r="P41" s="106"/>
      <c r="Q41" s="57">
        <v>182.06</v>
      </c>
      <c r="R41" s="55">
        <v>2730.9</v>
      </c>
      <c r="S41" s="44"/>
    </row>
    <row r="42" spans="5:19" ht="22.5" x14ac:dyDescent="0.25">
      <c r="E42" s="69"/>
      <c r="F42" s="70"/>
      <c r="G42" s="70"/>
      <c r="H42" s="71">
        <f>SUM(H38:H41)</f>
        <v>135</v>
      </c>
      <c r="I42" s="70"/>
      <c r="J42" s="70" t="s">
        <v>33</v>
      </c>
      <c r="K42" s="71">
        <f>H42*5*2</f>
        <v>1350</v>
      </c>
      <c r="L42" s="76"/>
      <c r="M42" s="76"/>
      <c r="N42" s="76"/>
      <c r="O42" s="72"/>
      <c r="P42" s="72">
        <f>SUM(O38:P41)</f>
        <v>26480.5</v>
      </c>
      <c r="Q42" s="76" t="s">
        <v>193</v>
      </c>
      <c r="R42" s="73">
        <f>SUM(R38:R41)</f>
        <v>21792.100000000002</v>
      </c>
      <c r="S42" s="44"/>
    </row>
    <row r="43" spans="5:19" x14ac:dyDescent="0.25">
      <c r="E43" s="69"/>
      <c r="F43" s="70"/>
      <c r="G43" s="70"/>
      <c r="H43" s="71"/>
      <c r="I43" s="70"/>
      <c r="J43" s="70"/>
      <c r="K43" s="71"/>
      <c r="L43" s="76"/>
      <c r="M43" s="76"/>
      <c r="N43" s="76"/>
      <c r="O43" s="72" t="s">
        <v>191</v>
      </c>
      <c r="P43" s="72">
        <f>P42/K42</f>
        <v>19.615185185185187</v>
      </c>
      <c r="Q43" s="76" t="s">
        <v>194</v>
      </c>
      <c r="R43" s="74">
        <f>R42/K42</f>
        <v>16.142296296296298</v>
      </c>
      <c r="S43" s="44"/>
    </row>
    <row r="44" spans="5:19" x14ac:dyDescent="0.25">
      <c r="E44" s="69"/>
      <c r="F44" s="70"/>
      <c r="G44" s="70"/>
      <c r="H44" s="71"/>
      <c r="I44" s="70"/>
      <c r="J44" s="70"/>
      <c r="K44" s="71"/>
      <c r="L44" s="76"/>
      <c r="M44" s="76"/>
      <c r="N44" s="76"/>
      <c r="O44" s="72" t="s">
        <v>192</v>
      </c>
      <c r="P44" s="75">
        <f>P43/1.1</f>
        <v>17.831986531986534</v>
      </c>
      <c r="Q44" s="76"/>
      <c r="R44" s="73"/>
      <c r="S44" s="44"/>
    </row>
    <row r="46" spans="5:19" x14ac:dyDescent="0.25">
      <c r="E46" s="107" t="s">
        <v>76</v>
      </c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</row>
    <row r="47" spans="5:19" ht="25.5" x14ac:dyDescent="0.25">
      <c r="E47" s="107" t="s">
        <v>77</v>
      </c>
      <c r="F47" s="107"/>
      <c r="G47" s="107"/>
      <c r="H47" s="107"/>
      <c r="I47" s="107"/>
      <c r="J47" s="44"/>
      <c r="K47" s="107" t="s">
        <v>78</v>
      </c>
      <c r="L47" s="107"/>
      <c r="M47" s="59" t="s">
        <v>15</v>
      </c>
      <c r="N47" s="60"/>
      <c r="O47" s="59" t="s">
        <v>79</v>
      </c>
      <c r="P47" s="60"/>
      <c r="Q47" s="58" t="s">
        <v>80</v>
      </c>
      <c r="R47" s="62"/>
      <c r="S47" s="44"/>
    </row>
    <row r="48" spans="5:19" x14ac:dyDescent="0.25">
      <c r="E48" s="108" t="s">
        <v>111</v>
      </c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63"/>
      <c r="S48" s="44"/>
    </row>
    <row r="49" spans="5:19" ht="22.5" x14ac:dyDescent="0.25">
      <c r="E49" s="50" t="s">
        <v>112</v>
      </c>
      <c r="F49" s="51" t="s">
        <v>111</v>
      </c>
      <c r="G49" s="51" t="s">
        <v>113</v>
      </c>
      <c r="H49" s="52">
        <v>40</v>
      </c>
      <c r="I49" s="105" t="s">
        <v>114</v>
      </c>
      <c r="J49" s="105"/>
      <c r="K49" s="111">
        <v>20</v>
      </c>
      <c r="L49" s="111"/>
      <c r="M49" s="109">
        <v>64</v>
      </c>
      <c r="N49" s="109"/>
      <c r="O49" s="106">
        <v>2560</v>
      </c>
      <c r="P49" s="106"/>
      <c r="Q49" s="57">
        <v>49.78</v>
      </c>
      <c r="R49" s="55">
        <v>1991.2</v>
      </c>
      <c r="S49" s="44"/>
    </row>
    <row r="50" spans="5:19" ht="33.75" x14ac:dyDescent="0.25">
      <c r="E50" s="50" t="s">
        <v>103</v>
      </c>
      <c r="F50" s="51" t="s">
        <v>115</v>
      </c>
      <c r="G50" s="51" t="s">
        <v>116</v>
      </c>
      <c r="H50" s="52">
        <v>50</v>
      </c>
      <c r="I50" s="105" t="s">
        <v>98</v>
      </c>
      <c r="J50" s="105"/>
      <c r="K50" s="111">
        <v>20</v>
      </c>
      <c r="L50" s="111"/>
      <c r="M50" s="109">
        <v>58.8</v>
      </c>
      <c r="N50" s="109"/>
      <c r="O50" s="106">
        <v>2940</v>
      </c>
      <c r="P50" s="106"/>
      <c r="Q50" s="57">
        <v>45.45</v>
      </c>
      <c r="R50" s="55">
        <v>2272.5</v>
      </c>
      <c r="S50" s="44"/>
    </row>
    <row r="51" spans="5:19" ht="33.75" x14ac:dyDescent="0.25">
      <c r="E51" s="50" t="s">
        <v>106</v>
      </c>
      <c r="F51" s="51" t="s">
        <v>115</v>
      </c>
      <c r="G51" s="51" t="s">
        <v>116</v>
      </c>
      <c r="H51" s="52">
        <v>6</v>
      </c>
      <c r="I51" s="105" t="s">
        <v>98</v>
      </c>
      <c r="J51" s="105"/>
      <c r="K51" s="111">
        <v>20</v>
      </c>
      <c r="L51" s="111"/>
      <c r="M51" s="109">
        <v>58.8</v>
      </c>
      <c r="N51" s="109"/>
      <c r="O51" s="109">
        <v>352.8</v>
      </c>
      <c r="P51" s="109"/>
      <c r="Q51" s="57">
        <v>45.45</v>
      </c>
      <c r="R51" s="65">
        <v>272.7</v>
      </c>
      <c r="S51" s="44"/>
    </row>
    <row r="52" spans="5:19" ht="33.75" x14ac:dyDescent="0.25">
      <c r="E52" s="50" t="s">
        <v>117</v>
      </c>
      <c r="F52" s="51" t="s">
        <v>115</v>
      </c>
      <c r="G52" s="51" t="s">
        <v>118</v>
      </c>
      <c r="H52" s="52">
        <v>30</v>
      </c>
      <c r="I52" s="105" t="s">
        <v>98</v>
      </c>
      <c r="J52" s="105"/>
      <c r="K52" s="111">
        <v>20</v>
      </c>
      <c r="L52" s="111"/>
      <c r="M52" s="109">
        <v>72.8</v>
      </c>
      <c r="N52" s="109"/>
      <c r="O52" s="106">
        <v>2184</v>
      </c>
      <c r="P52" s="106"/>
      <c r="Q52" s="57">
        <v>60</v>
      </c>
      <c r="R52" s="55">
        <v>1800</v>
      </c>
      <c r="S52" s="44"/>
    </row>
    <row r="53" spans="5:19" ht="33.75" x14ac:dyDescent="0.25">
      <c r="E53" s="50" t="s">
        <v>119</v>
      </c>
      <c r="F53" s="51" t="s">
        <v>115</v>
      </c>
      <c r="G53" s="51" t="s">
        <v>120</v>
      </c>
      <c r="H53" s="52">
        <v>30</v>
      </c>
      <c r="I53" s="105" t="s">
        <v>98</v>
      </c>
      <c r="J53" s="105"/>
      <c r="K53" s="111">
        <v>20</v>
      </c>
      <c r="L53" s="111"/>
      <c r="M53" s="109">
        <v>72.8</v>
      </c>
      <c r="N53" s="109"/>
      <c r="O53" s="106">
        <v>2184</v>
      </c>
      <c r="P53" s="106"/>
      <c r="Q53" s="57">
        <v>60</v>
      </c>
      <c r="R53" s="55">
        <v>1800</v>
      </c>
      <c r="S53" s="44"/>
    </row>
    <row r="54" spans="5:19" ht="33.75" x14ac:dyDescent="0.25">
      <c r="E54" s="50" t="s">
        <v>121</v>
      </c>
      <c r="F54" s="51" t="s">
        <v>115</v>
      </c>
      <c r="G54" s="51" t="s">
        <v>120</v>
      </c>
      <c r="H54" s="52">
        <v>40</v>
      </c>
      <c r="I54" s="105" t="s">
        <v>98</v>
      </c>
      <c r="J54" s="105"/>
      <c r="K54" s="111">
        <v>20</v>
      </c>
      <c r="L54" s="111"/>
      <c r="M54" s="109">
        <v>72.8</v>
      </c>
      <c r="N54" s="109"/>
      <c r="O54" s="106">
        <v>2912</v>
      </c>
      <c r="P54" s="106"/>
      <c r="Q54" s="57">
        <v>60</v>
      </c>
      <c r="R54" s="55">
        <v>2400</v>
      </c>
      <c r="S54" s="44"/>
    </row>
    <row r="55" spans="5:19" ht="33.75" x14ac:dyDescent="0.25">
      <c r="E55" s="50" t="s">
        <v>122</v>
      </c>
      <c r="F55" s="51" t="s">
        <v>115</v>
      </c>
      <c r="G55" s="51" t="s">
        <v>123</v>
      </c>
      <c r="H55" s="52">
        <v>22</v>
      </c>
      <c r="I55" s="105" t="s">
        <v>98</v>
      </c>
      <c r="J55" s="105"/>
      <c r="K55" s="111">
        <v>20</v>
      </c>
      <c r="L55" s="111"/>
      <c r="M55" s="109">
        <v>72.8</v>
      </c>
      <c r="N55" s="109"/>
      <c r="O55" s="106">
        <v>1601.6</v>
      </c>
      <c r="P55" s="106"/>
      <c r="Q55" s="57">
        <v>106.19</v>
      </c>
      <c r="R55" s="55">
        <v>2336.1799999999998</v>
      </c>
      <c r="S55" s="44"/>
    </row>
    <row r="56" spans="5:19" ht="33.75" x14ac:dyDescent="0.25">
      <c r="E56" s="50" t="s">
        <v>124</v>
      </c>
      <c r="F56" s="51" t="s">
        <v>115</v>
      </c>
      <c r="G56" s="51" t="s">
        <v>123</v>
      </c>
      <c r="H56" s="52">
        <v>8</v>
      </c>
      <c r="I56" s="105" t="s">
        <v>98</v>
      </c>
      <c r="J56" s="105"/>
      <c r="K56" s="111">
        <v>20</v>
      </c>
      <c r="L56" s="111"/>
      <c r="M56" s="109">
        <v>72.8</v>
      </c>
      <c r="N56" s="109"/>
      <c r="O56" s="109">
        <v>582.4</v>
      </c>
      <c r="P56" s="109"/>
      <c r="Q56" s="57">
        <v>106.19</v>
      </c>
      <c r="R56" s="65">
        <v>849.52</v>
      </c>
      <c r="S56" s="44"/>
    </row>
    <row r="57" spans="5:19" ht="33.75" x14ac:dyDescent="0.25">
      <c r="E57" s="50" t="s">
        <v>125</v>
      </c>
      <c r="F57" s="51" t="s">
        <v>115</v>
      </c>
      <c r="G57" s="51" t="s">
        <v>126</v>
      </c>
      <c r="H57" s="52">
        <v>25</v>
      </c>
      <c r="I57" s="105" t="s">
        <v>98</v>
      </c>
      <c r="J57" s="105"/>
      <c r="K57" s="111">
        <v>20</v>
      </c>
      <c r="L57" s="111"/>
      <c r="M57" s="109">
        <v>79</v>
      </c>
      <c r="N57" s="109"/>
      <c r="O57" s="106">
        <v>1975</v>
      </c>
      <c r="P57" s="106"/>
      <c r="Q57" s="57">
        <v>106.19</v>
      </c>
      <c r="R57" s="55">
        <v>2654.75</v>
      </c>
      <c r="S57" s="44"/>
    </row>
    <row r="58" spans="5:19" ht="33.75" x14ac:dyDescent="0.25">
      <c r="E58" s="50" t="s">
        <v>127</v>
      </c>
      <c r="F58" s="51" t="s">
        <v>115</v>
      </c>
      <c r="G58" s="51" t="s">
        <v>126</v>
      </c>
      <c r="H58" s="52">
        <v>45</v>
      </c>
      <c r="I58" s="105" t="s">
        <v>98</v>
      </c>
      <c r="J58" s="105"/>
      <c r="K58" s="111">
        <v>20</v>
      </c>
      <c r="L58" s="111"/>
      <c r="M58" s="109">
        <v>79</v>
      </c>
      <c r="N58" s="109"/>
      <c r="O58" s="106">
        <v>3555</v>
      </c>
      <c r="P58" s="106"/>
      <c r="Q58" s="57">
        <v>106.19</v>
      </c>
      <c r="R58" s="55">
        <v>4778.55</v>
      </c>
      <c r="S58" s="44"/>
    </row>
    <row r="59" spans="5:19" ht="33.75" x14ac:dyDescent="0.25">
      <c r="E59" s="50" t="s">
        <v>128</v>
      </c>
      <c r="F59" s="51" t="s">
        <v>115</v>
      </c>
      <c r="G59" s="51" t="s">
        <v>126</v>
      </c>
      <c r="H59" s="52">
        <v>5</v>
      </c>
      <c r="I59" s="105" t="s">
        <v>98</v>
      </c>
      <c r="J59" s="105"/>
      <c r="K59" s="111">
        <v>20</v>
      </c>
      <c r="L59" s="111"/>
      <c r="M59" s="109">
        <v>79</v>
      </c>
      <c r="N59" s="109"/>
      <c r="O59" s="109">
        <v>395</v>
      </c>
      <c r="P59" s="109"/>
      <c r="Q59" s="57">
        <v>106.19</v>
      </c>
      <c r="R59" s="65">
        <v>530.95000000000005</v>
      </c>
      <c r="S59" s="44"/>
    </row>
    <row r="60" spans="5:19" ht="33.75" x14ac:dyDescent="0.25">
      <c r="E60" s="50" t="s">
        <v>129</v>
      </c>
      <c r="F60" s="51" t="s">
        <v>115</v>
      </c>
      <c r="G60" s="51" t="s">
        <v>130</v>
      </c>
      <c r="H60" s="52">
        <v>25</v>
      </c>
      <c r="I60" s="105" t="s">
        <v>98</v>
      </c>
      <c r="J60" s="105"/>
      <c r="K60" s="111">
        <v>20</v>
      </c>
      <c r="L60" s="111"/>
      <c r="M60" s="109">
        <v>79</v>
      </c>
      <c r="N60" s="109"/>
      <c r="O60" s="106">
        <v>1975</v>
      </c>
      <c r="P60" s="106"/>
      <c r="Q60" s="57">
        <v>106.19</v>
      </c>
      <c r="R60" s="55">
        <v>2654.75</v>
      </c>
      <c r="S60" s="44"/>
    </row>
    <row r="61" spans="5:19" x14ac:dyDescent="0.25">
      <c r="H61" s="79">
        <f>SUM(H49:H60)</f>
        <v>326</v>
      </c>
      <c r="K61" t="s">
        <v>33</v>
      </c>
      <c r="L61">
        <f>H61*10*2</f>
        <v>6520</v>
      </c>
      <c r="P61" s="6">
        <f>SUM(O49:P60)</f>
        <v>23216.799999999999</v>
      </c>
      <c r="Q61" t="s">
        <v>193</v>
      </c>
      <c r="R61" s="6">
        <f>SUM(R49:R60)</f>
        <v>24341.100000000002</v>
      </c>
    </row>
    <row r="62" spans="5:19" x14ac:dyDescent="0.25">
      <c r="O62" t="s">
        <v>195</v>
      </c>
      <c r="P62">
        <f>P61/L61</f>
        <v>3.5608588957055214</v>
      </c>
      <c r="Q62" t="s">
        <v>196</v>
      </c>
      <c r="R62" s="80">
        <f>R61/L61</f>
        <v>3.7332975460122704</v>
      </c>
    </row>
    <row r="63" spans="5:19" x14ac:dyDescent="0.25">
      <c r="O63" t="s">
        <v>185</v>
      </c>
      <c r="P63" s="80">
        <f>P62/1.1</f>
        <v>3.2371444506413827</v>
      </c>
    </row>
    <row r="66" spans="5:19" x14ac:dyDescent="0.25">
      <c r="E66" s="107" t="s">
        <v>76</v>
      </c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</row>
    <row r="67" spans="5:19" ht="25.5" x14ac:dyDescent="0.25">
      <c r="E67" s="107" t="s">
        <v>77</v>
      </c>
      <c r="F67" s="107"/>
      <c r="G67" s="107"/>
      <c r="H67" s="107"/>
      <c r="I67" s="107"/>
      <c r="J67" s="44"/>
      <c r="K67" s="107" t="s">
        <v>78</v>
      </c>
      <c r="L67" s="107"/>
      <c r="M67" s="59" t="s">
        <v>15</v>
      </c>
      <c r="N67" s="60"/>
      <c r="O67" s="59" t="s">
        <v>79</v>
      </c>
      <c r="P67" s="60"/>
      <c r="Q67" s="58" t="s">
        <v>80</v>
      </c>
      <c r="R67" s="62"/>
      <c r="S67" s="44"/>
    </row>
    <row r="68" spans="5:19" x14ac:dyDescent="0.25">
      <c r="E68" s="108" t="s">
        <v>131</v>
      </c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63"/>
      <c r="S68" s="44"/>
    </row>
    <row r="69" spans="5:19" ht="33.75" x14ac:dyDescent="0.25">
      <c r="E69" s="50" t="s">
        <v>132</v>
      </c>
      <c r="F69" s="51" t="s">
        <v>131</v>
      </c>
      <c r="G69" s="51" t="s">
        <v>133</v>
      </c>
      <c r="H69" s="52">
        <v>100</v>
      </c>
      <c r="I69" s="105" t="s">
        <v>134</v>
      </c>
      <c r="J69" s="105"/>
      <c r="K69" s="111">
        <v>100</v>
      </c>
      <c r="L69" s="111"/>
      <c r="M69" s="109">
        <v>34</v>
      </c>
      <c r="N69" s="109"/>
      <c r="O69" s="106">
        <v>3400</v>
      </c>
      <c r="P69" s="106"/>
      <c r="Q69" s="57">
        <v>26.68</v>
      </c>
      <c r="R69" s="55">
        <v>2668</v>
      </c>
      <c r="S69" s="44"/>
    </row>
    <row r="70" spans="5:19" ht="22.5" x14ac:dyDescent="0.25">
      <c r="E70" s="69"/>
      <c r="F70" s="70"/>
      <c r="G70" s="70"/>
      <c r="H70" s="71">
        <v>100</v>
      </c>
      <c r="I70" s="70"/>
      <c r="J70" s="70"/>
      <c r="K70" s="71" t="s">
        <v>33</v>
      </c>
      <c r="L70" s="71">
        <f>100*H70</f>
        <v>10000</v>
      </c>
      <c r="M70" s="76"/>
      <c r="N70" s="76"/>
      <c r="O70" s="72" t="s">
        <v>197</v>
      </c>
      <c r="P70" s="72">
        <f>O69/L70</f>
        <v>0.34</v>
      </c>
      <c r="Q70" s="76" t="s">
        <v>80</v>
      </c>
      <c r="R70" s="73">
        <f>SUM(R69)</f>
        <v>2668</v>
      </c>
      <c r="S70" s="44"/>
    </row>
    <row r="71" spans="5:19" x14ac:dyDescent="0.25">
      <c r="E71" s="69"/>
      <c r="F71" s="70"/>
      <c r="G71" s="70"/>
      <c r="H71" s="71"/>
      <c r="I71" s="70"/>
      <c r="J71" s="70"/>
      <c r="K71" s="71"/>
      <c r="L71" s="71"/>
      <c r="M71" s="76"/>
      <c r="N71" s="76"/>
      <c r="O71" s="72" t="s">
        <v>185</v>
      </c>
      <c r="P71" s="75">
        <f>P70/1.1</f>
        <v>0.30909090909090908</v>
      </c>
      <c r="Q71" s="76" t="s">
        <v>194</v>
      </c>
      <c r="R71" s="74">
        <f>R70/L70</f>
        <v>0.26679999999999998</v>
      </c>
      <c r="S71" s="44"/>
    </row>
    <row r="73" spans="5:19" x14ac:dyDescent="0.25">
      <c r="E73" s="107" t="s">
        <v>76</v>
      </c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</row>
    <row r="74" spans="5:19" ht="25.5" x14ac:dyDescent="0.25">
      <c r="E74" s="107" t="s">
        <v>77</v>
      </c>
      <c r="F74" s="107"/>
      <c r="G74" s="107"/>
      <c r="H74" s="107"/>
      <c r="I74" s="107"/>
      <c r="J74" s="44"/>
      <c r="K74" s="58" t="s">
        <v>78</v>
      </c>
      <c r="L74" s="59" t="s">
        <v>15</v>
      </c>
      <c r="M74" s="61"/>
      <c r="N74" s="60"/>
      <c r="O74" s="59" t="s">
        <v>79</v>
      </c>
      <c r="P74" s="60"/>
      <c r="Q74" s="58" t="s">
        <v>80</v>
      </c>
      <c r="R74" s="62"/>
      <c r="S74" s="44"/>
    </row>
    <row r="75" spans="5:19" x14ac:dyDescent="0.25">
      <c r="E75" s="108" t="s">
        <v>135</v>
      </c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63"/>
      <c r="S75" s="44"/>
    </row>
    <row r="76" spans="5:19" ht="45" x14ac:dyDescent="0.25">
      <c r="E76" s="50" t="s">
        <v>136</v>
      </c>
      <c r="F76" s="51" t="s">
        <v>135</v>
      </c>
      <c r="G76" s="51" t="s">
        <v>137</v>
      </c>
      <c r="H76" s="52">
        <v>10</v>
      </c>
      <c r="I76" s="105" t="s">
        <v>138</v>
      </c>
      <c r="J76" s="105"/>
      <c r="K76" s="52">
        <v>60</v>
      </c>
      <c r="L76" s="109">
        <v>269.39999999999998</v>
      </c>
      <c r="M76" s="109"/>
      <c r="N76" s="109"/>
      <c r="O76" s="106">
        <v>2694</v>
      </c>
      <c r="P76" s="106"/>
      <c r="Q76" s="67"/>
      <c r="R76" s="68"/>
      <c r="S76" s="44"/>
    </row>
    <row r="77" spans="5:19" ht="45" x14ac:dyDescent="0.25">
      <c r="E77" s="50" t="s">
        <v>139</v>
      </c>
      <c r="F77" s="51" t="s">
        <v>135</v>
      </c>
      <c r="G77" s="51" t="s">
        <v>140</v>
      </c>
      <c r="H77" s="52">
        <v>5</v>
      </c>
      <c r="I77" s="105" t="s">
        <v>138</v>
      </c>
      <c r="J77" s="105"/>
      <c r="K77" s="52">
        <v>60</v>
      </c>
      <c r="L77" s="109">
        <v>269.39999999999998</v>
      </c>
      <c r="M77" s="109"/>
      <c r="N77" s="109"/>
      <c r="O77" s="106">
        <v>1347</v>
      </c>
      <c r="P77" s="106"/>
      <c r="Q77" s="67"/>
      <c r="R77" s="68"/>
      <c r="S77" s="44"/>
    </row>
    <row r="78" spans="5:19" ht="45" x14ac:dyDescent="0.25">
      <c r="E78" s="50" t="s">
        <v>141</v>
      </c>
      <c r="F78" s="51" t="s">
        <v>135</v>
      </c>
      <c r="G78" s="51" t="s">
        <v>142</v>
      </c>
      <c r="H78" s="52">
        <v>5</v>
      </c>
      <c r="I78" s="105" t="s">
        <v>138</v>
      </c>
      <c r="J78" s="105"/>
      <c r="K78" s="52">
        <v>60</v>
      </c>
      <c r="L78" s="109">
        <v>269.39999999999998</v>
      </c>
      <c r="M78" s="109"/>
      <c r="N78" s="109"/>
      <c r="O78" s="106">
        <v>1347</v>
      </c>
      <c r="P78" s="106"/>
      <c r="Q78" s="67"/>
      <c r="R78" s="68"/>
      <c r="S78" s="44"/>
    </row>
    <row r="79" spans="5:19" ht="45" x14ac:dyDescent="0.25">
      <c r="E79" s="50" t="s">
        <v>143</v>
      </c>
      <c r="F79" s="51" t="s">
        <v>135</v>
      </c>
      <c r="G79" s="51" t="s">
        <v>142</v>
      </c>
      <c r="H79" s="52">
        <v>5</v>
      </c>
      <c r="I79" s="105" t="s">
        <v>138</v>
      </c>
      <c r="J79" s="105"/>
      <c r="K79" s="52">
        <v>60</v>
      </c>
      <c r="L79" s="109">
        <v>269.39999999999998</v>
      </c>
      <c r="M79" s="109"/>
      <c r="N79" s="109"/>
      <c r="O79" s="106">
        <v>1347</v>
      </c>
      <c r="P79" s="106"/>
      <c r="Q79" s="67"/>
      <c r="R79" s="68"/>
      <c r="S79" s="44"/>
    </row>
    <row r="80" spans="5:19" x14ac:dyDescent="0.25">
      <c r="E80" s="69"/>
      <c r="F80" s="70"/>
      <c r="G80" s="70"/>
      <c r="H80" s="71">
        <f>SUM(H76:H79)</f>
        <v>25</v>
      </c>
      <c r="I80" s="70"/>
      <c r="J80" s="70" t="s">
        <v>68</v>
      </c>
      <c r="K80" s="71">
        <f>H80*30*2</f>
        <v>1500</v>
      </c>
      <c r="L80" s="76"/>
      <c r="M80" s="76"/>
      <c r="N80" s="76"/>
      <c r="O80" s="72"/>
      <c r="P80" s="72">
        <f>SUM(O76:P79)</f>
        <v>6735</v>
      </c>
      <c r="Q80" s="81"/>
      <c r="R80" s="82"/>
      <c r="S80" s="44"/>
    </row>
    <row r="81" spans="5:19" ht="22.5" x14ac:dyDescent="0.25">
      <c r="E81" s="69"/>
      <c r="F81" s="70"/>
      <c r="G81" s="70"/>
      <c r="H81" s="71"/>
      <c r="I81" s="70"/>
      <c r="J81" s="70"/>
      <c r="K81" s="71"/>
      <c r="L81" s="76"/>
      <c r="M81" s="76"/>
      <c r="N81" s="76"/>
      <c r="O81" s="72" t="s">
        <v>198</v>
      </c>
      <c r="P81" s="72">
        <f>P80/K80</f>
        <v>4.49</v>
      </c>
      <c r="Q81" s="81"/>
      <c r="R81" s="82"/>
      <c r="S81" s="44"/>
    </row>
    <row r="82" spans="5:19" x14ac:dyDescent="0.25">
      <c r="E82" s="69"/>
      <c r="F82" s="70"/>
      <c r="G82" s="70"/>
      <c r="H82" s="71"/>
      <c r="I82" s="70"/>
      <c r="J82" s="70"/>
      <c r="K82" s="71"/>
      <c r="L82" s="76"/>
      <c r="M82" s="76"/>
      <c r="N82" s="76"/>
      <c r="O82" s="72" t="s">
        <v>181</v>
      </c>
      <c r="P82" s="75">
        <f>P81/1.1</f>
        <v>4.081818181818182</v>
      </c>
      <c r="Q82" s="81"/>
      <c r="R82" s="82"/>
      <c r="S82" s="44"/>
    </row>
    <row r="84" spans="5:19" x14ac:dyDescent="0.25">
      <c r="E84" s="107" t="s">
        <v>76</v>
      </c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</row>
    <row r="85" spans="5:19" ht="25.5" x14ac:dyDescent="0.25">
      <c r="E85" s="107" t="s">
        <v>77</v>
      </c>
      <c r="F85" s="107"/>
      <c r="G85" s="107"/>
      <c r="H85" s="107"/>
      <c r="I85" s="107"/>
      <c r="J85" s="44"/>
      <c r="K85" s="58" t="s">
        <v>78</v>
      </c>
      <c r="L85" s="59" t="s">
        <v>15</v>
      </c>
      <c r="M85" s="61"/>
      <c r="N85" s="60"/>
      <c r="O85" s="59" t="s">
        <v>79</v>
      </c>
      <c r="P85" s="60"/>
      <c r="Q85" s="58" t="s">
        <v>80</v>
      </c>
      <c r="R85" s="62"/>
      <c r="S85" s="44"/>
    </row>
    <row r="86" spans="5:19" x14ac:dyDescent="0.25">
      <c r="E86" s="108" t="s">
        <v>144</v>
      </c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63"/>
      <c r="S86" s="44"/>
    </row>
    <row r="87" spans="5:19" ht="45" x14ac:dyDescent="0.25">
      <c r="E87" s="50" t="s">
        <v>145</v>
      </c>
      <c r="F87" s="51" t="s">
        <v>144</v>
      </c>
      <c r="G87" s="51" t="s">
        <v>146</v>
      </c>
      <c r="H87" s="52">
        <v>1</v>
      </c>
      <c r="I87" s="105" t="s">
        <v>147</v>
      </c>
      <c r="J87" s="105"/>
      <c r="K87" s="52">
        <v>50</v>
      </c>
      <c r="L87" s="109">
        <v>134</v>
      </c>
      <c r="M87" s="109"/>
      <c r="N87" s="109"/>
      <c r="O87" s="109">
        <v>134</v>
      </c>
      <c r="P87" s="109"/>
      <c r="Q87" s="57">
        <v>108.94</v>
      </c>
      <c r="R87" s="65">
        <v>108.94</v>
      </c>
      <c r="S87" s="44"/>
    </row>
    <row r="88" spans="5:19" ht="45" x14ac:dyDescent="0.25">
      <c r="E88" s="50" t="s">
        <v>148</v>
      </c>
      <c r="F88" s="51" t="s">
        <v>144</v>
      </c>
      <c r="G88" s="51" t="s">
        <v>146</v>
      </c>
      <c r="H88" s="52">
        <v>2</v>
      </c>
      <c r="I88" s="105" t="s">
        <v>147</v>
      </c>
      <c r="J88" s="105"/>
      <c r="K88" s="52">
        <v>50</v>
      </c>
      <c r="L88" s="109">
        <v>134</v>
      </c>
      <c r="M88" s="109"/>
      <c r="N88" s="109"/>
      <c r="O88" s="109">
        <v>268</v>
      </c>
      <c r="P88" s="109"/>
      <c r="Q88" s="57">
        <v>108.94</v>
      </c>
      <c r="R88" s="65">
        <v>217.88</v>
      </c>
      <c r="S88" s="44"/>
    </row>
    <row r="89" spans="5:19" x14ac:dyDescent="0.25">
      <c r="E89" s="44"/>
      <c r="F89" s="44"/>
      <c r="G89" s="44"/>
      <c r="H89" s="83">
        <f>SUM(H87:H88)</f>
        <v>3</v>
      </c>
      <c r="I89" s="44"/>
      <c r="J89" s="44" t="s">
        <v>199</v>
      </c>
      <c r="K89" s="44">
        <f>H89*50</f>
        <v>150</v>
      </c>
      <c r="L89" s="44"/>
      <c r="M89" s="44"/>
      <c r="N89" s="44"/>
      <c r="O89" s="44"/>
      <c r="P89" s="84">
        <f>SUM(O87:P88)</f>
        <v>402</v>
      </c>
      <c r="Q89" s="44"/>
      <c r="R89" s="84">
        <f>SUM(R87:R88)</f>
        <v>326.82</v>
      </c>
      <c r="S89" s="44"/>
    </row>
    <row r="90" spans="5:19" x14ac:dyDescent="0.25"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 t="s">
        <v>200</v>
      </c>
      <c r="P90" s="44">
        <f>P89/150</f>
        <v>2.68</v>
      </c>
      <c r="Q90" s="44" t="s">
        <v>185</v>
      </c>
      <c r="R90" s="85">
        <f>R89/K89</f>
        <v>2.1787999999999998</v>
      </c>
      <c r="S90" s="44"/>
    </row>
    <row r="91" spans="5:19" x14ac:dyDescent="0.25"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 t="s">
        <v>181</v>
      </c>
      <c r="P91" s="85">
        <f>P90/1.1</f>
        <v>2.4363636363636365</v>
      </c>
      <c r="Q91" s="44"/>
      <c r="R91" s="44"/>
      <c r="S91" s="44"/>
    </row>
    <row r="93" spans="5:19" x14ac:dyDescent="0.25">
      <c r="E93" s="107" t="s">
        <v>76</v>
      </c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</row>
    <row r="94" spans="5:19" ht="25.5" x14ac:dyDescent="0.25">
      <c r="E94" s="107" t="s">
        <v>77</v>
      </c>
      <c r="F94" s="107"/>
      <c r="G94" s="107"/>
      <c r="H94" s="107"/>
      <c r="I94" s="107"/>
      <c r="J94" s="44"/>
      <c r="K94" s="44"/>
      <c r="L94" s="58" t="s">
        <v>78</v>
      </c>
      <c r="M94" s="59" t="s">
        <v>15</v>
      </c>
      <c r="N94" s="60"/>
      <c r="O94" s="59" t="s">
        <v>79</v>
      </c>
      <c r="P94" s="60"/>
      <c r="Q94" s="58" t="s">
        <v>80</v>
      </c>
      <c r="R94" s="62"/>
      <c r="S94" s="44"/>
    </row>
    <row r="95" spans="5:19" x14ac:dyDescent="0.25">
      <c r="E95" s="108" t="s">
        <v>149</v>
      </c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63"/>
      <c r="S95" s="44"/>
    </row>
    <row r="96" spans="5:19" ht="33.75" x14ac:dyDescent="0.25">
      <c r="E96" s="50" t="s">
        <v>150</v>
      </c>
      <c r="F96" s="51" t="s">
        <v>149</v>
      </c>
      <c r="G96" s="51" t="s">
        <v>151</v>
      </c>
      <c r="H96" s="52">
        <v>5</v>
      </c>
      <c r="I96" s="105" t="s">
        <v>152</v>
      </c>
      <c r="J96" s="105"/>
      <c r="K96" s="105"/>
      <c r="L96" s="52">
        <v>40</v>
      </c>
      <c r="M96" s="106">
        <v>1160</v>
      </c>
      <c r="N96" s="106"/>
      <c r="O96" s="106">
        <v>5800</v>
      </c>
      <c r="P96" s="106"/>
      <c r="Q96" s="67"/>
      <c r="R96" s="68"/>
      <c r="S96" s="44"/>
    </row>
    <row r="97" spans="5:19" x14ac:dyDescent="0.25">
      <c r="H97" s="79">
        <f>SUM(H96)</f>
        <v>5</v>
      </c>
      <c r="K97" t="s">
        <v>201</v>
      </c>
      <c r="L97">
        <f>H97*40</f>
        <v>200</v>
      </c>
      <c r="O97" t="s">
        <v>202</v>
      </c>
      <c r="P97" s="39">
        <f>O96/L97</f>
        <v>29</v>
      </c>
    </row>
    <row r="98" spans="5:19" x14ac:dyDescent="0.25">
      <c r="O98" t="s">
        <v>181</v>
      </c>
      <c r="P98">
        <f>P97/1.1</f>
        <v>26.36363636363636</v>
      </c>
    </row>
    <row r="101" spans="5:19" x14ac:dyDescent="0.25">
      <c r="E101" s="107" t="s">
        <v>76</v>
      </c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</row>
    <row r="102" spans="5:19" ht="25.5" x14ac:dyDescent="0.25">
      <c r="E102" s="107" t="s">
        <v>77</v>
      </c>
      <c r="F102" s="107"/>
      <c r="G102" s="107"/>
      <c r="H102" s="107"/>
      <c r="I102" s="107"/>
      <c r="J102" s="44"/>
      <c r="K102" s="58" t="s">
        <v>78</v>
      </c>
      <c r="L102" s="110" t="s">
        <v>15</v>
      </c>
      <c r="M102" s="110"/>
      <c r="N102" s="60"/>
      <c r="O102" s="59" t="s">
        <v>79</v>
      </c>
      <c r="P102" s="60"/>
      <c r="Q102" s="58" t="s">
        <v>80</v>
      </c>
      <c r="R102" s="62"/>
      <c r="S102" s="44"/>
    </row>
    <row r="103" spans="5:19" x14ac:dyDescent="0.25">
      <c r="E103" s="108" t="s">
        <v>153</v>
      </c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63"/>
      <c r="S103" s="44"/>
    </row>
    <row r="104" spans="5:19" ht="45" x14ac:dyDescent="0.25">
      <c r="E104" s="50" t="s">
        <v>154</v>
      </c>
      <c r="F104" s="51" t="s">
        <v>153</v>
      </c>
      <c r="G104" s="51" t="s">
        <v>155</v>
      </c>
      <c r="H104" s="52">
        <v>10</v>
      </c>
      <c r="I104" s="105" t="s">
        <v>138</v>
      </c>
      <c r="J104" s="105"/>
      <c r="K104" s="52">
        <v>112.8</v>
      </c>
      <c r="L104" s="109">
        <v>228.6</v>
      </c>
      <c r="M104" s="109"/>
      <c r="N104" s="109"/>
      <c r="O104" s="106">
        <v>2286</v>
      </c>
      <c r="P104" s="106"/>
      <c r="Q104" s="57">
        <v>278.64999999999998</v>
      </c>
      <c r="R104" s="55">
        <v>2786.5</v>
      </c>
      <c r="S104" s="44"/>
    </row>
    <row r="105" spans="5:19" ht="45" x14ac:dyDescent="0.25">
      <c r="E105" s="50" t="s">
        <v>156</v>
      </c>
      <c r="F105" s="51" t="s">
        <v>153</v>
      </c>
      <c r="G105" s="51" t="s">
        <v>155</v>
      </c>
      <c r="H105" s="52">
        <v>10</v>
      </c>
      <c r="I105" s="105" t="s">
        <v>138</v>
      </c>
      <c r="J105" s="105"/>
      <c r="K105" s="52">
        <v>112.8</v>
      </c>
      <c r="L105" s="109">
        <v>228.6</v>
      </c>
      <c r="M105" s="109"/>
      <c r="N105" s="109"/>
      <c r="O105" s="106">
        <v>2286</v>
      </c>
      <c r="P105" s="106"/>
      <c r="Q105" s="57">
        <v>278.64999999999998</v>
      </c>
      <c r="R105" s="55">
        <v>2786.5</v>
      </c>
      <c r="S105" s="44"/>
    </row>
    <row r="106" spans="5:19" x14ac:dyDescent="0.25">
      <c r="H106" s="79">
        <f>SUM(H104:H105)</f>
        <v>20</v>
      </c>
      <c r="J106" t="s">
        <v>68</v>
      </c>
      <c r="K106">
        <f>H106*30*3</f>
        <v>1800</v>
      </c>
      <c r="P106" s="6">
        <f>SUM(O104:P105)</f>
        <v>4572</v>
      </c>
      <c r="R106" s="6">
        <f>SUM(R104:R105)</f>
        <v>5573</v>
      </c>
    </row>
    <row r="107" spans="5:19" x14ac:dyDescent="0.25">
      <c r="O107" t="s">
        <v>203</v>
      </c>
      <c r="P107">
        <f>P106/K106</f>
        <v>2.54</v>
      </c>
      <c r="Q107" t="s">
        <v>204</v>
      </c>
      <c r="R107" s="80">
        <f>R106/K106</f>
        <v>3.096111111111111</v>
      </c>
    </row>
    <row r="108" spans="5:19" x14ac:dyDescent="0.25">
      <c r="O108" t="s">
        <v>185</v>
      </c>
      <c r="P108" s="80">
        <f>P107/1.1</f>
        <v>2.3090909090909091</v>
      </c>
    </row>
    <row r="110" spans="5:19" x14ac:dyDescent="0.25">
      <c r="E110" s="107" t="s">
        <v>76</v>
      </c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</row>
    <row r="111" spans="5:19" ht="25.5" x14ac:dyDescent="0.25">
      <c r="E111" s="107" t="s">
        <v>77</v>
      </c>
      <c r="F111" s="107"/>
      <c r="G111" s="107"/>
      <c r="H111" s="107"/>
      <c r="I111" s="107"/>
      <c r="J111" s="44"/>
      <c r="K111" s="58" t="s">
        <v>78</v>
      </c>
      <c r="L111" s="59" t="s">
        <v>15</v>
      </c>
      <c r="M111" s="60"/>
      <c r="N111" s="110" t="s">
        <v>79</v>
      </c>
      <c r="O111" s="110"/>
      <c r="P111" s="60"/>
      <c r="Q111" s="58" t="s">
        <v>80</v>
      </c>
      <c r="R111" s="62"/>
      <c r="S111" s="44"/>
    </row>
    <row r="112" spans="5:19" x14ac:dyDescent="0.25">
      <c r="E112" s="108" t="s">
        <v>157</v>
      </c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63"/>
      <c r="S112" s="44"/>
    </row>
    <row r="113" spans="5:19" ht="45" x14ac:dyDescent="0.25">
      <c r="E113" s="50" t="s">
        <v>158</v>
      </c>
      <c r="F113" s="51" t="s">
        <v>157</v>
      </c>
      <c r="G113" s="51" t="s">
        <v>159</v>
      </c>
      <c r="H113" s="52">
        <v>50</v>
      </c>
      <c r="I113" s="105" t="s">
        <v>98</v>
      </c>
      <c r="J113" s="105"/>
      <c r="K113" s="52">
        <v>100</v>
      </c>
      <c r="L113" s="109">
        <v>387</v>
      </c>
      <c r="M113" s="109"/>
      <c r="N113" s="106">
        <v>19350</v>
      </c>
      <c r="O113" s="106"/>
      <c r="P113" s="106"/>
      <c r="Q113" s="57">
        <v>530.14</v>
      </c>
      <c r="R113" s="55">
        <v>26507</v>
      </c>
      <c r="S113" s="44"/>
    </row>
    <row r="114" spans="5:19" ht="45" x14ac:dyDescent="0.25">
      <c r="E114" s="50" t="s">
        <v>160</v>
      </c>
      <c r="F114" s="51" t="s">
        <v>157</v>
      </c>
      <c r="G114" s="51" t="s">
        <v>159</v>
      </c>
      <c r="H114" s="52">
        <v>100</v>
      </c>
      <c r="I114" s="105" t="s">
        <v>98</v>
      </c>
      <c r="J114" s="105"/>
      <c r="K114" s="52">
        <v>100</v>
      </c>
      <c r="L114" s="109">
        <v>387</v>
      </c>
      <c r="M114" s="109"/>
      <c r="N114" s="106">
        <v>38700</v>
      </c>
      <c r="O114" s="106"/>
      <c r="P114" s="106"/>
      <c r="Q114" s="57">
        <v>530.14</v>
      </c>
      <c r="R114" s="55">
        <v>53014</v>
      </c>
      <c r="S114" s="44"/>
    </row>
    <row r="115" spans="5:19" ht="45" x14ac:dyDescent="0.25">
      <c r="E115" s="50" t="s">
        <v>161</v>
      </c>
      <c r="F115" s="51" t="s">
        <v>157</v>
      </c>
      <c r="G115" s="51" t="s">
        <v>162</v>
      </c>
      <c r="H115" s="52">
        <v>30</v>
      </c>
      <c r="I115" s="105" t="s">
        <v>98</v>
      </c>
      <c r="J115" s="105"/>
      <c r="K115" s="52">
        <v>100</v>
      </c>
      <c r="L115" s="109">
        <v>570</v>
      </c>
      <c r="M115" s="109"/>
      <c r="N115" s="106">
        <v>17100</v>
      </c>
      <c r="O115" s="106"/>
      <c r="P115" s="106"/>
      <c r="Q115" s="57">
        <v>530.14</v>
      </c>
      <c r="R115" s="55">
        <v>15904.2</v>
      </c>
      <c r="S115" s="44"/>
    </row>
    <row r="116" spans="5:19" ht="45" x14ac:dyDescent="0.25">
      <c r="E116" s="50" t="s">
        <v>164</v>
      </c>
      <c r="F116" s="51" t="s">
        <v>163</v>
      </c>
      <c r="G116" s="51" t="s">
        <v>165</v>
      </c>
      <c r="H116" s="52">
        <v>50</v>
      </c>
      <c r="I116" s="105" t="s">
        <v>98</v>
      </c>
      <c r="J116" s="105"/>
      <c r="K116" s="52">
        <v>100</v>
      </c>
      <c r="L116" s="109">
        <v>570</v>
      </c>
      <c r="M116" s="109"/>
      <c r="N116" s="106">
        <v>28500</v>
      </c>
      <c r="O116" s="106"/>
      <c r="P116" s="106"/>
      <c r="Q116" s="57">
        <v>530.14</v>
      </c>
      <c r="R116" s="55">
        <v>26507</v>
      </c>
      <c r="S116" s="44"/>
    </row>
    <row r="117" spans="5:19" x14ac:dyDescent="0.25">
      <c r="E117" s="69"/>
      <c r="F117" s="70"/>
      <c r="G117" s="70"/>
      <c r="H117" s="71">
        <f>SUM(H113:H116)</f>
        <v>230</v>
      </c>
      <c r="I117" s="70"/>
      <c r="J117" s="70" t="s">
        <v>33</v>
      </c>
      <c r="K117" s="71">
        <f>H117*1010</f>
        <v>232300</v>
      </c>
      <c r="L117" s="76"/>
      <c r="M117" s="76"/>
      <c r="N117" s="72"/>
      <c r="O117" s="72"/>
      <c r="P117" s="72">
        <f>SUM(N113:P116)</f>
        <v>103650</v>
      </c>
      <c r="Q117" s="76"/>
      <c r="R117" s="73">
        <f>SUM(R113:R116)</f>
        <v>121932.2</v>
      </c>
      <c r="S117" s="44"/>
    </row>
    <row r="118" spans="5:19" ht="22.5" x14ac:dyDescent="0.25">
      <c r="E118" s="69"/>
      <c r="F118" s="70"/>
      <c r="G118" s="70"/>
      <c r="H118" s="71"/>
      <c r="I118" s="70"/>
      <c r="J118" s="70"/>
      <c r="K118" s="71"/>
      <c r="L118" s="76"/>
      <c r="M118" s="76"/>
      <c r="N118" s="72"/>
      <c r="O118" s="72" t="s">
        <v>205</v>
      </c>
      <c r="P118" s="72">
        <f>P117/K117</f>
        <v>0.44619027120103316</v>
      </c>
      <c r="Q118" s="76" t="s">
        <v>206</v>
      </c>
      <c r="R118" s="74">
        <f>R117/K117</f>
        <v>0.52489108910891091</v>
      </c>
      <c r="S118" s="44"/>
    </row>
    <row r="119" spans="5:19" x14ac:dyDescent="0.25">
      <c r="E119" s="69"/>
      <c r="F119" s="70"/>
      <c r="G119" s="70"/>
      <c r="H119" s="71"/>
      <c r="I119" s="70"/>
      <c r="J119" s="70"/>
      <c r="K119" s="71"/>
      <c r="L119" s="76"/>
      <c r="M119" s="76"/>
      <c r="N119" s="72"/>
      <c r="O119" s="72" t="s">
        <v>181</v>
      </c>
      <c r="P119" s="75">
        <f>P118/1.1</f>
        <v>0.40562751927366647</v>
      </c>
      <c r="Q119" s="76"/>
      <c r="R119" s="73"/>
      <c r="S119" s="44"/>
    </row>
    <row r="122" spans="5:19" x14ac:dyDescent="0.25">
      <c r="E122" s="107" t="s">
        <v>76</v>
      </c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</row>
    <row r="123" spans="5:19" ht="25.5" x14ac:dyDescent="0.25">
      <c r="E123" s="107" t="s">
        <v>77</v>
      </c>
      <c r="F123" s="107"/>
      <c r="G123" s="107"/>
      <c r="H123" s="107"/>
      <c r="I123" s="107"/>
      <c r="J123" s="44"/>
      <c r="K123" s="44"/>
      <c r="L123" s="58" t="s">
        <v>78</v>
      </c>
      <c r="M123" s="59" t="s">
        <v>15</v>
      </c>
      <c r="N123" s="60"/>
      <c r="O123" s="59" t="s">
        <v>79</v>
      </c>
      <c r="P123" s="60"/>
      <c r="Q123" s="58" t="s">
        <v>80</v>
      </c>
      <c r="R123" s="62"/>
      <c r="S123" s="44"/>
    </row>
    <row r="124" spans="5:19" x14ac:dyDescent="0.25">
      <c r="E124" s="108" t="s">
        <v>166</v>
      </c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63"/>
      <c r="S124" s="44"/>
    </row>
    <row r="125" spans="5:19" ht="33.75" x14ac:dyDescent="0.25">
      <c r="E125" s="50" t="s">
        <v>164</v>
      </c>
      <c r="F125" s="51" t="s">
        <v>166</v>
      </c>
      <c r="G125" s="51" t="s">
        <v>167</v>
      </c>
      <c r="H125" s="52">
        <v>20</v>
      </c>
      <c r="I125" s="105" t="s">
        <v>147</v>
      </c>
      <c r="J125" s="105"/>
      <c r="K125" s="105"/>
      <c r="L125" s="52">
        <v>50</v>
      </c>
      <c r="M125" s="109">
        <v>31</v>
      </c>
      <c r="N125" s="109"/>
      <c r="O125" s="109">
        <v>620</v>
      </c>
      <c r="P125" s="109"/>
      <c r="Q125" s="57">
        <v>24.49</v>
      </c>
      <c r="R125" s="65">
        <v>489.8</v>
      </c>
      <c r="S125" s="44"/>
    </row>
    <row r="126" spans="5:19" x14ac:dyDescent="0.25">
      <c r="H126" s="79">
        <f>SUM(H125)</f>
        <v>20</v>
      </c>
      <c r="L126">
        <f>H126*50</f>
        <v>1000</v>
      </c>
      <c r="P126" s="12">
        <f>SUM(O125)</f>
        <v>620</v>
      </c>
      <c r="R126" s="12">
        <f>SUM(R125)</f>
        <v>489.8</v>
      </c>
    </row>
    <row r="127" spans="5:19" x14ac:dyDescent="0.25">
      <c r="O127" t="s">
        <v>207</v>
      </c>
      <c r="P127">
        <f>P126/L126</f>
        <v>0.62</v>
      </c>
      <c r="R127" s="80">
        <f>R126/L126</f>
        <v>0.48980000000000001</v>
      </c>
    </row>
    <row r="128" spans="5:19" x14ac:dyDescent="0.25">
      <c r="O128" t="s">
        <v>185</v>
      </c>
      <c r="P128" s="80">
        <f>P127/1.1</f>
        <v>0.5636363636363636</v>
      </c>
    </row>
    <row r="130" spans="5:19" x14ac:dyDescent="0.25">
      <c r="E130" s="107" t="s">
        <v>76</v>
      </c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</row>
    <row r="131" spans="5:19" ht="25.5" x14ac:dyDescent="0.25">
      <c r="E131" s="107" t="s">
        <v>77</v>
      </c>
      <c r="F131" s="107"/>
      <c r="G131" s="107"/>
      <c r="H131" s="107"/>
      <c r="I131" s="107"/>
      <c r="J131" s="44"/>
      <c r="K131" s="58" t="s">
        <v>78</v>
      </c>
      <c r="L131" s="59" t="s">
        <v>15</v>
      </c>
      <c r="M131" s="61"/>
      <c r="N131" s="60"/>
      <c r="O131" s="59" t="s">
        <v>79</v>
      </c>
      <c r="P131" s="60"/>
      <c r="Q131" s="58" t="s">
        <v>80</v>
      </c>
      <c r="R131" s="62"/>
      <c r="S131" s="44"/>
    </row>
    <row r="132" spans="5:19" x14ac:dyDescent="0.25">
      <c r="E132" s="108" t="s">
        <v>168</v>
      </c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63"/>
      <c r="S132" s="44"/>
    </row>
    <row r="133" spans="5:19" ht="45" x14ac:dyDescent="0.25">
      <c r="E133" s="50" t="s">
        <v>169</v>
      </c>
      <c r="F133" s="51" t="s">
        <v>168</v>
      </c>
      <c r="G133" s="51" t="s">
        <v>170</v>
      </c>
      <c r="H133" s="52">
        <v>10</v>
      </c>
      <c r="I133" s="105" t="s">
        <v>105</v>
      </c>
      <c r="J133" s="105"/>
      <c r="K133" s="52">
        <v>5</v>
      </c>
      <c r="L133" s="109">
        <v>108.8</v>
      </c>
      <c r="M133" s="109"/>
      <c r="N133" s="109"/>
      <c r="O133" s="106">
        <v>1088</v>
      </c>
      <c r="P133" s="106"/>
      <c r="Q133" s="57">
        <v>88.4</v>
      </c>
      <c r="R133" s="65">
        <v>884</v>
      </c>
      <c r="S133" s="44"/>
    </row>
    <row r="134" spans="5:19" ht="45" x14ac:dyDescent="0.25">
      <c r="E134" s="50" t="s">
        <v>171</v>
      </c>
      <c r="F134" s="51" t="s">
        <v>168</v>
      </c>
      <c r="G134" s="51" t="s">
        <v>170</v>
      </c>
      <c r="H134" s="52">
        <v>10</v>
      </c>
      <c r="I134" s="105" t="s">
        <v>105</v>
      </c>
      <c r="J134" s="105"/>
      <c r="K134" s="52">
        <v>5</v>
      </c>
      <c r="L134" s="109">
        <v>108.8</v>
      </c>
      <c r="M134" s="109"/>
      <c r="N134" s="109"/>
      <c r="O134" s="106">
        <v>1088</v>
      </c>
      <c r="P134" s="106"/>
      <c r="Q134" s="57">
        <v>88.4</v>
      </c>
      <c r="R134" s="65">
        <v>884</v>
      </c>
      <c r="S134" s="44"/>
    </row>
    <row r="135" spans="5:19" x14ac:dyDescent="0.25">
      <c r="H135" s="79">
        <f>SUM(H133:H134)</f>
        <v>20</v>
      </c>
      <c r="J135" t="s">
        <v>33</v>
      </c>
      <c r="K135">
        <f>H135*5</f>
        <v>100</v>
      </c>
      <c r="P135" s="6">
        <f>SUM(O133:P134)</f>
        <v>2176</v>
      </c>
      <c r="R135" s="12">
        <f>SUM(R133:R134)</f>
        <v>1768</v>
      </c>
    </row>
    <row r="136" spans="5:19" x14ac:dyDescent="0.25">
      <c r="O136" t="s">
        <v>208</v>
      </c>
      <c r="P136">
        <f>P135/K135</f>
        <v>21.76</v>
      </c>
      <c r="Q136" t="s">
        <v>209</v>
      </c>
      <c r="R136" s="80">
        <f>R135/K135</f>
        <v>17.68</v>
      </c>
    </row>
    <row r="137" spans="5:19" x14ac:dyDescent="0.25">
      <c r="O137" t="s">
        <v>185</v>
      </c>
      <c r="P137" s="80">
        <f>P136/1.1</f>
        <v>19.781818181818181</v>
      </c>
    </row>
    <row r="140" spans="5:19" x14ac:dyDescent="0.25">
      <c r="E140" s="107" t="s">
        <v>76</v>
      </c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</row>
    <row r="141" spans="5:19" ht="25.5" x14ac:dyDescent="0.25">
      <c r="E141" s="107" t="s">
        <v>77</v>
      </c>
      <c r="F141" s="107"/>
      <c r="G141" s="107"/>
      <c r="H141" s="107"/>
      <c r="I141" s="107"/>
      <c r="J141" s="44"/>
      <c r="K141" s="58" t="s">
        <v>78</v>
      </c>
      <c r="L141" s="59" t="s">
        <v>15</v>
      </c>
      <c r="M141" s="60"/>
      <c r="N141" s="59" t="s">
        <v>79</v>
      </c>
      <c r="O141" s="61"/>
      <c r="P141" s="60"/>
      <c r="Q141" s="58" t="s">
        <v>80</v>
      </c>
      <c r="R141" s="62"/>
      <c r="S141" s="44"/>
    </row>
    <row r="142" spans="5:19" x14ac:dyDescent="0.25">
      <c r="E142" s="108" t="s">
        <v>172</v>
      </c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63"/>
      <c r="S142" s="44"/>
    </row>
    <row r="143" spans="5:19" ht="56.25" x14ac:dyDescent="0.25">
      <c r="E143" s="50" t="s">
        <v>173</v>
      </c>
      <c r="F143" s="51" t="s">
        <v>172</v>
      </c>
      <c r="G143" s="51" t="s">
        <v>174</v>
      </c>
      <c r="H143" s="52">
        <v>20</v>
      </c>
      <c r="I143" s="105" t="s">
        <v>98</v>
      </c>
      <c r="J143" s="105"/>
      <c r="K143" s="52">
        <v>6</v>
      </c>
      <c r="L143" s="106">
        <v>1755.78</v>
      </c>
      <c r="M143" s="106"/>
      <c r="N143" s="106">
        <v>35115.599999999999</v>
      </c>
      <c r="O143" s="106"/>
      <c r="P143" s="106"/>
      <c r="Q143" s="54">
        <v>1849.37</v>
      </c>
      <c r="R143" s="55">
        <v>36987.4</v>
      </c>
      <c r="S143" s="44"/>
    </row>
    <row r="144" spans="5:19" ht="56.25" x14ac:dyDescent="0.25">
      <c r="E144" s="50" t="s">
        <v>175</v>
      </c>
      <c r="F144" s="51" t="s">
        <v>172</v>
      </c>
      <c r="G144" s="51" t="s">
        <v>176</v>
      </c>
      <c r="H144" s="52">
        <v>10</v>
      </c>
      <c r="I144" s="105" t="s">
        <v>98</v>
      </c>
      <c r="J144" s="105"/>
      <c r="K144" s="52">
        <v>6</v>
      </c>
      <c r="L144" s="106">
        <v>1755.78</v>
      </c>
      <c r="M144" s="106"/>
      <c r="N144" s="106">
        <v>17557.8</v>
      </c>
      <c r="O144" s="106"/>
      <c r="P144" s="106"/>
      <c r="Q144" s="54">
        <v>1849.37</v>
      </c>
      <c r="R144" s="55">
        <v>18493.7</v>
      </c>
      <c r="S144" s="44"/>
    </row>
    <row r="145" spans="5:19" ht="45" x14ac:dyDescent="0.25">
      <c r="E145" s="50" t="s">
        <v>178</v>
      </c>
      <c r="F145" s="51" t="s">
        <v>177</v>
      </c>
      <c r="G145" s="51" t="s">
        <v>179</v>
      </c>
      <c r="H145" s="52">
        <v>7</v>
      </c>
      <c r="I145" s="105" t="s">
        <v>98</v>
      </c>
      <c r="J145" s="105"/>
      <c r="K145" s="52">
        <v>6</v>
      </c>
      <c r="L145" s="106">
        <v>1931.16</v>
      </c>
      <c r="M145" s="106"/>
      <c r="N145" s="106">
        <v>13518.12</v>
      </c>
      <c r="O145" s="106"/>
      <c r="P145" s="106"/>
      <c r="Q145" s="54">
        <v>2041.71</v>
      </c>
      <c r="R145" s="55">
        <v>14291.97</v>
      </c>
      <c r="S145" s="44"/>
    </row>
    <row r="146" spans="5:19" ht="45" x14ac:dyDescent="0.25">
      <c r="E146" s="50" t="s">
        <v>180</v>
      </c>
      <c r="F146" s="51" t="s">
        <v>177</v>
      </c>
      <c r="G146" s="51" t="s">
        <v>179</v>
      </c>
      <c r="H146" s="52">
        <v>18</v>
      </c>
      <c r="I146" s="105" t="s">
        <v>98</v>
      </c>
      <c r="J146" s="105"/>
      <c r="K146" s="52">
        <v>6</v>
      </c>
      <c r="L146" s="106">
        <v>1931.16</v>
      </c>
      <c r="M146" s="106"/>
      <c r="N146" s="106">
        <v>34760.879999999997</v>
      </c>
      <c r="O146" s="106"/>
      <c r="P146" s="106"/>
      <c r="Q146" s="54">
        <v>2041.71</v>
      </c>
      <c r="R146" s="55">
        <v>36750.78</v>
      </c>
      <c r="S146" s="44"/>
    </row>
    <row r="147" spans="5:19" x14ac:dyDescent="0.25">
      <c r="H147" s="79">
        <f>SUM(H143:H146)</f>
        <v>55</v>
      </c>
      <c r="J147" t="s">
        <v>33</v>
      </c>
      <c r="K147">
        <f>H147*10*0.6</f>
        <v>330</v>
      </c>
      <c r="M147" s="6"/>
      <c r="P147" s="6">
        <f>SUM(N143:P146)</f>
        <v>100952.4</v>
      </c>
      <c r="R147" s="6">
        <f>SUM(R143:R146)</f>
        <v>106523.85</v>
      </c>
    </row>
    <row r="148" spans="5:19" x14ac:dyDescent="0.25">
      <c r="O148" t="s">
        <v>210</v>
      </c>
      <c r="P148">
        <f>P147/K147</f>
        <v>305.9163636363636</v>
      </c>
      <c r="Q148" t="s">
        <v>211</v>
      </c>
      <c r="R148" s="80">
        <f>R147/K147</f>
        <v>322.79954545454547</v>
      </c>
    </row>
    <row r="149" spans="5:19" x14ac:dyDescent="0.25">
      <c r="O149" t="s">
        <v>185</v>
      </c>
      <c r="P149" s="80">
        <f>P148/1.1</f>
        <v>278.10578512396688</v>
      </c>
    </row>
    <row r="153" spans="5:19" x14ac:dyDescent="0.25">
      <c r="E153" s="107" t="s">
        <v>76</v>
      </c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</row>
    <row r="154" spans="5:19" ht="25.5" x14ac:dyDescent="0.25">
      <c r="E154" s="107" t="s">
        <v>77</v>
      </c>
      <c r="F154" s="107"/>
      <c r="G154" s="107"/>
      <c r="H154" s="107"/>
      <c r="I154" s="107"/>
      <c r="J154" s="44"/>
      <c r="K154" s="107" t="s">
        <v>78</v>
      </c>
      <c r="L154" s="107"/>
      <c r="M154" s="64" t="s">
        <v>15</v>
      </c>
      <c r="N154" s="60"/>
      <c r="O154" s="64" t="s">
        <v>79</v>
      </c>
      <c r="P154" s="60"/>
      <c r="Q154" s="58" t="s">
        <v>80</v>
      </c>
      <c r="R154" s="62"/>
      <c r="S154" s="44"/>
    </row>
    <row r="155" spans="5:19" x14ac:dyDescent="0.25">
      <c r="E155" s="108" t="s">
        <v>212</v>
      </c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63"/>
      <c r="S155" s="44"/>
    </row>
    <row r="156" spans="5:19" ht="33.75" x14ac:dyDescent="0.25">
      <c r="E156" s="50" t="s">
        <v>164</v>
      </c>
      <c r="F156" s="53" t="s">
        <v>212</v>
      </c>
      <c r="G156" s="53" t="s">
        <v>213</v>
      </c>
      <c r="H156" s="66">
        <v>20</v>
      </c>
      <c r="I156" s="105" t="s">
        <v>214</v>
      </c>
      <c r="J156" s="105"/>
      <c r="K156" s="111">
        <v>100</v>
      </c>
      <c r="L156" s="111"/>
      <c r="M156" s="106">
        <v>1237</v>
      </c>
      <c r="N156" s="106"/>
      <c r="O156" s="106">
        <v>24740</v>
      </c>
      <c r="P156" s="106"/>
      <c r="Q156" s="54">
        <v>1082.46</v>
      </c>
      <c r="R156" s="55">
        <v>21649.200000000001</v>
      </c>
      <c r="S156" s="44"/>
    </row>
    <row r="157" spans="5:19" ht="22.5" x14ac:dyDescent="0.25">
      <c r="E157" s="50" t="s">
        <v>215</v>
      </c>
      <c r="F157" s="53" t="s">
        <v>216</v>
      </c>
      <c r="G157" s="53" t="s">
        <v>217</v>
      </c>
      <c r="H157" s="66">
        <v>25</v>
      </c>
      <c r="I157" s="105" t="s">
        <v>214</v>
      </c>
      <c r="J157" s="105"/>
      <c r="K157" s="111">
        <v>100</v>
      </c>
      <c r="L157" s="111"/>
      <c r="M157" s="106">
        <v>1160.32</v>
      </c>
      <c r="N157" s="106"/>
      <c r="O157" s="106">
        <v>29008</v>
      </c>
      <c r="P157" s="106"/>
      <c r="Q157" s="54">
        <v>1212.73</v>
      </c>
      <c r="R157" s="55">
        <v>30318.25</v>
      </c>
      <c r="S157" s="44"/>
    </row>
    <row r="158" spans="5:19" x14ac:dyDescent="0.25">
      <c r="H158" s="79">
        <f>SUM(H156:H157)</f>
        <v>45</v>
      </c>
      <c r="K158" t="s">
        <v>218</v>
      </c>
      <c r="L158">
        <f>H158*100</f>
        <v>4500</v>
      </c>
      <c r="P158" s="6">
        <f>SUM(O156:P157)</f>
        <v>53748</v>
      </c>
      <c r="R158" s="6">
        <f>SUM(R156:R157)</f>
        <v>51967.45</v>
      </c>
    </row>
    <row r="159" spans="5:19" x14ac:dyDescent="0.25">
      <c r="O159" t="s">
        <v>207</v>
      </c>
      <c r="P159">
        <f>P158/L158</f>
        <v>11.944000000000001</v>
      </c>
      <c r="Q159" t="s">
        <v>209</v>
      </c>
      <c r="R159" s="80">
        <f>R158/L158</f>
        <v>11.548322222222222</v>
      </c>
    </row>
    <row r="160" spans="5:19" x14ac:dyDescent="0.25">
      <c r="O160" t="s">
        <v>185</v>
      </c>
      <c r="P160" s="80">
        <f>P159/1.1</f>
        <v>10.858181818181817</v>
      </c>
    </row>
  </sheetData>
  <mergeCells count="215">
    <mergeCell ref="I157:J157"/>
    <mergeCell ref="K157:L157"/>
    <mergeCell ref="M157:N157"/>
    <mergeCell ref="O157:P157"/>
    <mergeCell ref="E4:S4"/>
    <mergeCell ref="E5:I5"/>
    <mergeCell ref="L5:M5"/>
    <mergeCell ref="E153:S153"/>
    <mergeCell ref="E154:I154"/>
    <mergeCell ref="K154:L154"/>
    <mergeCell ref="E155:Q155"/>
    <mergeCell ref="I156:J156"/>
    <mergeCell ref="K156:L156"/>
    <mergeCell ref="M156:N156"/>
    <mergeCell ref="O156:P156"/>
    <mergeCell ref="I19:J19"/>
    <mergeCell ref="L19:M19"/>
    <mergeCell ref="N19:P19"/>
    <mergeCell ref="E14:Q14"/>
    <mergeCell ref="E6:Q6"/>
    <mergeCell ref="I7:J7"/>
    <mergeCell ref="L7:N7"/>
    <mergeCell ref="O7:P7"/>
    <mergeCell ref="E12:S12"/>
    <mergeCell ref="E13:I13"/>
    <mergeCell ref="I17:J17"/>
    <mergeCell ref="L17:M17"/>
    <mergeCell ref="N17:P17"/>
    <mergeCell ref="I18:J18"/>
    <mergeCell ref="L18:M18"/>
    <mergeCell ref="N18:P18"/>
    <mergeCell ref="I15:J15"/>
    <mergeCell ref="L15:M15"/>
    <mergeCell ref="N15:P15"/>
    <mergeCell ref="I16:J16"/>
    <mergeCell ref="L16:M16"/>
    <mergeCell ref="N16:P16"/>
    <mergeCell ref="L29:M29"/>
    <mergeCell ref="N29:P29"/>
    <mergeCell ref="I30:J30"/>
    <mergeCell ref="L30:M30"/>
    <mergeCell ref="N30:P30"/>
    <mergeCell ref="E24:S24"/>
    <mergeCell ref="E25:I25"/>
    <mergeCell ref="N25:O25"/>
    <mergeCell ref="E26:Q26"/>
    <mergeCell ref="I27:J27"/>
    <mergeCell ref="L27:M27"/>
    <mergeCell ref="N27:P27"/>
    <mergeCell ref="I28:J28"/>
    <mergeCell ref="L28:M28"/>
    <mergeCell ref="N28:P28"/>
    <mergeCell ref="I29:J29"/>
    <mergeCell ref="I40:J40"/>
    <mergeCell ref="L40:N40"/>
    <mergeCell ref="O40:P40"/>
    <mergeCell ref="I41:J41"/>
    <mergeCell ref="L41:N41"/>
    <mergeCell ref="O41:P41"/>
    <mergeCell ref="E35:S35"/>
    <mergeCell ref="E36:I36"/>
    <mergeCell ref="L36:M36"/>
    <mergeCell ref="E37:Q37"/>
    <mergeCell ref="I38:J38"/>
    <mergeCell ref="L38:N38"/>
    <mergeCell ref="O38:P38"/>
    <mergeCell ref="I39:J39"/>
    <mergeCell ref="L39:N39"/>
    <mergeCell ref="O39:P39"/>
    <mergeCell ref="E46:S46"/>
    <mergeCell ref="E47:I47"/>
    <mergeCell ref="K47:L47"/>
    <mergeCell ref="E48:Q48"/>
    <mergeCell ref="I49:J49"/>
    <mergeCell ref="K49:L49"/>
    <mergeCell ref="I58:J58"/>
    <mergeCell ref="K58:L58"/>
    <mergeCell ref="I56:J56"/>
    <mergeCell ref="K56:L56"/>
    <mergeCell ref="I54:J54"/>
    <mergeCell ref="K54:L54"/>
    <mergeCell ref="M49:N49"/>
    <mergeCell ref="O49:P49"/>
    <mergeCell ref="I52:J52"/>
    <mergeCell ref="K52:L52"/>
    <mergeCell ref="M52:N52"/>
    <mergeCell ref="O52:P52"/>
    <mergeCell ref="I53:J53"/>
    <mergeCell ref="K53:L53"/>
    <mergeCell ref="M53:N53"/>
    <mergeCell ref="O53:P53"/>
    <mergeCell ref="I50:J50"/>
    <mergeCell ref="K50:L50"/>
    <mergeCell ref="M50:N50"/>
    <mergeCell ref="O50:P50"/>
    <mergeCell ref="I51:J51"/>
    <mergeCell ref="K51:L51"/>
    <mergeCell ref="M51:N51"/>
    <mergeCell ref="O51:P51"/>
    <mergeCell ref="M56:N56"/>
    <mergeCell ref="O56:P56"/>
    <mergeCell ref="I57:J57"/>
    <mergeCell ref="K57:L57"/>
    <mergeCell ref="M57:N57"/>
    <mergeCell ref="O57:P57"/>
    <mergeCell ref="M54:N54"/>
    <mergeCell ref="O54:P54"/>
    <mergeCell ref="I55:J55"/>
    <mergeCell ref="K55:L55"/>
    <mergeCell ref="M55:N55"/>
    <mergeCell ref="O55:P55"/>
    <mergeCell ref="I60:J60"/>
    <mergeCell ref="K60:L60"/>
    <mergeCell ref="M60:N60"/>
    <mergeCell ref="O60:P60"/>
    <mergeCell ref="M58:N58"/>
    <mergeCell ref="O58:P58"/>
    <mergeCell ref="I59:J59"/>
    <mergeCell ref="K59:L59"/>
    <mergeCell ref="M59:N59"/>
    <mergeCell ref="O59:P59"/>
    <mergeCell ref="K69:L69"/>
    <mergeCell ref="M69:N69"/>
    <mergeCell ref="O69:P69"/>
    <mergeCell ref="E73:S73"/>
    <mergeCell ref="E74:I74"/>
    <mergeCell ref="E75:Q75"/>
    <mergeCell ref="E66:S66"/>
    <mergeCell ref="E67:I67"/>
    <mergeCell ref="K67:L67"/>
    <mergeCell ref="E68:Q68"/>
    <mergeCell ref="I69:J69"/>
    <mergeCell ref="L77:N77"/>
    <mergeCell ref="O77:P77"/>
    <mergeCell ref="I78:J78"/>
    <mergeCell ref="L78:N78"/>
    <mergeCell ref="O78:P78"/>
    <mergeCell ref="I79:J79"/>
    <mergeCell ref="L79:N79"/>
    <mergeCell ref="O79:P79"/>
    <mergeCell ref="I76:J76"/>
    <mergeCell ref="L76:N76"/>
    <mergeCell ref="O76:P76"/>
    <mergeCell ref="I77:J77"/>
    <mergeCell ref="L88:N88"/>
    <mergeCell ref="O88:P88"/>
    <mergeCell ref="E93:S93"/>
    <mergeCell ref="E94:I94"/>
    <mergeCell ref="E84:S84"/>
    <mergeCell ref="E85:I85"/>
    <mergeCell ref="E86:Q86"/>
    <mergeCell ref="I87:J87"/>
    <mergeCell ref="L87:N87"/>
    <mergeCell ref="O87:P87"/>
    <mergeCell ref="I88:J88"/>
    <mergeCell ref="E103:Q103"/>
    <mergeCell ref="I104:J104"/>
    <mergeCell ref="L104:N104"/>
    <mergeCell ref="E95:Q95"/>
    <mergeCell ref="I96:K96"/>
    <mergeCell ref="M96:N96"/>
    <mergeCell ref="O96:P96"/>
    <mergeCell ref="E101:S101"/>
    <mergeCell ref="E102:I102"/>
    <mergeCell ref="L102:M102"/>
    <mergeCell ref="E112:Q112"/>
    <mergeCell ref="I113:J113"/>
    <mergeCell ref="L113:M113"/>
    <mergeCell ref="O104:P104"/>
    <mergeCell ref="I105:J105"/>
    <mergeCell ref="L105:N105"/>
    <mergeCell ref="O105:P105"/>
    <mergeCell ref="E110:S110"/>
    <mergeCell ref="E111:I111"/>
    <mergeCell ref="N111:O111"/>
    <mergeCell ref="N116:P116"/>
    <mergeCell ref="E122:S122"/>
    <mergeCell ref="E123:I123"/>
    <mergeCell ref="E124:Q124"/>
    <mergeCell ref="N113:P113"/>
    <mergeCell ref="I114:J114"/>
    <mergeCell ref="L114:M114"/>
    <mergeCell ref="N114:P114"/>
    <mergeCell ref="I115:J115"/>
    <mergeCell ref="L115:M115"/>
    <mergeCell ref="N115:P115"/>
    <mergeCell ref="I116:J116"/>
    <mergeCell ref="L116:M116"/>
    <mergeCell ref="L134:N134"/>
    <mergeCell ref="O134:P134"/>
    <mergeCell ref="I133:J133"/>
    <mergeCell ref="L133:N133"/>
    <mergeCell ref="O133:P133"/>
    <mergeCell ref="I134:J134"/>
    <mergeCell ref="I125:K125"/>
    <mergeCell ref="M125:N125"/>
    <mergeCell ref="O125:P125"/>
    <mergeCell ref="E130:S130"/>
    <mergeCell ref="E131:I131"/>
    <mergeCell ref="E132:Q132"/>
    <mergeCell ref="I145:J145"/>
    <mergeCell ref="L145:M145"/>
    <mergeCell ref="N145:P145"/>
    <mergeCell ref="I146:J146"/>
    <mergeCell ref="L146:M146"/>
    <mergeCell ref="N146:P146"/>
    <mergeCell ref="E140:S140"/>
    <mergeCell ref="E141:I141"/>
    <mergeCell ref="E142:Q142"/>
    <mergeCell ref="I143:J143"/>
    <mergeCell ref="L143:M143"/>
    <mergeCell ref="N143:P143"/>
    <mergeCell ref="I144:J144"/>
    <mergeCell ref="L144:M144"/>
    <mergeCell ref="N144:P14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M16"/>
  <sheetViews>
    <sheetView zoomScale="130" zoomScaleNormal="130" workbookViewId="0">
      <selection activeCell="G16" sqref="G16"/>
    </sheetView>
  </sheetViews>
  <sheetFormatPr defaultRowHeight="15" x14ac:dyDescent="0.25"/>
  <sheetData>
    <row r="1" spans="4:13" ht="45" x14ac:dyDescent="0.25">
      <c r="D1" t="s">
        <v>70</v>
      </c>
      <c r="E1" s="32" t="s">
        <v>69</v>
      </c>
      <c r="F1" s="32" t="s">
        <v>64</v>
      </c>
      <c r="G1" s="32" t="s">
        <v>65</v>
      </c>
      <c r="H1" s="32" t="s">
        <v>63</v>
      </c>
      <c r="I1" s="32" t="s">
        <v>64</v>
      </c>
      <c r="J1" s="32" t="s">
        <v>65</v>
      </c>
      <c r="K1" s="32" t="s">
        <v>63</v>
      </c>
      <c r="L1" s="32" t="s">
        <v>64</v>
      </c>
      <c r="M1" s="32" t="s">
        <v>65</v>
      </c>
    </row>
    <row r="2" spans="4:13" x14ac:dyDescent="0.25">
      <c r="D2">
        <v>1</v>
      </c>
      <c r="E2">
        <v>20</v>
      </c>
      <c r="F2" s="12">
        <v>1478.73</v>
      </c>
      <c r="G2">
        <f>F2/E2</f>
        <v>73.936499999999995</v>
      </c>
      <c r="H2">
        <v>20</v>
      </c>
      <c r="I2">
        <v>1478.73</v>
      </c>
      <c r="J2">
        <f>I2/E2</f>
        <v>73.936499999999995</v>
      </c>
      <c r="K2">
        <v>20</v>
      </c>
      <c r="L2">
        <v>1478.73</v>
      </c>
      <c r="M2">
        <f>L2/E2</f>
        <v>73.936499999999995</v>
      </c>
    </row>
    <row r="3" spans="4:13" x14ac:dyDescent="0.25">
      <c r="D3">
        <v>2</v>
      </c>
      <c r="E3">
        <v>1000</v>
      </c>
      <c r="F3" s="12">
        <v>356.7</v>
      </c>
      <c r="G3">
        <f t="shared" ref="G3:G16" si="0">F3/E3</f>
        <v>0.35669999999999996</v>
      </c>
      <c r="H3">
        <v>1000</v>
      </c>
      <c r="I3" s="6">
        <v>356.7</v>
      </c>
      <c r="J3">
        <f>I3/H3</f>
        <v>0.35669999999999996</v>
      </c>
      <c r="K3">
        <v>1000</v>
      </c>
      <c r="L3" s="6">
        <v>356.7</v>
      </c>
      <c r="M3">
        <f>L3/K3</f>
        <v>0.35669999999999996</v>
      </c>
    </row>
    <row r="4" spans="4:13" x14ac:dyDescent="0.25">
      <c r="D4">
        <v>3</v>
      </c>
      <c r="E4">
        <v>50</v>
      </c>
      <c r="F4" s="12">
        <v>112.95</v>
      </c>
      <c r="G4">
        <f t="shared" si="0"/>
        <v>2.2589999999999999</v>
      </c>
      <c r="H4">
        <v>50</v>
      </c>
      <c r="I4" s="12">
        <v>112.95</v>
      </c>
      <c r="J4">
        <f t="shared" ref="J4:J16" si="1">I4/H4</f>
        <v>2.2589999999999999</v>
      </c>
      <c r="K4">
        <v>50</v>
      </c>
      <c r="L4" s="12">
        <v>112.95</v>
      </c>
      <c r="M4">
        <f t="shared" ref="M4:M16" si="2">L4/K4</f>
        <v>2.2589999999999999</v>
      </c>
    </row>
    <row r="5" spans="4:13" x14ac:dyDescent="0.25">
      <c r="D5">
        <v>4</v>
      </c>
      <c r="E5">
        <v>20</v>
      </c>
      <c r="F5" s="12">
        <v>445.04</v>
      </c>
      <c r="G5">
        <f t="shared" si="0"/>
        <v>22.252000000000002</v>
      </c>
      <c r="H5">
        <v>20</v>
      </c>
      <c r="I5" s="6">
        <v>445.04</v>
      </c>
      <c r="J5">
        <f t="shared" si="1"/>
        <v>22.252000000000002</v>
      </c>
      <c r="K5">
        <v>20</v>
      </c>
      <c r="L5">
        <v>445.04</v>
      </c>
      <c r="M5">
        <f t="shared" si="2"/>
        <v>22.252000000000002</v>
      </c>
    </row>
    <row r="6" spans="4:13" x14ac:dyDescent="0.25">
      <c r="D6">
        <v>5</v>
      </c>
      <c r="E6">
        <v>20</v>
      </c>
      <c r="F6" s="12">
        <v>69.8</v>
      </c>
      <c r="G6">
        <f t="shared" si="0"/>
        <v>3.4899999999999998</v>
      </c>
      <c r="H6">
        <v>20</v>
      </c>
      <c r="I6" s="6">
        <v>101.7</v>
      </c>
      <c r="J6">
        <f t="shared" si="1"/>
        <v>5.085</v>
      </c>
      <c r="K6">
        <v>20</v>
      </c>
      <c r="L6">
        <v>101.7</v>
      </c>
      <c r="M6">
        <f t="shared" si="2"/>
        <v>5.085</v>
      </c>
    </row>
    <row r="7" spans="4:13" x14ac:dyDescent="0.25">
      <c r="D7">
        <v>6</v>
      </c>
      <c r="E7">
        <v>100</v>
      </c>
      <c r="F7" s="12">
        <v>26.69</v>
      </c>
      <c r="G7">
        <f t="shared" si="0"/>
        <v>0.26690000000000003</v>
      </c>
      <c r="H7">
        <v>100</v>
      </c>
      <c r="I7" s="6">
        <v>26.69</v>
      </c>
      <c r="J7">
        <f t="shared" si="1"/>
        <v>0.26690000000000003</v>
      </c>
      <c r="K7">
        <v>100</v>
      </c>
      <c r="L7">
        <v>26.69</v>
      </c>
      <c r="M7">
        <f t="shared" si="2"/>
        <v>0.26690000000000003</v>
      </c>
    </row>
    <row r="8" spans="4:13" x14ac:dyDescent="0.25">
      <c r="D8">
        <v>7</v>
      </c>
      <c r="E8">
        <v>60</v>
      </c>
      <c r="F8" s="12">
        <v>1123.6300000000001</v>
      </c>
      <c r="G8">
        <f t="shared" si="0"/>
        <v>18.727166666666669</v>
      </c>
      <c r="H8">
        <v>60</v>
      </c>
      <c r="I8" s="6">
        <v>1208.18</v>
      </c>
      <c r="J8">
        <f t="shared" si="1"/>
        <v>20.136333333333333</v>
      </c>
      <c r="K8">
        <v>60</v>
      </c>
      <c r="L8">
        <v>1145.45</v>
      </c>
      <c r="M8">
        <f t="shared" si="2"/>
        <v>19.090833333333332</v>
      </c>
    </row>
    <row r="9" spans="4:13" x14ac:dyDescent="0.25">
      <c r="D9">
        <v>8</v>
      </c>
      <c r="E9">
        <v>50</v>
      </c>
      <c r="F9" s="12">
        <v>41.7</v>
      </c>
      <c r="G9">
        <f t="shared" si="0"/>
        <v>0.83400000000000007</v>
      </c>
      <c r="H9">
        <v>50</v>
      </c>
      <c r="I9" s="6">
        <v>41.7</v>
      </c>
      <c r="J9">
        <f t="shared" si="1"/>
        <v>0.83400000000000007</v>
      </c>
      <c r="K9">
        <v>50</v>
      </c>
      <c r="L9">
        <v>41.7</v>
      </c>
      <c r="M9">
        <f t="shared" si="2"/>
        <v>0.83400000000000007</v>
      </c>
    </row>
    <row r="10" spans="4:13" x14ac:dyDescent="0.25">
      <c r="D10">
        <v>9</v>
      </c>
      <c r="E10">
        <v>40</v>
      </c>
      <c r="F10" s="12">
        <v>2203.63</v>
      </c>
      <c r="G10">
        <f t="shared" si="0"/>
        <v>55.09075</v>
      </c>
      <c r="H10">
        <v>40</v>
      </c>
      <c r="I10" s="6">
        <v>2228.36</v>
      </c>
      <c r="J10">
        <f t="shared" si="1"/>
        <v>55.709000000000003</v>
      </c>
      <c r="K10">
        <v>50</v>
      </c>
      <c r="L10">
        <v>2218.1799999999998</v>
      </c>
      <c r="M10">
        <f t="shared" si="2"/>
        <v>44.363599999999998</v>
      </c>
    </row>
    <row r="11" spans="4:13" x14ac:dyDescent="0.25">
      <c r="D11">
        <v>10</v>
      </c>
      <c r="E11">
        <v>60</v>
      </c>
      <c r="F11" s="12">
        <v>186.38</v>
      </c>
      <c r="G11">
        <f t="shared" si="0"/>
        <v>3.1063333333333332</v>
      </c>
      <c r="H11">
        <v>60</v>
      </c>
      <c r="I11" s="6">
        <v>186.38</v>
      </c>
      <c r="J11">
        <f t="shared" si="1"/>
        <v>3.1063333333333332</v>
      </c>
      <c r="K11">
        <v>60</v>
      </c>
      <c r="L11">
        <v>186.38</v>
      </c>
      <c r="M11">
        <f t="shared" si="2"/>
        <v>3.1063333333333332</v>
      </c>
    </row>
    <row r="12" spans="4:13" x14ac:dyDescent="0.25">
      <c r="D12">
        <v>11</v>
      </c>
      <c r="E12">
        <v>100</v>
      </c>
      <c r="F12" s="12">
        <v>710.3</v>
      </c>
      <c r="G12">
        <f t="shared" si="0"/>
        <v>7.1029999999999998</v>
      </c>
      <c r="H12">
        <v>100</v>
      </c>
      <c r="I12" s="6">
        <v>710.3</v>
      </c>
      <c r="J12">
        <f t="shared" si="1"/>
        <v>7.1029999999999998</v>
      </c>
      <c r="K12">
        <v>100</v>
      </c>
      <c r="L12">
        <v>710.3</v>
      </c>
      <c r="M12">
        <f t="shared" si="2"/>
        <v>7.1029999999999998</v>
      </c>
    </row>
    <row r="13" spans="4:13" x14ac:dyDescent="0.25">
      <c r="D13">
        <v>12</v>
      </c>
      <c r="E13">
        <v>100</v>
      </c>
      <c r="F13" s="12">
        <v>1353.14</v>
      </c>
      <c r="G13">
        <f t="shared" si="0"/>
        <v>13.531400000000001</v>
      </c>
      <c r="H13">
        <v>100</v>
      </c>
      <c r="I13" s="6">
        <v>1353.14</v>
      </c>
      <c r="J13">
        <f t="shared" si="1"/>
        <v>13.531400000000001</v>
      </c>
      <c r="K13">
        <v>100</v>
      </c>
      <c r="L13">
        <v>1353.14</v>
      </c>
      <c r="M13">
        <f t="shared" si="2"/>
        <v>13.531400000000001</v>
      </c>
    </row>
    <row r="14" spans="4:13" x14ac:dyDescent="0.25">
      <c r="D14">
        <v>13</v>
      </c>
      <c r="E14" s="33">
        <v>60</v>
      </c>
      <c r="F14" s="34">
        <v>59.16</v>
      </c>
      <c r="G14">
        <f t="shared" si="0"/>
        <v>0.98599999999999999</v>
      </c>
      <c r="H14">
        <v>60</v>
      </c>
      <c r="I14" s="6">
        <v>59.16</v>
      </c>
      <c r="J14">
        <f t="shared" si="1"/>
        <v>0.98599999999999999</v>
      </c>
      <c r="K14">
        <v>60</v>
      </c>
      <c r="L14">
        <v>59.16</v>
      </c>
      <c r="M14">
        <f t="shared" si="2"/>
        <v>0.98599999999999999</v>
      </c>
    </row>
    <row r="15" spans="4:13" x14ac:dyDescent="0.25">
      <c r="D15">
        <v>14</v>
      </c>
      <c r="E15" s="33">
        <v>5</v>
      </c>
      <c r="F15" s="33">
        <v>122.91</v>
      </c>
      <c r="G15">
        <f t="shared" si="0"/>
        <v>24.582000000000001</v>
      </c>
      <c r="H15">
        <v>5</v>
      </c>
      <c r="I15" s="6">
        <v>122.91</v>
      </c>
      <c r="J15">
        <f t="shared" si="1"/>
        <v>24.582000000000001</v>
      </c>
      <c r="K15">
        <v>5</v>
      </c>
      <c r="L15">
        <v>122.91</v>
      </c>
      <c r="M15">
        <f t="shared" si="2"/>
        <v>24.582000000000001</v>
      </c>
    </row>
    <row r="16" spans="4:13" x14ac:dyDescent="0.25">
      <c r="D16">
        <v>15</v>
      </c>
      <c r="E16" s="33">
        <f>10*0.6</f>
        <v>6</v>
      </c>
      <c r="F16" s="33">
        <v>2438.4499999999998</v>
      </c>
      <c r="G16">
        <f t="shared" si="0"/>
        <v>406.4083333333333</v>
      </c>
      <c r="H16">
        <v>6</v>
      </c>
      <c r="I16" s="6">
        <v>2438.4499999999998</v>
      </c>
      <c r="J16">
        <f t="shared" si="1"/>
        <v>406.4083333333333</v>
      </c>
      <c r="K16">
        <v>6</v>
      </c>
      <c r="L16">
        <v>2438.4499999999998</v>
      </c>
      <c r="M16">
        <f t="shared" si="2"/>
        <v>406.4083333333333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НМЦК</vt:lpstr>
      <vt:lpstr>Лист1</vt:lpstr>
      <vt:lpstr>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Карпова</dc:creator>
  <cp:lastModifiedBy>Зятькова Тамилла Булатовна</cp:lastModifiedBy>
  <cp:lastPrinted>2026-06-22T13:20:29Z</cp:lastPrinted>
  <dcterms:created xsi:type="dcterms:W3CDTF">2022-07-26T12:21:58Z</dcterms:created>
  <dcterms:modified xsi:type="dcterms:W3CDTF">2026-06-23T09:36:27Z</dcterms:modified>
</cp:coreProperties>
</file>