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Ремонт подъёмника ПГ-0125 пер. Здоровья, д.16\На сайт\"/>
    </mc:Choice>
  </mc:AlternateContent>
  <bookViews>
    <workbookView xWindow="0" yWindow="0" windowWidth="19155" windowHeight="10065" firstSheet="2" activeTab="2"/>
  </bookViews>
  <sheets>
    <sheet name="НМЦК" sheetId="20" state="hidden" r:id="rId1"/>
    <sheet name="НМЦК (2)" sheetId="21" state="hidden" r:id="rId2"/>
    <sheet name="НМЦК (3)" sheetId="22" r:id="rId3"/>
    <sheet name="Лист1" sheetId="23" r:id="rId4"/>
    <sheet name="шаблон" sheetId="19" state="hidden" r:id="rId5"/>
  </sheets>
  <definedNames>
    <definedName name="_GoBack" localSheetId="0">НМЦК!$J$6</definedName>
    <definedName name="_GoBack" localSheetId="1">'НМЦК (2)'!$J$6</definedName>
    <definedName name="_GoBack" localSheetId="2">'НМЦК (3)'!$J$6</definedName>
    <definedName name="RangeW" localSheetId="1">#REF!</definedName>
    <definedName name="RangeW" localSheetId="2">#REF!</definedName>
    <definedName name="RangeW" localSheetId="4">#REF!</definedName>
    <definedName name="RangeW">#REF!</definedName>
    <definedName name="_xlnm.Print_Area" localSheetId="0">НМЦК!$A$1:$K$55</definedName>
    <definedName name="_xlnm.Print_Area" localSheetId="1">'НМЦК (2)'!$A$1:$K$55</definedName>
    <definedName name="_xlnm.Print_Area" localSheetId="2">'НМЦК (3)'!$A$1:$K$39</definedName>
    <definedName name="_xlnm.Print_Area" localSheetId="4">шаблон!$A$1:$N$22</definedName>
  </definedNames>
  <calcPr calcId="162913"/>
</workbook>
</file>

<file path=xl/calcChain.xml><?xml version="1.0" encoding="utf-8"?>
<calcChain xmlns="http://schemas.openxmlformats.org/spreadsheetml/2006/main">
  <c r="F6" i="22" l="1"/>
  <c r="G6" i="22"/>
  <c r="H6" i="22" l="1"/>
  <c r="K6" i="22"/>
  <c r="E8" i="21"/>
  <c r="E17" i="21"/>
  <c r="E19" i="21"/>
  <c r="E18" i="21"/>
  <c r="D19" i="21"/>
  <c r="E20" i="21"/>
  <c r="E22" i="21"/>
  <c r="E23" i="21"/>
  <c r="E21" i="21"/>
  <c r="E16" i="21"/>
  <c r="D16" i="21"/>
  <c r="E15" i="21"/>
  <c r="E14" i="21"/>
  <c r="D14" i="21"/>
  <c r="M14" i="21"/>
  <c r="N14" i="21" s="1"/>
  <c r="E13" i="21"/>
  <c r="D13" i="21"/>
  <c r="D11" i="21"/>
  <c r="E10" i="21"/>
  <c r="M10" i="21"/>
  <c r="N10" i="21" s="1"/>
  <c r="O10" i="21"/>
  <c r="P10" i="21" s="1"/>
  <c r="C10" i="21"/>
  <c r="D10" i="21"/>
  <c r="F10" i="21"/>
  <c r="K10" i="21" s="1"/>
  <c r="G10" i="21"/>
  <c r="D8" i="21"/>
  <c r="G8" i="21"/>
  <c r="D9" i="21"/>
  <c r="E9" i="21"/>
  <c r="G9" i="21"/>
  <c r="D6" i="21"/>
  <c r="O8" i="21"/>
  <c r="P8" i="21" s="1"/>
  <c r="E7" i="21"/>
  <c r="E6" i="21"/>
  <c r="D7" i="21"/>
  <c r="N12" i="21"/>
  <c r="N13" i="21"/>
  <c r="N15" i="21"/>
  <c r="N16" i="21"/>
  <c r="N17" i="21"/>
  <c r="N18" i="21"/>
  <c r="N20" i="21"/>
  <c r="N21" i="21"/>
  <c r="N22" i="21"/>
  <c r="N23" i="21"/>
  <c r="P11" i="21"/>
  <c r="P12" i="21"/>
  <c r="P20" i="21"/>
  <c r="N6" i="21"/>
  <c r="O7" i="21"/>
  <c r="P7" i="21" s="1"/>
  <c r="O9" i="21"/>
  <c r="P9" i="21" s="1"/>
  <c r="O11" i="21"/>
  <c r="O12" i="2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O21" i="21"/>
  <c r="P21" i="21" s="1"/>
  <c r="O22" i="21"/>
  <c r="P22" i="21" s="1"/>
  <c r="O23" i="21"/>
  <c r="P23" i="21" s="1"/>
  <c r="O6" i="21"/>
  <c r="P6" i="21" s="1"/>
  <c r="M7" i="21"/>
  <c r="N7" i="21" s="1"/>
  <c r="M8" i="21"/>
  <c r="N8" i="21" s="1"/>
  <c r="M9" i="21"/>
  <c r="N9" i="21" s="1"/>
  <c r="M11" i="21"/>
  <c r="N11" i="21" s="1"/>
  <c r="M12" i="21"/>
  <c r="M13" i="21"/>
  <c r="M15" i="21"/>
  <c r="M16" i="21"/>
  <c r="M17" i="21"/>
  <c r="M18" i="21"/>
  <c r="M19" i="21"/>
  <c r="N19" i="21" s="1"/>
  <c r="M20" i="21"/>
  <c r="M21" i="21"/>
  <c r="M22" i="21"/>
  <c r="M23" i="21"/>
  <c r="M6" i="21"/>
  <c r="G23" i="21"/>
  <c r="D23" i="21"/>
  <c r="F23" i="21" s="1"/>
  <c r="K23" i="21" s="1"/>
  <c r="G22" i="21"/>
  <c r="H22" i="21" s="1"/>
  <c r="F22" i="21"/>
  <c r="K22" i="21" s="1"/>
  <c r="D22" i="21"/>
  <c r="D21" i="21"/>
  <c r="G21" i="21" s="1"/>
  <c r="F20" i="21"/>
  <c r="K20" i="21" s="1"/>
  <c r="D20" i="21"/>
  <c r="G20" i="21" s="1"/>
  <c r="H20" i="21" s="1"/>
  <c r="G19" i="21"/>
  <c r="H19" i="21" s="1"/>
  <c r="F19" i="21"/>
  <c r="K19" i="21" s="1"/>
  <c r="F18" i="21"/>
  <c r="K18" i="21" s="1"/>
  <c r="D18" i="21"/>
  <c r="G18" i="21" s="1"/>
  <c r="H18" i="21" s="1"/>
  <c r="G17" i="21"/>
  <c r="F17" i="21"/>
  <c r="K17" i="21" s="1"/>
  <c r="D17" i="21"/>
  <c r="F16" i="21"/>
  <c r="K16" i="21" s="1"/>
  <c r="G16" i="21"/>
  <c r="H15" i="21"/>
  <c r="G15" i="21"/>
  <c r="F15" i="21"/>
  <c r="K15" i="21" s="1"/>
  <c r="D15" i="21"/>
  <c r="G13" i="21"/>
  <c r="F13" i="21"/>
  <c r="K13" i="21" s="1"/>
  <c r="F12" i="21"/>
  <c r="K12" i="21" s="1"/>
  <c r="D12" i="21"/>
  <c r="G12" i="21" s="1"/>
  <c r="H12" i="21" s="1"/>
  <c r="G11" i="21"/>
  <c r="H11" i="21" s="1"/>
  <c r="F11" i="21"/>
  <c r="K11" i="21" s="1"/>
  <c r="F9" i="21"/>
  <c r="K9" i="21" s="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8" i="21"/>
  <c r="G7" i="21"/>
  <c r="H7" i="21" s="1"/>
  <c r="F7" i="21"/>
  <c r="K7" i="21" s="1"/>
  <c r="A7" i="21"/>
  <c r="G6" i="21"/>
  <c r="H17" i="21" l="1"/>
  <c r="H16" i="21"/>
  <c r="G14" i="21"/>
  <c r="F14" i="21"/>
  <c r="K14" i="21" s="1"/>
  <c r="H13" i="21"/>
  <c r="H10" i="21"/>
  <c r="F8" i="21"/>
  <c r="K8" i="21" s="1"/>
  <c r="H9" i="21"/>
  <c r="P24" i="21"/>
  <c r="P26" i="21" s="1"/>
  <c r="N24" i="21"/>
  <c r="N26" i="21" s="1"/>
  <c r="H23" i="21"/>
  <c r="F6" i="21"/>
  <c r="K6" i="21" s="1"/>
  <c r="F21" i="21"/>
  <c r="K21" i="21" s="1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7" i="20"/>
  <c r="G7" i="20" s="1"/>
  <c r="D6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6" i="20"/>
  <c r="K7" i="22" l="1"/>
  <c r="H8" i="21"/>
  <c r="H14" i="21"/>
  <c r="K24" i="21"/>
  <c r="H21" i="21"/>
  <c r="H6" i="21"/>
  <c r="F21" i="20"/>
  <c r="K21" i="20" s="1"/>
  <c r="F22" i="20"/>
  <c r="K22" i="20" s="1"/>
  <c r="H22" i="20" l="1"/>
  <c r="H21" i="20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F6" i="20" l="1"/>
  <c r="K6" i="20" s="1"/>
  <c r="F7" i="20"/>
  <c r="K7" i="20" s="1"/>
  <c r="F8" i="20"/>
  <c r="K8" i="20" s="1"/>
  <c r="F9" i="20"/>
  <c r="K9" i="20" s="1"/>
  <c r="F10" i="20"/>
  <c r="F11" i="20"/>
  <c r="F12" i="20"/>
  <c r="F13" i="20"/>
  <c r="F14" i="20"/>
  <c r="K14" i="20" s="1"/>
  <c r="F15" i="20"/>
  <c r="K15" i="20" s="1"/>
  <c r="F16" i="20"/>
  <c r="K16" i="20" s="1"/>
  <c r="F17" i="20"/>
  <c r="F18" i="20"/>
  <c r="K18" i="20" s="1"/>
  <c r="F19" i="20"/>
  <c r="F20" i="20"/>
  <c r="F23" i="20"/>
  <c r="H19" i="20" l="1"/>
  <c r="K19" i="20"/>
  <c r="H18" i="20"/>
  <c r="H17" i="20"/>
  <c r="K17" i="20"/>
  <c r="H23" i="20"/>
  <c r="K23" i="20"/>
  <c r="H16" i="20"/>
  <c r="H15" i="20"/>
  <c r="H14" i="20"/>
  <c r="H13" i="20"/>
  <c r="K13" i="20"/>
  <c r="H20" i="20"/>
  <c r="K20" i="20"/>
  <c r="H12" i="20"/>
  <c r="K12" i="20"/>
  <c r="H11" i="20"/>
  <c r="K11" i="20"/>
  <c r="H10" i="20"/>
  <c r="K10" i="20"/>
  <c r="K24" i="20" s="1"/>
  <c r="H9" i="20"/>
  <c r="H8" i="20"/>
  <c r="H7" i="20"/>
  <c r="H6" i="20"/>
  <c r="M10" i="19" l="1"/>
  <c r="M11" i="19"/>
  <c r="M12" i="19"/>
  <c r="M13" i="19"/>
  <c r="M14" i="19"/>
  <c r="M15" i="19"/>
  <c r="M16" i="19"/>
  <c r="K10" i="19"/>
  <c r="L10" i="19" s="1"/>
  <c r="K11" i="19"/>
  <c r="K12" i="19"/>
  <c r="K13" i="19"/>
  <c r="L13" i="19" s="1"/>
  <c r="K14" i="19"/>
  <c r="L14" i="19" s="1"/>
  <c r="K15" i="19"/>
  <c r="K16" i="19"/>
  <c r="J11" i="19"/>
  <c r="N11" i="19" s="1"/>
  <c r="J13" i="19"/>
  <c r="N13" i="19" s="1"/>
  <c r="J15" i="19"/>
  <c r="N15" i="19" s="1"/>
  <c r="G10" i="19"/>
  <c r="J10" i="19" s="1"/>
  <c r="N10" i="19" s="1"/>
  <c r="G11" i="19"/>
  <c r="G12" i="19"/>
  <c r="J12" i="19" s="1"/>
  <c r="N12" i="19" s="1"/>
  <c r="G13" i="19"/>
  <c r="G14" i="19"/>
  <c r="J14" i="19" s="1"/>
  <c r="N14" i="19" s="1"/>
  <c r="G15" i="19"/>
  <c r="G16" i="19"/>
  <c r="J16" i="19" s="1"/>
  <c r="N16" i="19" s="1"/>
  <c r="L12" i="19" l="1"/>
  <c r="L16" i="19"/>
  <c r="L15" i="19"/>
  <c r="L11" i="19"/>
  <c r="G9" i="19"/>
  <c r="J9" i="19" s="1"/>
  <c r="N9" i="19" s="1"/>
  <c r="K9" i="19"/>
  <c r="M9" i="19"/>
  <c r="L9" i="19" l="1"/>
  <c r="N17" i="19"/>
</calcChain>
</file>

<file path=xl/sharedStrings.xml><?xml version="1.0" encoding="utf-8"?>
<sst xmlns="http://schemas.openxmlformats.org/spreadsheetml/2006/main" count="184" uniqueCount="80">
  <si>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</si>
  <si>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</si>
  <si>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</si>
  <si>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</si>
  <si>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</si>
  <si>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</si>
  <si>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</si>
  <si>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</si>
  <si>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</si>
  <si>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</si>
  <si>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</si>
  <si>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</si>
  <si>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</si>
  <si>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</si>
  <si>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</si>
  <si>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</si>
  <si>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</si>
  <si>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</si>
  <si>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16 =15*8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</si>
  <si>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</si>
  <si>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</si>
  <si>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>Расчет НМЦК подготовил: старший специалист по закупкам ______________________ Дедов А.В.
04.08.2021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</si>
  <si>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</si>
  <si>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Кровать медицинская функциональная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</si>
  <si>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</si>
  <si>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Обоснование начальной (максимальной) цены контракта</t>
  </si>
  <si>
    <t>Наименование</t>
  </si>
  <si>
    <t>Средняя величина, руб.</t>
  </si>
  <si>
    <t>Коэффициент вариации %</t>
  </si>
  <si>
    <t>Шт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</si>
  <si>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</si>
  <si>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</si>
  <si>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</si>
  <si>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</si>
  <si>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</si>
  <si>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</si>
  <si>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</si>
  <si>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</si>
  <si>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</si>
  <si>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</si>
  <si>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информации.
Для определения начальной (максимальной) цены Контракта были использованы следующие ценовые предложения: 
</t>
  </si>
  <si>
    <t>Количество в ед. изм.</t>
  </si>
  <si>
    <t>Единица измерения</t>
  </si>
  <si>
    <t>Сумма,
руб.</t>
  </si>
  <si>
    <t>Подготовил:</t>
  </si>
  <si>
    <t>Аптекарь. Объемный взгляд на профессию</t>
  </si>
  <si>
    <t>БИБЛИОТЕКА И ЗАКОН</t>
  </si>
  <si>
    <t>КЛИНИЧЕСКАЯ ГЕРОНТОЛОГИЯ</t>
  </si>
  <si>
    <t>Медицинский вестник</t>
  </si>
  <si>
    <t>ПАРОДОНТОЛОГИЯ</t>
  </si>
  <si>
    <t>РАЦИОНАЛЬНАЯ ФАРМАКОТЕРАПИЯ В КАРДИОЛОГИИ</t>
  </si>
  <si>
    <t>РЕКТОР ВУЗА</t>
  </si>
  <si>
    <t>РОССИЙСКАЯ ОТОРИНОЛАРИНГОЛОГИЯ</t>
  </si>
  <si>
    <t>РОССИЙСКИЙ ЖУРНАЛ ГАСТРОЭНТЕРОЛОГИИ, ГЕПАТОЛОГИИ, КОЛОПРОКТОЛОГИИ</t>
  </si>
  <si>
    <t>Системный анализ и управление в биомедицинских системах</t>
  </si>
  <si>
    <t>Фармацевтический вестник</t>
  </si>
  <si>
    <t>Здоровье населения и среда обитания</t>
  </si>
  <si>
    <t>РОССИЙСКИЙ МЕДИЦИНСКИЙ ЖУРНАЛ</t>
  </si>
  <si>
    <t xml:space="preserve">ИТОГО: </t>
  </si>
  <si>
    <t>На основании приведенных данных устанавливается следующая начальная (максимальная) цена контракта: 
169 874,15 (Сто шестьдесят девять тысяч восемьсот семьдесят четыре) рубля 15 копеек.</t>
  </si>
  <si>
    <t>«Оказание услуг по поставке периодических печатных изданий в первом полугодии 2025 года»</t>
  </si>
  <si>
    <t>"23" октября 2024 г.</t>
  </si>
  <si>
    <t>Ст. специалист по закупкам ________________ Лебедев Д.С.</t>
  </si>
  <si>
    <t>CONSILIUM MEDICUM / ВРАЧЕБНЫЙ КОНСИЛИУМ.</t>
  </si>
  <si>
    <t>КЛИНИЧЕСКАЯ И ЭКСПЕРИМЕНТАЛЬНАЯ МОРФОЛОГИЯ</t>
  </si>
  <si>
    <t>МОРФОЛОГИЯ</t>
  </si>
  <si>
    <t>ОПЕРАТИВНАЯ ХИРУРГИЯ И КЛИНИЧЕСКАЯ АНАТОМИЯ (Пироговский научный журнал)</t>
  </si>
  <si>
    <t>ТЕРАПЕВТИЧЕСКИЙ АРХИВ</t>
  </si>
  <si>
    <t>Ценовое предложение 2 от 15.10.2024№13, руб.</t>
  </si>
  <si>
    <t>Ценовое предложение 3 от 14.10.2024№ 11, руб.</t>
  </si>
  <si>
    <t>Ценовое предложение 1 от 09.10.2024 б.н., руб.</t>
  </si>
  <si>
    <t>ведущий специалист по закупкам Лебедев Д.С.</t>
  </si>
  <si>
    <t>Услуга по ремонту малого грузового лифта по адресу г. Воронеж, пер. Здоровья ,16 (демонтаж электродвигателя главного привода ,ремонт электродвигателя главного привода (разборка, ревизия
,перемотка ,сборка), наладка лифта)</t>
  </si>
  <si>
    <t>Ценовое предложение 1 от 12.06.2026 №23,      руб.</t>
  </si>
  <si>
    <t>Ценовое предложение 3 от 10.06.2026 №27, руб.</t>
  </si>
  <si>
    <t>Ценовое предложение 2 от 30.06.2026 б/н, руб.</t>
  </si>
  <si>
    <t>«Оказание услуг по ремонту грузового лифта»</t>
  </si>
  <si>
    <t>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товаров/работ/услуг.</t>
  </si>
  <si>
    <t>На основании приведенных данных устанавливается следующая начальная (максимальная) цена контракта: 
61 000.00 руб.(шестьдесят одна тысяча рублей).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</si>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</sst>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6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Nimbus Roman"/>
    </font>
    <font>
      <sz val="12"/>
      <name val="Arial"/>
      <family val="2"/>
      <charset val="204"/>
    </font>
    <font>
      <sz val="8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15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4" fontId="23" fillId="0" borderId="19" xfId="0" applyNumberFormat="1" applyFont="1" applyBorder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23" fillId="15" borderId="14" xfId="0" applyFont="1" applyFill="1" applyBorder="1" applyAlignment="1">
      <alignment horizontal="center" vertical="center"/>
    </xf>
    <xf numFmtId="0" fontId="0" fillId="15" borderId="0" xfId="0" applyFill="1" applyAlignment="1">
      <alignment vertical="top"/>
    </xf>
    <xf numFmtId="0" fontId="23" fillId="15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0" fontId="22" fillId="0" borderId="1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22" fillId="0" borderId="23" xfId="0" applyFont="1" applyFill="1" applyBorder="1" applyAlignment="1">
      <alignment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right" vertical="top"/>
    </xf>
    <xf numFmtId="0" fontId="22" fillId="0" borderId="0" xfId="56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4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applyFont="1" applyAlignment="1">
      <alignment vertical="center" wrapText="1"/>
    </xf>
    <xf numFmtId="0" fontId="22" fillId="0" borderId="0" xfId="0" applyFont="1" applyBorder="1"/>
    <xf numFmtId="2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27" xfId="0" applyNumberFormat="1" applyFont="1" applyBorder="1" applyAlignment="1">
      <alignment vertical="center"/>
    </xf>
    <xf numFmtId="0" fontId="22" fillId="0" borderId="10" xfId="0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center" vertical="top" wrapText="1"/>
    </xf>
    <xf numFmtId="2" fontId="22" fillId="0" borderId="10" xfId="0" applyNumberFormat="1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 wrapText="1"/>
    </xf>
    <xf numFmtId="4" fontId="22" fillId="0" borderId="10" xfId="0" applyNumberFormat="1" applyFont="1" applyFill="1" applyBorder="1" applyAlignment="1">
      <alignment horizontal="right" vertical="top" wrapText="1"/>
    </xf>
    <xf numFmtId="4" fontId="23" fillId="0" borderId="10" xfId="0" applyNumberFormat="1" applyFont="1" applyBorder="1" applyAlignment="1">
      <alignment vertical="center"/>
    </xf>
    <xf numFmtId="4" fontId="42" fillId="0" borderId="10" xfId="0" applyNumberFormat="1" applyFont="1" applyFill="1" applyBorder="1" applyAlignment="1">
      <alignment horizontal="right" vertical="top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vertical="center" wrapText="1"/>
    </xf>
    <xf numFmtId="0" fontId="22" fillId="0" borderId="0" xfId="0" applyFont="1" applyAlignment="1">
      <alignment wrapText="1"/>
    </xf>
    <xf numFmtId="0" fontId="43" fillId="0" borderId="10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2" fontId="22" fillId="0" borderId="10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4" fontId="44" fillId="0" borderId="10" xfId="0" applyNumberFormat="1" applyFont="1" applyBorder="1" applyAlignment="1">
      <alignment vertical="top"/>
    </xf>
    <xf numFmtId="2" fontId="44" fillId="0" borderId="10" xfId="0" applyNumberFormat="1" applyFont="1" applyBorder="1" applyAlignment="1">
      <alignment vertical="top"/>
    </xf>
    <xf numFmtId="4" fontId="0" fillId="0" borderId="11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4" fontId="45" fillId="0" borderId="10" xfId="0" applyNumberFormat="1" applyFont="1" applyBorder="1" applyAlignment="1">
      <alignment horizontal="right" vertical="top"/>
    </xf>
    <xf numFmtId="4" fontId="22" fillId="0" borderId="29" xfId="0" applyNumberFormat="1" applyFont="1" applyFill="1" applyBorder="1" applyAlignment="1">
      <alignment horizontal="right" vertical="center" wrapText="1"/>
    </xf>
    <xf numFmtId="4" fontId="23" fillId="0" borderId="27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vertical="center" wrapText="1"/>
    </xf>
    <xf numFmtId="0" fontId="40" fillId="16" borderId="0" xfId="0" applyFont="1" applyFill="1" applyAlignment="1">
      <alignment horizontal="center" vertical="center"/>
    </xf>
    <xf numFmtId="0" fontId="22" fillId="0" borderId="0" xfId="0" applyFont="1" applyAlignment="1">
      <alignment wrapText="1"/>
    </xf>
    <xf numFmtId="0" fontId="23" fillId="16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7" fillId="0" borderId="0" xfId="0" applyFont="1" applyAlignment="1">
      <alignment horizontal="center" vertical="top" wrapText="1"/>
    </xf>
    <xf numFmtId="0" fontId="23" fillId="15" borderId="12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23" fillId="15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top" wrapText="1"/>
    </xf>
    <xf numFmtId="0" fontId="23" fillId="0" borderId="13" xfId="0" applyNumberFormat="1" applyFont="1" applyFill="1" applyBorder="1" applyAlignment="1">
      <alignment horizontal="center" vertical="top" wrapText="1"/>
    </xf>
    <xf numFmtId="0" fontId="23" fillId="0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top" wrapText="1"/>
    </xf>
    <xf numFmtId="0" fontId="23" fillId="15" borderId="10" xfId="0" applyNumberFormat="1" applyFont="1" applyFill="1" applyBorder="1" applyAlignment="1">
      <alignment horizontal="center" vertical="top" wrapText="1"/>
    </xf>
    <xf numFmtId="0" fontId="23" fillId="15" borderId="13" xfId="0" applyNumberFormat="1" applyFont="1" applyFill="1" applyBorder="1" applyAlignment="1">
      <alignment horizontal="center" vertical="center" wrapText="1"/>
    </xf>
    <xf numFmtId="0" fontId="23" fillId="1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0" fontId="35" fillId="15" borderId="10" xfId="0" applyFont="1" applyFill="1" applyBorder="1" applyAlignment="1">
      <alignment horizontal="center" vertical="top"/>
    </xf>
    <xf numFmtId="0" fontId="35" fillId="15" borderId="16" xfId="0" applyFont="1" applyFill="1" applyBorder="1" applyAlignment="1">
      <alignment horizontal="center" vertical="center" wrapText="1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296150"/>
          <a:ext cx="15525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27</xdr:row>
      <xdr:rowOff>19707</xdr:rowOff>
    </xdr:from>
    <xdr:to>
      <xdr:col>1</xdr:col>
      <xdr:colOff>819478</xdr:colOff>
      <xdr:row>27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4596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30</xdr:row>
      <xdr:rowOff>9525</xdr:rowOff>
    </xdr:from>
    <xdr:to>
      <xdr:col>2</xdr:col>
      <xdr:colOff>0</xdr:colOff>
      <xdr:row>30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4019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30</xdr:row>
      <xdr:rowOff>538656</xdr:rowOff>
    </xdr:from>
    <xdr:to>
      <xdr:col>1</xdr:col>
      <xdr:colOff>10183</xdr:colOff>
      <xdr:row>32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9310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32</xdr:row>
      <xdr:rowOff>32845</xdr:rowOff>
    </xdr:from>
    <xdr:to>
      <xdr:col>0</xdr:col>
      <xdr:colOff>292648</xdr:colOff>
      <xdr:row>33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2348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33</xdr:row>
      <xdr:rowOff>32845</xdr:rowOff>
    </xdr:from>
    <xdr:to>
      <xdr:col>1</xdr:col>
      <xdr:colOff>3614</xdr:colOff>
      <xdr:row>34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4348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29</xdr:row>
      <xdr:rowOff>13138</xdr:rowOff>
    </xdr:from>
    <xdr:to>
      <xdr:col>0</xdr:col>
      <xdr:colOff>292647</xdr:colOff>
      <xdr:row>29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2055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10</xdr:row>
      <xdr:rowOff>19707</xdr:rowOff>
    </xdr:from>
    <xdr:to>
      <xdr:col>1</xdr:col>
      <xdr:colOff>819478</xdr:colOff>
      <xdr:row>10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14307207"/>
          <a:ext cx="1009650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13</xdr:row>
      <xdr:rowOff>9525</xdr:rowOff>
    </xdr:from>
    <xdr:to>
      <xdr:col>2</xdr:col>
      <xdr:colOff>0</xdr:colOff>
      <xdr:row>13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9525"/>
          <a:ext cx="1924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13</xdr:row>
      <xdr:rowOff>538656</xdr:rowOff>
    </xdr:from>
    <xdr:to>
      <xdr:col>1</xdr:col>
      <xdr:colOff>10183</xdr:colOff>
      <xdr:row>15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15778656"/>
          <a:ext cx="180647" cy="2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15</xdr:row>
      <xdr:rowOff>32845</xdr:rowOff>
    </xdr:from>
    <xdr:to>
      <xdr:col>0</xdr:col>
      <xdr:colOff>292648</xdr:colOff>
      <xdr:row>16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16082470"/>
          <a:ext cx="180975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16</xdr:row>
      <xdr:rowOff>32845</xdr:rowOff>
    </xdr:from>
    <xdr:to>
      <xdr:col>1</xdr:col>
      <xdr:colOff>3614</xdr:colOff>
      <xdr:row>17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16282495"/>
          <a:ext cx="180647" cy="18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12</xdr:row>
      <xdr:rowOff>13138</xdr:rowOff>
    </xdr:from>
    <xdr:to>
      <xdr:col>0</xdr:col>
      <xdr:colOff>292647</xdr:colOff>
      <xdr:row>12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15053113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5" zoomScaleNormal="100" zoomScaleSheetLayoutView="100" workbookViewId="0">
      <selection activeCell="E21" sqref="E21"/>
    </sheetView>
  </sheetViews>
  <sheetFormatPr defaultRowHeight="12.75"/>
  <cols>
    <col min="1" max="1" width="4.42578125" customWidth="1"/>
    <col min="2" max="2" width="24.7109375" customWidth="1"/>
    <col min="3" max="5" width="11.140625" customWidth="1"/>
    <col min="6" max="6" width="10.140625" bestFit="1" customWidth="1"/>
    <col min="9" max="9" width="8" customWidth="1"/>
    <col min="10" max="10" width="9.5703125" customWidth="1"/>
    <col min="11" max="11" width="11.5703125" customWidth="1"/>
    <col min="13" max="13" width="10.7109375" bestFit="1" customWidth="1"/>
  </cols>
  <sheetData>
    <row r="1" spans="1:16" s="8" customFormat="1" ht="15.75">
      <c r="D1" s="43" t="s">
        <v>25</v>
      </c>
    </row>
    <row r="2" spans="1:16" s="8" customFormat="1" ht="15.75">
      <c r="B2" s="85" t="s">
        <v>60</v>
      </c>
      <c r="C2" s="85"/>
      <c r="D2" s="85"/>
      <c r="E2" s="85"/>
      <c r="F2" s="85"/>
      <c r="G2" s="85"/>
      <c r="H2" s="85"/>
      <c r="I2" s="85"/>
      <c r="J2" s="85"/>
      <c r="K2" s="85"/>
    </row>
    <row r="3" spans="1:16" s="42" customFormat="1" ht="126.75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6" s="8" customFormat="1" ht="15.75"/>
    <row r="5" spans="1:16" s="8" customFormat="1" ht="94.5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>
      <c r="A6" s="59">
        <v>1</v>
      </c>
      <c r="B6" s="55" t="s">
        <v>63</v>
      </c>
      <c r="C6" s="65">
        <v>1366.69</v>
      </c>
      <c r="D6" s="65">
        <f>8346.54/6</f>
        <v>1391.0900000000001</v>
      </c>
      <c r="E6" s="65">
        <v>1427.7</v>
      </c>
      <c r="F6" s="65">
        <f t="shared" ref="F6:F23" si="0">ROUND((C6+D6+E6)/3,2)</f>
        <v>1395.16</v>
      </c>
      <c r="G6" s="60">
        <f>STDEV(C6:E6)</f>
        <v>30.707958251892936</v>
      </c>
      <c r="H6" s="61">
        <f t="shared" ref="H6:H23" si="1">(G6/F6)*100</f>
        <v>2.201034881439615</v>
      </c>
      <c r="I6" s="62" t="s">
        <v>29</v>
      </c>
      <c r="J6" s="63">
        <v>6</v>
      </c>
      <c r="K6" s="64">
        <f t="shared" ref="K6" si="2">F6*J6</f>
        <v>8370.9600000000009</v>
      </c>
      <c r="M6" s="49"/>
      <c r="N6" s="50"/>
      <c r="O6" s="50"/>
      <c r="P6" s="48"/>
    </row>
    <row r="7" spans="1:16" s="8" customFormat="1" ht="31.5">
      <c r="A7" s="59">
        <f>A6+1</f>
        <v>2</v>
      </c>
      <c r="B7" s="55" t="s">
        <v>45</v>
      </c>
      <c r="C7" s="65">
        <v>898.95</v>
      </c>
      <c r="D7" s="65">
        <f>2745/3</f>
        <v>915</v>
      </c>
      <c r="E7" s="65">
        <v>939.08</v>
      </c>
      <c r="F7" s="65">
        <f t="shared" si="0"/>
        <v>917.68</v>
      </c>
      <c r="G7" s="60">
        <f t="shared" ref="G7:G23" si="3">STDEV(C7:E7)</f>
        <v>20.19845621163492</v>
      </c>
      <c r="H7" s="61">
        <f t="shared" si="1"/>
        <v>2.2010348064287029</v>
      </c>
      <c r="I7" s="62" t="s">
        <v>29</v>
      </c>
      <c r="J7" s="63">
        <v>3</v>
      </c>
      <c r="K7" s="64">
        <f>F7*J7</f>
        <v>2753.04</v>
      </c>
      <c r="M7" s="49"/>
      <c r="N7" s="50"/>
      <c r="O7" s="50"/>
      <c r="P7" s="48"/>
    </row>
    <row r="8" spans="1:16" s="8" customFormat="1" ht="31.5">
      <c r="A8" s="59">
        <f t="shared" ref="A8:A20" si="4">A7+1</f>
        <v>3</v>
      </c>
      <c r="B8" s="55" t="s">
        <v>46</v>
      </c>
      <c r="C8" s="65">
        <v>9324.57</v>
      </c>
      <c r="D8" s="65">
        <v>9491.08</v>
      </c>
      <c r="E8" s="65">
        <v>9740.85</v>
      </c>
      <c r="F8" s="65">
        <f t="shared" si="0"/>
        <v>9518.83</v>
      </c>
      <c r="G8" s="60">
        <f t="shared" si="3"/>
        <v>209.52313770400986</v>
      </c>
      <c r="H8" s="61">
        <f t="shared" si="1"/>
        <v>2.2011438139352193</v>
      </c>
      <c r="I8" s="62" t="s">
        <v>29</v>
      </c>
      <c r="J8" s="63">
        <v>1</v>
      </c>
      <c r="K8" s="64">
        <f t="shared" ref="K8:K23" si="5">F8*J8</f>
        <v>9518.83</v>
      </c>
      <c r="M8" s="49"/>
      <c r="N8" s="50"/>
      <c r="O8" s="50"/>
      <c r="P8" s="48"/>
    </row>
    <row r="9" spans="1:16" s="8" customFormat="1" ht="31.5">
      <c r="A9" s="59">
        <f t="shared" si="4"/>
        <v>4</v>
      </c>
      <c r="B9" s="55" t="s">
        <v>47</v>
      </c>
      <c r="C9" s="65">
        <v>8066.95</v>
      </c>
      <c r="D9" s="65">
        <f>24633/3</f>
        <v>8211</v>
      </c>
      <c r="E9" s="65">
        <v>8427.08</v>
      </c>
      <c r="F9" s="65">
        <f t="shared" si="0"/>
        <v>8235.01</v>
      </c>
      <c r="G9" s="60">
        <f t="shared" si="3"/>
        <v>181.2615908018023</v>
      </c>
      <c r="H9" s="61">
        <f t="shared" si="1"/>
        <v>2.2011095408724737</v>
      </c>
      <c r="I9" s="62" t="s">
        <v>29</v>
      </c>
      <c r="J9" s="63">
        <v>3</v>
      </c>
      <c r="K9" s="64">
        <f t="shared" si="5"/>
        <v>24705.03</v>
      </c>
      <c r="M9" s="49"/>
      <c r="N9" s="50"/>
      <c r="O9" s="50"/>
      <c r="P9" s="48"/>
    </row>
    <row r="10" spans="1:16" s="8" customFormat="1" ht="47.25">
      <c r="A10" s="59">
        <f t="shared" si="4"/>
        <v>5</v>
      </c>
      <c r="B10" s="55" t="s">
        <v>64</v>
      </c>
      <c r="C10" s="65">
        <v>1743.29</v>
      </c>
      <c r="D10" s="65">
        <f>3548.84/3</f>
        <v>1182.9466666666667</v>
      </c>
      <c r="E10" s="65">
        <v>1821.11</v>
      </c>
      <c r="F10" s="65">
        <f t="shared" si="0"/>
        <v>1582.45</v>
      </c>
      <c r="G10" s="60">
        <f t="shared" si="3"/>
        <v>348.16017473336916</v>
      </c>
      <c r="H10" s="61">
        <f t="shared" si="1"/>
        <v>22.001338098099097</v>
      </c>
      <c r="I10" s="62" t="s">
        <v>29</v>
      </c>
      <c r="J10" s="63">
        <v>3</v>
      </c>
      <c r="K10" s="64">
        <f t="shared" si="5"/>
        <v>4747.3500000000004</v>
      </c>
      <c r="M10" s="49"/>
      <c r="N10" s="50"/>
      <c r="O10" s="50"/>
      <c r="P10" s="48"/>
    </row>
    <row r="11" spans="1:16" s="8" customFormat="1" ht="26.25" customHeight="1">
      <c r="A11" s="59">
        <f t="shared" si="4"/>
        <v>6</v>
      </c>
      <c r="B11" s="55" t="s">
        <v>48</v>
      </c>
      <c r="C11" s="65">
        <v>230</v>
      </c>
      <c r="D11" s="65">
        <f>6087.12/26</f>
        <v>234.12</v>
      </c>
      <c r="E11" s="65">
        <v>240.27</v>
      </c>
      <c r="F11" s="65">
        <f t="shared" si="0"/>
        <v>234.8</v>
      </c>
      <c r="G11" s="60">
        <f t="shared" si="3"/>
        <v>5.1683298398354367</v>
      </c>
      <c r="H11" s="61">
        <f t="shared" si="1"/>
        <v>2.2011626234392829</v>
      </c>
      <c r="I11" s="62" t="s">
        <v>29</v>
      </c>
      <c r="J11" s="63">
        <v>26</v>
      </c>
      <c r="K11" s="64">
        <f t="shared" si="5"/>
        <v>6104.8</v>
      </c>
      <c r="M11" s="49"/>
      <c r="N11" s="50"/>
      <c r="O11" s="50"/>
      <c r="P11" s="48"/>
    </row>
    <row r="12" spans="1:16" s="8" customFormat="1" ht="26.25" customHeight="1">
      <c r="A12" s="59">
        <f t="shared" si="4"/>
        <v>7</v>
      </c>
      <c r="B12" s="55" t="s">
        <v>65</v>
      </c>
      <c r="C12" s="65">
        <v>7615.25</v>
      </c>
      <c r="D12" s="65">
        <f>15502.46/2</f>
        <v>7751.23</v>
      </c>
      <c r="E12" s="65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5"/>
        <v>15547.8</v>
      </c>
      <c r="M12" s="49"/>
      <c r="N12" s="50"/>
      <c r="O12" s="50"/>
      <c r="P12" s="48"/>
    </row>
    <row r="13" spans="1:16" s="8" customFormat="1" ht="94.5">
      <c r="A13" s="59">
        <f t="shared" si="4"/>
        <v>8</v>
      </c>
      <c r="B13" s="55" t="s">
        <v>66</v>
      </c>
      <c r="C13" s="65">
        <v>958.03</v>
      </c>
      <c r="D13" s="65">
        <f>1950.26/2</f>
        <v>975.13</v>
      </c>
      <c r="E13" s="65">
        <v>1000.8</v>
      </c>
      <c r="F13" s="65">
        <f t="shared" si="0"/>
        <v>977.99</v>
      </c>
      <c r="G13" s="60">
        <f t="shared" si="3"/>
        <v>21.527624888345972</v>
      </c>
      <c r="H13" s="61">
        <f t="shared" si="1"/>
        <v>2.2012111461616142</v>
      </c>
      <c r="I13" s="62" t="s">
        <v>29</v>
      </c>
      <c r="J13" s="63">
        <v>2</v>
      </c>
      <c r="K13" s="64">
        <f t="shared" si="5"/>
        <v>1955.98</v>
      </c>
      <c r="M13" s="49"/>
      <c r="N13" s="50"/>
      <c r="O13" s="50"/>
      <c r="P13" s="48"/>
    </row>
    <row r="14" spans="1:16" s="8" customFormat="1" ht="24" customHeight="1">
      <c r="A14" s="59">
        <f t="shared" si="4"/>
        <v>9</v>
      </c>
      <c r="B14" s="55" t="s">
        <v>49</v>
      </c>
      <c r="C14" s="65">
        <v>1514.95</v>
      </c>
      <c r="D14" s="65">
        <f>3084/2</f>
        <v>1542</v>
      </c>
      <c r="E14" s="65">
        <v>1582.58</v>
      </c>
      <c r="F14" s="65">
        <f t="shared" si="0"/>
        <v>1546.51</v>
      </c>
      <c r="G14" s="60">
        <f t="shared" si="3"/>
        <v>34.039819329720245</v>
      </c>
      <c r="H14" s="61">
        <f t="shared" si="1"/>
        <v>2.2010733412470818</v>
      </c>
      <c r="I14" s="62" t="s">
        <v>29</v>
      </c>
      <c r="J14" s="63">
        <v>2</v>
      </c>
      <c r="K14" s="64">
        <f t="shared" si="5"/>
        <v>3093.02</v>
      </c>
      <c r="M14" s="49"/>
      <c r="N14" s="50"/>
      <c r="O14" s="50"/>
      <c r="P14" s="48"/>
    </row>
    <row r="15" spans="1:16" s="8" customFormat="1" ht="47.25">
      <c r="A15" s="59">
        <f t="shared" si="4"/>
        <v>10</v>
      </c>
      <c r="B15" s="55" t="s">
        <v>50</v>
      </c>
      <c r="C15" s="65">
        <v>797.15</v>
      </c>
      <c r="D15" s="65">
        <f>2434.14/3</f>
        <v>811.38</v>
      </c>
      <c r="E15" s="65">
        <v>832.74</v>
      </c>
      <c r="F15" s="65">
        <f t="shared" si="0"/>
        <v>813.76</v>
      </c>
      <c r="G15" s="60">
        <f t="shared" si="3"/>
        <v>17.91363819365943</v>
      </c>
      <c r="H15" s="61">
        <f t="shared" si="1"/>
        <v>2.201341697018707</v>
      </c>
      <c r="I15" s="62" t="s">
        <v>29</v>
      </c>
      <c r="J15" s="63">
        <v>3</v>
      </c>
      <c r="K15" s="64">
        <f t="shared" si="5"/>
        <v>2441.2799999999997</v>
      </c>
      <c r="M15" s="49"/>
      <c r="N15" s="50"/>
      <c r="O15" s="50"/>
      <c r="P15" s="48"/>
    </row>
    <row r="16" spans="1:16" s="8" customFormat="1" ht="24.75" customHeight="1">
      <c r="A16" s="59">
        <f t="shared" si="4"/>
        <v>11</v>
      </c>
      <c r="B16" s="55" t="s">
        <v>51</v>
      </c>
      <c r="C16" s="65">
        <v>11623.39</v>
      </c>
      <c r="D16" s="65">
        <f>70985.7/6</f>
        <v>11830.949999999999</v>
      </c>
      <c r="E16" s="65">
        <v>12142.3</v>
      </c>
      <c r="F16" s="65">
        <f t="shared" si="0"/>
        <v>11865.55</v>
      </c>
      <c r="G16" s="60">
        <f t="shared" si="3"/>
        <v>261.17923737030344</v>
      </c>
      <c r="H16" s="61">
        <f t="shared" si="1"/>
        <v>2.2011557607553249</v>
      </c>
      <c r="I16" s="62" t="s">
        <v>29</v>
      </c>
      <c r="J16" s="63">
        <v>6</v>
      </c>
      <c r="K16" s="64">
        <f t="shared" si="5"/>
        <v>71193.299999999988</v>
      </c>
      <c r="M16" s="49"/>
      <c r="N16" s="50"/>
      <c r="O16" s="50"/>
      <c r="P16" s="48"/>
    </row>
    <row r="17" spans="1:16" s="8" customFormat="1" ht="47.25">
      <c r="A17" s="59">
        <f t="shared" si="4"/>
        <v>12</v>
      </c>
      <c r="B17" s="55" t="s">
        <v>52</v>
      </c>
      <c r="C17" s="65">
        <v>1727.28</v>
      </c>
      <c r="D17" s="65">
        <f>5274.36/3</f>
        <v>1758.12</v>
      </c>
      <c r="E17" s="65">
        <v>1804.39</v>
      </c>
      <c r="F17" s="65">
        <f t="shared" si="0"/>
        <v>1763.26</v>
      </c>
      <c r="G17" s="60">
        <f t="shared" si="3"/>
        <v>38.811447194524185</v>
      </c>
      <c r="H17" s="61">
        <f t="shared" si="1"/>
        <v>2.2011187910191454</v>
      </c>
      <c r="I17" s="62" t="s">
        <v>29</v>
      </c>
      <c r="J17" s="63">
        <v>3</v>
      </c>
      <c r="K17" s="64">
        <f t="shared" si="5"/>
        <v>5289.78</v>
      </c>
      <c r="M17" s="49"/>
      <c r="N17" s="50"/>
      <c r="O17" s="50"/>
      <c r="P17" s="48"/>
    </row>
    <row r="18" spans="1:16" s="8" customFormat="1" ht="94.5">
      <c r="A18" s="59">
        <f t="shared" si="4"/>
        <v>13</v>
      </c>
      <c r="B18" s="55" t="s">
        <v>53</v>
      </c>
      <c r="C18" s="65">
        <v>691.25</v>
      </c>
      <c r="D18" s="65">
        <f>2110.77/3</f>
        <v>703.59</v>
      </c>
      <c r="E18" s="65">
        <v>722.11</v>
      </c>
      <c r="F18" s="65">
        <f t="shared" si="0"/>
        <v>705.65</v>
      </c>
      <c r="G18" s="60">
        <f t="shared" si="3"/>
        <v>15.532791120722642</v>
      </c>
      <c r="H18" s="61">
        <f t="shared" si="1"/>
        <v>2.20120330485689</v>
      </c>
      <c r="I18" s="62" t="s">
        <v>29</v>
      </c>
      <c r="J18" s="63">
        <v>3</v>
      </c>
      <c r="K18" s="64">
        <f t="shared" si="5"/>
        <v>2116.9499999999998</v>
      </c>
      <c r="M18" s="49"/>
      <c r="N18" s="50"/>
      <c r="O18" s="50"/>
      <c r="P18" s="48"/>
    </row>
    <row r="19" spans="1:16" s="8" customFormat="1" ht="63">
      <c r="A19" s="59">
        <f t="shared" si="4"/>
        <v>14</v>
      </c>
      <c r="B19" s="55" t="s">
        <v>54</v>
      </c>
      <c r="C19" s="65">
        <v>3254.66</v>
      </c>
      <c r="D19" s="65">
        <f>6625.36/2</f>
        <v>3312.68</v>
      </c>
      <c r="E19" s="65">
        <v>3399.85</v>
      </c>
      <c r="F19" s="65">
        <f t="shared" si="0"/>
        <v>3322.4</v>
      </c>
      <c r="G19" s="60">
        <f t="shared" si="3"/>
        <v>73.081079858834443</v>
      </c>
      <c r="H19" s="61">
        <f t="shared" si="1"/>
        <v>2.1996472387079953</v>
      </c>
      <c r="I19" s="62" t="s">
        <v>29</v>
      </c>
      <c r="J19" s="63">
        <v>2</v>
      </c>
      <c r="K19" s="64">
        <f t="shared" si="5"/>
        <v>6644.8</v>
      </c>
      <c r="M19" s="49"/>
      <c r="N19" s="50"/>
      <c r="O19" s="50"/>
      <c r="P19" s="48"/>
    </row>
    <row r="20" spans="1:16" s="8" customFormat="1" ht="31.5">
      <c r="A20" s="59">
        <f t="shared" si="4"/>
        <v>15</v>
      </c>
      <c r="B20" s="55" t="s">
        <v>67</v>
      </c>
      <c r="C20" s="65">
        <v>2425.2399999999998</v>
      </c>
      <c r="D20" s="65">
        <f>14811.24/6</f>
        <v>2468.54</v>
      </c>
      <c r="E20" s="65">
        <v>2533.5100000000002</v>
      </c>
      <c r="F20" s="65">
        <f t="shared" si="0"/>
        <v>2475.7600000000002</v>
      </c>
      <c r="G20" s="60">
        <f t="shared" si="3"/>
        <v>54.495234959887611</v>
      </c>
      <c r="H20" s="61">
        <f t="shared" si="1"/>
        <v>2.2011517659178437</v>
      </c>
      <c r="I20" s="62" t="s">
        <v>29</v>
      </c>
      <c r="J20" s="63">
        <v>6</v>
      </c>
      <c r="K20" s="64">
        <f t="shared" si="5"/>
        <v>14854.560000000001</v>
      </c>
      <c r="M20" s="49"/>
      <c r="N20" s="50"/>
      <c r="O20" s="50"/>
      <c r="P20" s="48"/>
    </row>
    <row r="21" spans="1:16" s="8" customFormat="1" ht="31.5">
      <c r="A21" s="59">
        <v>16</v>
      </c>
      <c r="B21" s="55" t="s">
        <v>55</v>
      </c>
      <c r="C21" s="65">
        <v>798.27</v>
      </c>
      <c r="D21" s="65">
        <f>12187.95/15</f>
        <v>812.53000000000009</v>
      </c>
      <c r="E21" s="65">
        <v>833.91</v>
      </c>
      <c r="F21" s="65">
        <f t="shared" si="0"/>
        <v>814.9</v>
      </c>
      <c r="G21" s="60">
        <f t="shared" si="3"/>
        <v>17.938141858434857</v>
      </c>
      <c r="H21" s="61">
        <f t="shared" si="1"/>
        <v>2.2012690954024858</v>
      </c>
      <c r="I21" s="62" t="s">
        <v>29</v>
      </c>
      <c r="J21" s="63">
        <v>15</v>
      </c>
      <c r="K21" s="64">
        <f t="shared" si="5"/>
        <v>12223.5</v>
      </c>
      <c r="M21" s="49"/>
      <c r="N21" s="50"/>
      <c r="O21" s="50"/>
      <c r="P21" s="48"/>
    </row>
    <row r="22" spans="1:16" s="8" customFormat="1" ht="31.5">
      <c r="A22" s="59">
        <v>17</v>
      </c>
      <c r="B22" s="55" t="s">
        <v>56</v>
      </c>
      <c r="C22" s="65">
        <v>2258.69</v>
      </c>
      <c r="D22" s="65">
        <f>13794.12/6</f>
        <v>2299.02</v>
      </c>
      <c r="E22" s="65">
        <v>2359.52</v>
      </c>
      <c r="F22" s="65">
        <f t="shared" si="0"/>
        <v>2305.7399999999998</v>
      </c>
      <c r="G22" s="60">
        <f t="shared" si="3"/>
        <v>50.750119540089067</v>
      </c>
      <c r="H22" s="61">
        <f t="shared" si="1"/>
        <v>2.201033921434727</v>
      </c>
      <c r="I22" s="62" t="s">
        <v>29</v>
      </c>
      <c r="J22" s="63">
        <v>6</v>
      </c>
      <c r="K22" s="64">
        <f t="shared" si="5"/>
        <v>13834.439999999999</v>
      </c>
      <c r="M22" s="49"/>
      <c r="N22" s="50"/>
      <c r="O22" s="50"/>
      <c r="P22" s="48"/>
    </row>
    <row r="23" spans="1:16" s="8" customFormat="1" ht="47.25">
      <c r="A23" s="59">
        <v>18</v>
      </c>
      <c r="B23" s="55" t="s">
        <v>57</v>
      </c>
      <c r="C23" s="65">
        <v>7514.6</v>
      </c>
      <c r="D23" s="65">
        <f>22946.37/3</f>
        <v>7648.79</v>
      </c>
      <c r="E23" s="65">
        <v>7850.07</v>
      </c>
      <c r="F23" s="65">
        <f t="shared" si="0"/>
        <v>7671.15</v>
      </c>
      <c r="G23" s="60">
        <f t="shared" si="3"/>
        <v>168.84939808401219</v>
      </c>
      <c r="H23" s="61">
        <f t="shared" si="1"/>
        <v>2.2010962904390108</v>
      </c>
      <c r="I23" s="62" t="s">
        <v>29</v>
      </c>
      <c r="J23" s="63">
        <v>3</v>
      </c>
      <c r="K23" s="64">
        <f t="shared" si="5"/>
        <v>23013.449999999997</v>
      </c>
      <c r="M23" s="49"/>
      <c r="N23" s="50"/>
      <c r="O23" s="50"/>
      <c r="P23" s="48"/>
    </row>
    <row r="24" spans="1:16" s="8" customFormat="1" ht="18.75" customHeight="1">
      <c r="A24" s="91" t="s">
        <v>58</v>
      </c>
      <c r="B24" s="92"/>
      <c r="C24" s="92"/>
      <c r="D24" s="92"/>
      <c r="E24" s="92"/>
      <c r="F24" s="92"/>
      <c r="G24" s="92"/>
      <c r="H24" s="92"/>
      <c r="I24" s="92"/>
      <c r="J24" s="93"/>
      <c r="K24" s="58">
        <f>SUM(K6:K23)</f>
        <v>228408.87</v>
      </c>
      <c r="M24" s="48"/>
      <c r="N24" s="48"/>
      <c r="O24" s="48"/>
      <c r="P24" s="48"/>
    </row>
    <row r="25" spans="1:16" s="8" customFormat="1" ht="15.75">
      <c r="M25" s="48"/>
      <c r="N25" s="48"/>
      <c r="O25" s="48"/>
      <c r="P25" s="48"/>
    </row>
    <row r="26" spans="1:16" s="8" customFormat="1" ht="34.5" customHeight="1">
      <c r="A26" s="88" t="s">
        <v>31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6" s="8" customFormat="1" ht="15.75">
      <c r="A27" s="44" t="s">
        <v>32</v>
      </c>
    </row>
    <row r="28" spans="1:16" s="8" customFormat="1" ht="43.5" customHeight="1">
      <c r="A28" s="44"/>
    </row>
    <row r="29" spans="1:16" s="8" customFormat="1" ht="15.75">
      <c r="A29" s="44" t="s">
        <v>39</v>
      </c>
    </row>
    <row r="30" spans="1:16" s="8" customFormat="1" ht="15.75">
      <c r="A30" s="44"/>
      <c r="B30" s="44" t="s">
        <v>33</v>
      </c>
    </row>
    <row r="31" spans="1:16" s="8" customFormat="1" ht="48" customHeight="1">
      <c r="A31" s="44"/>
      <c r="C31" s="44" t="s">
        <v>34</v>
      </c>
    </row>
    <row r="32" spans="1:16" s="8" customFormat="1" ht="15.75">
      <c r="A32" s="44"/>
      <c r="B32" s="44" t="s">
        <v>35</v>
      </c>
      <c r="C32" s="44"/>
    </row>
    <row r="33" spans="1:11" s="8" customFormat="1" ht="15.75">
      <c r="A33" s="44"/>
      <c r="B33" s="44" t="s">
        <v>36</v>
      </c>
      <c r="C33" s="44"/>
    </row>
    <row r="34" spans="1:11" s="8" customFormat="1" ht="15.75">
      <c r="A34" s="44"/>
      <c r="B34" s="44" t="s">
        <v>37</v>
      </c>
      <c r="C34" s="44"/>
    </row>
    <row r="35" spans="1:11" s="8" customFormat="1" ht="15.75">
      <c r="A35" s="44"/>
    </row>
    <row r="36" spans="1:11" s="8" customFormat="1" ht="19.5" customHeight="1">
      <c r="A36" s="47"/>
      <c r="B36" s="88" t="s">
        <v>38</v>
      </c>
      <c r="C36" s="88"/>
      <c r="D36" s="88"/>
      <c r="E36" s="88"/>
      <c r="F36" s="88"/>
      <c r="G36" s="88"/>
      <c r="H36" s="88"/>
      <c r="I36" s="88"/>
      <c r="J36" s="88"/>
      <c r="K36" s="88"/>
    </row>
    <row r="37" spans="1:11" s="8" customFormat="1" ht="43.5" customHeight="1">
      <c r="B37" s="87" t="s">
        <v>59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s="8" customFormat="1" ht="15.75">
      <c r="A38" s="45"/>
      <c r="B38" s="86" t="s">
        <v>44</v>
      </c>
      <c r="C38" s="86"/>
      <c r="D38" s="86"/>
      <c r="E38" s="86"/>
      <c r="F38" s="86"/>
      <c r="G38" s="86"/>
      <c r="H38" s="86"/>
      <c r="I38" s="86"/>
      <c r="J38" s="86"/>
      <c r="K38" s="53"/>
    </row>
    <row r="39" spans="1:11" ht="15.75">
      <c r="A39" s="46"/>
      <c r="B39" s="86" t="s">
        <v>62</v>
      </c>
      <c r="C39" s="86"/>
      <c r="D39" s="86"/>
      <c r="E39" s="86"/>
      <c r="F39" s="86"/>
      <c r="G39" s="86"/>
      <c r="H39" s="86"/>
      <c r="I39" s="86"/>
      <c r="J39" s="86"/>
      <c r="K39" s="53"/>
    </row>
    <row r="40" spans="1:11" ht="15.75">
      <c r="A40" s="46"/>
      <c r="B40" s="86"/>
      <c r="C40" s="86"/>
      <c r="D40" s="86"/>
      <c r="E40" s="86"/>
      <c r="F40" s="86"/>
      <c r="G40" s="86"/>
      <c r="H40" s="86"/>
      <c r="I40" s="86"/>
      <c r="J40" s="86"/>
      <c r="K40" s="53"/>
    </row>
    <row r="41" spans="1:11" ht="15.75">
      <c r="A41" s="46"/>
      <c r="B41" s="86" t="s">
        <v>61</v>
      </c>
      <c r="C41" s="86"/>
      <c r="D41" s="51"/>
      <c r="E41" s="51"/>
      <c r="F41" s="51"/>
      <c r="G41" s="51"/>
      <c r="H41" s="51"/>
      <c r="I41" s="51"/>
      <c r="J41" s="51"/>
      <c r="K41" s="53"/>
    </row>
    <row r="42" spans="1:11" ht="1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2:K2"/>
    <mergeCell ref="B38:J38"/>
    <mergeCell ref="B39:J39"/>
    <mergeCell ref="B40:J40"/>
    <mergeCell ref="B41:C41"/>
    <mergeCell ref="B37:K37"/>
    <mergeCell ref="B36:K36"/>
    <mergeCell ref="A3:K3"/>
    <mergeCell ref="A26:K26"/>
    <mergeCell ref="A24:J24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3" zoomScaleNormal="100" zoomScaleSheetLayoutView="100" workbookViewId="0">
      <selection activeCell="E21" sqref="E21"/>
    </sheetView>
  </sheetViews>
  <sheetFormatPr defaultRowHeight="12.75"/>
  <cols>
    <col min="1" max="1" width="4.42578125" customWidth="1"/>
    <col min="2" max="2" width="24.7109375" customWidth="1"/>
    <col min="3" max="5" width="11.140625" customWidth="1"/>
    <col min="6" max="6" width="10.140625" bestFit="1" customWidth="1"/>
    <col min="9" max="9" width="8" customWidth="1"/>
    <col min="10" max="10" width="9.5703125" customWidth="1"/>
    <col min="11" max="11" width="11.5703125" customWidth="1"/>
    <col min="13" max="16" width="12.28515625" customWidth="1"/>
  </cols>
  <sheetData>
    <row r="1" spans="1:16" s="8" customFormat="1" ht="15.75">
      <c r="D1" s="43" t="s">
        <v>25</v>
      </c>
    </row>
    <row r="2" spans="1:16" s="8" customFormat="1" ht="15.75">
      <c r="B2" s="85" t="s">
        <v>60</v>
      </c>
      <c r="C2" s="85"/>
      <c r="D2" s="85"/>
      <c r="E2" s="85"/>
      <c r="F2" s="85"/>
      <c r="G2" s="85"/>
      <c r="H2" s="85"/>
      <c r="I2" s="85"/>
      <c r="J2" s="85"/>
      <c r="K2" s="85"/>
    </row>
    <row r="3" spans="1:16" s="42" customFormat="1" ht="126.75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6" s="8" customFormat="1" ht="15.75"/>
    <row r="5" spans="1:16" s="8" customFormat="1" ht="94.5">
      <c r="A5" s="56" t="s">
        <v>1</v>
      </c>
      <c r="B5" s="57" t="s">
        <v>26</v>
      </c>
      <c r="C5" s="56" t="s">
        <v>70</v>
      </c>
      <c r="D5" s="56" t="s">
        <v>68</v>
      </c>
      <c r="E5" s="56" t="s">
        <v>69</v>
      </c>
      <c r="F5" s="56" t="s">
        <v>27</v>
      </c>
      <c r="G5" s="56" t="s">
        <v>30</v>
      </c>
      <c r="H5" s="56" t="s">
        <v>28</v>
      </c>
      <c r="I5" s="56" t="s">
        <v>42</v>
      </c>
      <c r="J5" s="56" t="s">
        <v>41</v>
      </c>
      <c r="K5" s="56" t="s">
        <v>43</v>
      </c>
      <c r="M5" s="48"/>
      <c r="N5" s="48"/>
      <c r="O5" s="48"/>
      <c r="P5" s="48"/>
    </row>
    <row r="6" spans="1:16" s="8" customFormat="1" ht="52.5" customHeight="1">
      <c r="A6" s="59">
        <v>1</v>
      </c>
      <c r="B6" s="55" t="s">
        <v>63</v>
      </c>
      <c r="C6" s="65">
        <v>1366.69</v>
      </c>
      <c r="D6" s="67">
        <f>8346.54/6-0.03</f>
        <v>1391.0600000000002</v>
      </c>
      <c r="E6" s="67">
        <f>1427.7+0.2</f>
        <v>1427.9</v>
      </c>
      <c r="F6" s="65">
        <f t="shared" ref="F6:F23" si="0">ROUND((C6+D6+E6)/3,2)</f>
        <v>1395.22</v>
      </c>
      <c r="G6" s="60">
        <f>STDEV(C6:E6)</f>
        <v>30.815976916744567</v>
      </c>
      <c r="H6" s="61">
        <f t="shared" ref="H6:H23" si="1">(G6/F6)*100</f>
        <v>2.2086822806972783</v>
      </c>
      <c r="I6" s="62" t="s">
        <v>29</v>
      </c>
      <c r="J6" s="63">
        <v>6</v>
      </c>
      <c r="K6" s="64">
        <f t="shared" ref="K6" si="2">F6*J6</f>
        <v>8371.32</v>
      </c>
      <c r="M6" s="65">
        <f>D6</f>
        <v>1391.0600000000002</v>
      </c>
      <c r="N6" s="65">
        <f>M6*6</f>
        <v>8346.36</v>
      </c>
      <c r="O6" s="65">
        <f>E6</f>
        <v>1427.9</v>
      </c>
      <c r="P6" s="65">
        <f>O6*6</f>
        <v>8567.4000000000015</v>
      </c>
    </row>
    <row r="7" spans="1:16" s="8" customFormat="1" ht="31.5">
      <c r="A7" s="59">
        <f>A6+1</f>
        <v>2</v>
      </c>
      <c r="B7" s="55" t="s">
        <v>45</v>
      </c>
      <c r="C7" s="65">
        <v>898.95</v>
      </c>
      <c r="D7" s="67">
        <f>2745/3+0.04</f>
        <v>915.04</v>
      </c>
      <c r="E7" s="67">
        <f>939.08-0.4</f>
        <v>938.68000000000006</v>
      </c>
      <c r="F7" s="65">
        <f t="shared" si="0"/>
        <v>917.56</v>
      </c>
      <c r="G7" s="60">
        <f t="shared" ref="G7:G23" si="3">STDEV(C7:E7)</f>
        <v>19.984204595963632</v>
      </c>
      <c r="H7" s="61">
        <f t="shared" si="1"/>
        <v>2.1779725136191237</v>
      </c>
      <c r="I7" s="62" t="s">
        <v>29</v>
      </c>
      <c r="J7" s="63">
        <v>3</v>
      </c>
      <c r="K7" s="64">
        <f>F7*J7</f>
        <v>2752.68</v>
      </c>
      <c r="M7" s="65">
        <f t="shared" ref="M7:M23" si="4">D7</f>
        <v>915.04</v>
      </c>
      <c r="N7" s="65">
        <f>M7*J7</f>
        <v>2745.12</v>
      </c>
      <c r="O7" s="65">
        <f t="shared" ref="O7:O23" si="5">E7</f>
        <v>938.68000000000006</v>
      </c>
      <c r="P7" s="65">
        <f>O7*J7</f>
        <v>2816.04</v>
      </c>
    </row>
    <row r="8" spans="1:16" s="8" customFormat="1" ht="31.5">
      <c r="A8" s="59">
        <f t="shared" ref="A8:A20" si="6">A7+1</f>
        <v>3</v>
      </c>
      <c r="B8" s="55" t="s">
        <v>46</v>
      </c>
      <c r="C8" s="65">
        <v>9324.57</v>
      </c>
      <c r="D8" s="67">
        <f>9491.08-0.22</f>
        <v>9490.86</v>
      </c>
      <c r="E8" s="67">
        <f>9740.85+1.66</f>
        <v>9742.51</v>
      </c>
      <c r="F8" s="65">
        <f t="shared" si="0"/>
        <v>9519.31</v>
      </c>
      <c r="G8" s="60">
        <f t="shared" si="3"/>
        <v>210.4178106371545</v>
      </c>
      <c r="H8" s="61">
        <f t="shared" si="1"/>
        <v>2.2104313299719678</v>
      </c>
      <c r="I8" s="62" t="s">
        <v>29</v>
      </c>
      <c r="J8" s="63">
        <v>1</v>
      </c>
      <c r="K8" s="64">
        <f t="shared" ref="K8:K23" si="7">F8*J8</f>
        <v>9519.31</v>
      </c>
      <c r="M8" s="65">
        <f t="shared" si="4"/>
        <v>9490.86</v>
      </c>
      <c r="N8" s="65">
        <f t="shared" ref="N8:N23" si="8">M8*J8</f>
        <v>9490.86</v>
      </c>
      <c r="O8" s="65">
        <f t="shared" si="5"/>
        <v>9742.51</v>
      </c>
      <c r="P8" s="65">
        <f t="shared" ref="P8:P23" si="9">O8*J8</f>
        <v>9742.51</v>
      </c>
    </row>
    <row r="9" spans="1:16" s="8" customFormat="1" ht="31.5">
      <c r="A9" s="59">
        <f t="shared" si="6"/>
        <v>4</v>
      </c>
      <c r="B9" s="55" t="s">
        <v>47</v>
      </c>
      <c r="C9" s="65">
        <v>8066.95</v>
      </c>
      <c r="D9" s="67">
        <f>24633/3+2</f>
        <v>8213</v>
      </c>
      <c r="E9" s="67">
        <f>8427.08-4</f>
        <v>8423.08</v>
      </c>
      <c r="F9" s="65">
        <f t="shared" si="0"/>
        <v>8234.34</v>
      </c>
      <c r="G9" s="60">
        <f t="shared" si="3"/>
        <v>179.02177977367265</v>
      </c>
      <c r="H9" s="61">
        <f t="shared" si="1"/>
        <v>2.1740877808503494</v>
      </c>
      <c r="I9" s="62" t="s">
        <v>29</v>
      </c>
      <c r="J9" s="63">
        <v>3</v>
      </c>
      <c r="K9" s="64">
        <f t="shared" si="7"/>
        <v>24703.02</v>
      </c>
      <c r="M9" s="65">
        <f t="shared" si="4"/>
        <v>8213</v>
      </c>
      <c r="N9" s="65">
        <f t="shared" si="8"/>
        <v>24639</v>
      </c>
      <c r="O9" s="65">
        <f t="shared" si="5"/>
        <v>8423.08</v>
      </c>
      <c r="P9" s="65">
        <f t="shared" si="9"/>
        <v>25269.239999999998</v>
      </c>
    </row>
    <row r="10" spans="1:16" s="8" customFormat="1" ht="47.25">
      <c r="A10" s="59">
        <f t="shared" si="6"/>
        <v>5</v>
      </c>
      <c r="B10" s="55" t="s">
        <v>64</v>
      </c>
      <c r="C10" s="67">
        <f>1162.2</f>
        <v>1162.2</v>
      </c>
      <c r="D10" s="67">
        <f>3548.84/3</f>
        <v>1182.9466666666667</v>
      </c>
      <c r="E10" s="67">
        <f>1214.08+3</f>
        <v>1217.08</v>
      </c>
      <c r="F10" s="65">
        <f t="shared" si="0"/>
        <v>1187.4100000000001</v>
      </c>
      <c r="G10" s="60">
        <f t="shared" si="3"/>
        <v>27.710777152046223</v>
      </c>
      <c r="H10" s="61">
        <f t="shared" si="1"/>
        <v>2.3337159997007118</v>
      </c>
      <c r="I10" s="62" t="s">
        <v>29</v>
      </c>
      <c r="J10" s="63">
        <v>3</v>
      </c>
      <c r="K10" s="64">
        <f t="shared" si="7"/>
        <v>3562.2300000000005</v>
      </c>
      <c r="M10" s="65">
        <f t="shared" si="4"/>
        <v>1182.9466666666667</v>
      </c>
      <c r="N10" s="65">
        <f t="shared" si="8"/>
        <v>3548.84</v>
      </c>
      <c r="O10" s="65">
        <f t="shared" si="5"/>
        <v>1217.08</v>
      </c>
      <c r="P10" s="65">
        <f t="shared" si="9"/>
        <v>3651.24</v>
      </c>
    </row>
    <row r="11" spans="1:16" s="8" customFormat="1" ht="22.5" customHeight="1">
      <c r="A11" s="59">
        <f t="shared" si="6"/>
        <v>6</v>
      </c>
      <c r="B11" s="55" t="s">
        <v>48</v>
      </c>
      <c r="C11" s="65">
        <v>230</v>
      </c>
      <c r="D11" s="67">
        <f>6087.12/26-0.17</f>
        <v>233.95000000000002</v>
      </c>
      <c r="E11" s="67">
        <v>240.27</v>
      </c>
      <c r="F11" s="65">
        <f t="shared" si="0"/>
        <v>234.74</v>
      </c>
      <c r="G11" s="60">
        <f t="shared" si="3"/>
        <v>5.1803764341985845</v>
      </c>
      <c r="H11" s="61">
        <f t="shared" si="1"/>
        <v>2.2068571330828082</v>
      </c>
      <c r="I11" s="62" t="s">
        <v>29</v>
      </c>
      <c r="J11" s="63">
        <v>26</v>
      </c>
      <c r="K11" s="64">
        <f t="shared" si="7"/>
        <v>6103.24</v>
      </c>
      <c r="M11" s="65">
        <f t="shared" si="4"/>
        <v>233.95000000000002</v>
      </c>
      <c r="N11" s="65">
        <f t="shared" si="8"/>
        <v>6082.7000000000007</v>
      </c>
      <c r="O11" s="65">
        <f t="shared" si="5"/>
        <v>240.27</v>
      </c>
      <c r="P11" s="65">
        <f t="shared" si="9"/>
        <v>6247.02</v>
      </c>
    </row>
    <row r="12" spans="1:16" s="8" customFormat="1" ht="22.5" customHeight="1">
      <c r="A12" s="59">
        <f t="shared" si="6"/>
        <v>7</v>
      </c>
      <c r="B12" s="55" t="s">
        <v>65</v>
      </c>
      <c r="C12" s="65">
        <v>7615.25</v>
      </c>
      <c r="D12" s="67">
        <f>15502.46/2</f>
        <v>7751.23</v>
      </c>
      <c r="E12" s="67">
        <v>7955.22</v>
      </c>
      <c r="F12" s="65">
        <f t="shared" si="0"/>
        <v>7773.9</v>
      </c>
      <c r="G12" s="60">
        <f t="shared" si="3"/>
        <v>171.11501073839216</v>
      </c>
      <c r="H12" s="61">
        <f t="shared" si="1"/>
        <v>2.2011475673521934</v>
      </c>
      <c r="I12" s="62" t="s">
        <v>29</v>
      </c>
      <c r="J12" s="63">
        <v>2</v>
      </c>
      <c r="K12" s="64">
        <f t="shared" si="7"/>
        <v>15547.8</v>
      </c>
      <c r="M12" s="65">
        <f t="shared" si="4"/>
        <v>7751.23</v>
      </c>
      <c r="N12" s="65">
        <f t="shared" si="8"/>
        <v>15502.46</v>
      </c>
      <c r="O12" s="65">
        <f t="shared" si="5"/>
        <v>7955.22</v>
      </c>
      <c r="P12" s="65">
        <f t="shared" si="9"/>
        <v>15910.44</v>
      </c>
    </row>
    <row r="13" spans="1:16" s="8" customFormat="1" ht="94.5">
      <c r="A13" s="59">
        <f t="shared" si="6"/>
        <v>8</v>
      </c>
      <c r="B13" s="55" t="s">
        <v>66</v>
      </c>
      <c r="C13" s="65">
        <v>958.03</v>
      </c>
      <c r="D13" s="67">
        <f>1950.26/2-0.07</f>
        <v>975.06</v>
      </c>
      <c r="E13" s="67">
        <f>1000.8+1.2</f>
        <v>1002</v>
      </c>
      <c r="F13" s="65">
        <f t="shared" si="0"/>
        <v>978.36</v>
      </c>
      <c r="G13" s="60">
        <f t="shared" si="3"/>
        <v>22.170345809962775</v>
      </c>
      <c r="H13" s="61">
        <f t="shared" si="1"/>
        <v>2.2660723874609321</v>
      </c>
      <c r="I13" s="62" t="s">
        <v>29</v>
      </c>
      <c r="J13" s="63">
        <v>2</v>
      </c>
      <c r="K13" s="64">
        <f t="shared" si="7"/>
        <v>1956.72</v>
      </c>
      <c r="M13" s="65">
        <f t="shared" si="4"/>
        <v>975.06</v>
      </c>
      <c r="N13" s="65">
        <f t="shared" si="8"/>
        <v>1950.12</v>
      </c>
      <c r="O13" s="65">
        <f t="shared" si="5"/>
        <v>1002</v>
      </c>
      <c r="P13" s="65">
        <f t="shared" si="9"/>
        <v>2004</v>
      </c>
    </row>
    <row r="14" spans="1:16" s="8" customFormat="1" ht="22.5" customHeight="1">
      <c r="A14" s="59">
        <f t="shared" si="6"/>
        <v>9</v>
      </c>
      <c r="B14" s="55" t="s">
        <v>49</v>
      </c>
      <c r="C14" s="65">
        <v>1514.95</v>
      </c>
      <c r="D14" s="67">
        <f>3084/2-0.26</f>
        <v>1541.74</v>
      </c>
      <c r="E14" s="67">
        <f>1582.58+3</f>
        <v>1585.58</v>
      </c>
      <c r="F14" s="65">
        <f t="shared" si="0"/>
        <v>1547.42</v>
      </c>
      <c r="G14" s="60">
        <f t="shared" si="3"/>
        <v>35.656337912541289</v>
      </c>
      <c r="H14" s="61">
        <f t="shared" si="1"/>
        <v>2.3042443494682301</v>
      </c>
      <c r="I14" s="62" t="s">
        <v>29</v>
      </c>
      <c r="J14" s="63">
        <v>2</v>
      </c>
      <c r="K14" s="64">
        <f t="shared" si="7"/>
        <v>3094.84</v>
      </c>
      <c r="M14" s="65">
        <f t="shared" si="4"/>
        <v>1541.74</v>
      </c>
      <c r="N14" s="65">
        <f t="shared" si="8"/>
        <v>3083.48</v>
      </c>
      <c r="O14" s="65">
        <f t="shared" si="5"/>
        <v>1585.58</v>
      </c>
      <c r="P14" s="65">
        <f t="shared" si="9"/>
        <v>3171.16</v>
      </c>
    </row>
    <row r="15" spans="1:16" s="8" customFormat="1" ht="47.25">
      <c r="A15" s="59">
        <f t="shared" si="6"/>
        <v>10</v>
      </c>
      <c r="B15" s="55" t="s">
        <v>50</v>
      </c>
      <c r="C15" s="65">
        <v>797.15</v>
      </c>
      <c r="D15" s="67">
        <f>2434.14/3</f>
        <v>811.38</v>
      </c>
      <c r="E15" s="67">
        <f>832.74-2</f>
        <v>830.74</v>
      </c>
      <c r="F15" s="65">
        <f t="shared" si="0"/>
        <v>813.09</v>
      </c>
      <c r="G15" s="60">
        <f t="shared" si="3"/>
        <v>16.860163107158854</v>
      </c>
      <c r="H15" s="61">
        <f t="shared" si="1"/>
        <v>2.0735912515415089</v>
      </c>
      <c r="I15" s="62" t="s">
        <v>29</v>
      </c>
      <c r="J15" s="63">
        <v>3</v>
      </c>
      <c r="K15" s="64">
        <f t="shared" si="7"/>
        <v>2439.27</v>
      </c>
      <c r="M15" s="65">
        <f t="shared" si="4"/>
        <v>811.38</v>
      </c>
      <c r="N15" s="65">
        <f t="shared" si="8"/>
        <v>2434.14</v>
      </c>
      <c r="O15" s="65">
        <f t="shared" si="5"/>
        <v>830.74</v>
      </c>
      <c r="P15" s="65">
        <f t="shared" si="9"/>
        <v>2492.2200000000003</v>
      </c>
    </row>
    <row r="16" spans="1:16" s="8" customFormat="1" ht="21.75" customHeight="1">
      <c r="A16" s="59">
        <f t="shared" si="6"/>
        <v>11</v>
      </c>
      <c r="B16" s="55" t="s">
        <v>51</v>
      </c>
      <c r="C16" s="65">
        <v>11623.39</v>
      </c>
      <c r="D16" s="67">
        <f>70985.7/6-0.1</f>
        <v>11830.849999999999</v>
      </c>
      <c r="E16" s="67">
        <f>12142.3-0.01-9</f>
        <v>12133.289999999999</v>
      </c>
      <c r="F16" s="65">
        <f t="shared" si="0"/>
        <v>11862.51</v>
      </c>
      <c r="G16" s="60">
        <f t="shared" si="3"/>
        <v>256.42010295606684</v>
      </c>
      <c r="H16" s="61">
        <f t="shared" si="1"/>
        <v>2.1616007316838242</v>
      </c>
      <c r="I16" s="62" t="s">
        <v>29</v>
      </c>
      <c r="J16" s="63">
        <v>6</v>
      </c>
      <c r="K16" s="64">
        <f t="shared" si="7"/>
        <v>71175.06</v>
      </c>
      <c r="M16" s="65">
        <f t="shared" si="4"/>
        <v>11830.849999999999</v>
      </c>
      <c r="N16" s="65">
        <f t="shared" si="8"/>
        <v>70985.099999999991</v>
      </c>
      <c r="O16" s="65">
        <f t="shared" si="5"/>
        <v>12133.289999999999</v>
      </c>
      <c r="P16" s="65">
        <f t="shared" si="9"/>
        <v>72799.739999999991</v>
      </c>
    </row>
    <row r="17" spans="1:16" s="8" customFormat="1" ht="47.25">
      <c r="A17" s="59">
        <f t="shared" si="6"/>
        <v>12</v>
      </c>
      <c r="B17" s="55" t="s">
        <v>52</v>
      </c>
      <c r="C17" s="65">
        <v>1727.28</v>
      </c>
      <c r="D17" s="67">
        <f>5274.36/3</f>
        <v>1758.12</v>
      </c>
      <c r="E17" s="67">
        <f>1804.39-1</f>
        <v>1803.39</v>
      </c>
      <c r="F17" s="65">
        <f t="shared" si="0"/>
        <v>1762.93</v>
      </c>
      <c r="G17" s="60">
        <f t="shared" si="3"/>
        <v>38.282307924157415</v>
      </c>
      <c r="H17" s="61">
        <f t="shared" si="1"/>
        <v>2.1715160513552672</v>
      </c>
      <c r="I17" s="62" t="s">
        <v>29</v>
      </c>
      <c r="J17" s="63">
        <v>3</v>
      </c>
      <c r="K17" s="64">
        <f t="shared" si="7"/>
        <v>5288.79</v>
      </c>
      <c r="M17" s="65">
        <f t="shared" si="4"/>
        <v>1758.12</v>
      </c>
      <c r="N17" s="65">
        <f t="shared" si="8"/>
        <v>5274.36</v>
      </c>
      <c r="O17" s="65">
        <f t="shared" si="5"/>
        <v>1803.39</v>
      </c>
      <c r="P17" s="65">
        <f t="shared" si="9"/>
        <v>5410.17</v>
      </c>
    </row>
    <row r="18" spans="1:16" s="8" customFormat="1" ht="94.5">
      <c r="A18" s="59">
        <f t="shared" si="6"/>
        <v>13</v>
      </c>
      <c r="B18" s="55" t="s">
        <v>53</v>
      </c>
      <c r="C18" s="65">
        <v>691.25</v>
      </c>
      <c r="D18" s="67">
        <f>2110.77/3</f>
        <v>703.59</v>
      </c>
      <c r="E18" s="67">
        <f>722.11+6</f>
        <v>728.11</v>
      </c>
      <c r="F18" s="65">
        <f t="shared" si="0"/>
        <v>707.65</v>
      </c>
      <c r="G18" s="60">
        <f t="shared" si="3"/>
        <v>18.762398567347411</v>
      </c>
      <c r="H18" s="61">
        <f t="shared" si="1"/>
        <v>2.6513669988479349</v>
      </c>
      <c r="I18" s="62" t="s">
        <v>29</v>
      </c>
      <c r="J18" s="63">
        <v>3</v>
      </c>
      <c r="K18" s="64">
        <f t="shared" si="7"/>
        <v>2122.9499999999998</v>
      </c>
      <c r="M18" s="65">
        <f t="shared" si="4"/>
        <v>703.59</v>
      </c>
      <c r="N18" s="65">
        <f t="shared" si="8"/>
        <v>2110.77</v>
      </c>
      <c r="O18" s="65">
        <f t="shared" si="5"/>
        <v>728.11</v>
      </c>
      <c r="P18" s="65">
        <f t="shared" si="9"/>
        <v>2184.33</v>
      </c>
    </row>
    <row r="19" spans="1:16" s="8" customFormat="1" ht="63">
      <c r="A19" s="59">
        <f t="shared" si="6"/>
        <v>14</v>
      </c>
      <c r="B19" s="55" t="s">
        <v>54</v>
      </c>
      <c r="C19" s="65">
        <v>3254.66</v>
      </c>
      <c r="D19" s="67">
        <f>6625.36/2-0.02</f>
        <v>3312.66</v>
      </c>
      <c r="E19" s="67">
        <f>3399.85-8</f>
        <v>3391.85</v>
      </c>
      <c r="F19" s="65">
        <f t="shared" si="0"/>
        <v>3319.72</v>
      </c>
      <c r="G19" s="60">
        <f t="shared" si="3"/>
        <v>68.867205790080789</v>
      </c>
      <c r="H19" s="61">
        <f t="shared" si="1"/>
        <v>2.0744883842637569</v>
      </c>
      <c r="I19" s="62" t="s">
        <v>29</v>
      </c>
      <c r="J19" s="63">
        <v>2</v>
      </c>
      <c r="K19" s="64">
        <f t="shared" si="7"/>
        <v>6639.44</v>
      </c>
      <c r="M19" s="65">
        <f t="shared" si="4"/>
        <v>3312.66</v>
      </c>
      <c r="N19" s="65">
        <f t="shared" si="8"/>
        <v>6625.32</v>
      </c>
      <c r="O19" s="65">
        <f t="shared" si="5"/>
        <v>3391.85</v>
      </c>
      <c r="P19" s="65">
        <f t="shared" si="9"/>
        <v>6783.7</v>
      </c>
    </row>
    <row r="20" spans="1:16" s="8" customFormat="1" ht="31.5">
      <c r="A20" s="59">
        <f t="shared" si="6"/>
        <v>15</v>
      </c>
      <c r="B20" s="55" t="s">
        <v>67</v>
      </c>
      <c r="C20" s="65">
        <v>2425.2399999999998</v>
      </c>
      <c r="D20" s="67">
        <f>14811.24/6</f>
        <v>2468.54</v>
      </c>
      <c r="E20" s="67">
        <f>2533.51+6</f>
        <v>2539.5100000000002</v>
      </c>
      <c r="F20" s="65">
        <f t="shared" si="0"/>
        <v>2477.7600000000002</v>
      </c>
      <c r="G20" s="60">
        <f t="shared" si="3"/>
        <v>57.690645977778395</v>
      </c>
      <c r="H20" s="61">
        <f t="shared" si="1"/>
        <v>2.3283387405470419</v>
      </c>
      <c r="I20" s="62" t="s">
        <v>29</v>
      </c>
      <c r="J20" s="63">
        <v>6</v>
      </c>
      <c r="K20" s="64">
        <f t="shared" si="7"/>
        <v>14866.560000000001</v>
      </c>
      <c r="M20" s="65">
        <f t="shared" si="4"/>
        <v>2468.54</v>
      </c>
      <c r="N20" s="65">
        <f t="shared" si="8"/>
        <v>14811.24</v>
      </c>
      <c r="O20" s="65">
        <f t="shared" si="5"/>
        <v>2539.5100000000002</v>
      </c>
      <c r="P20" s="65">
        <f t="shared" si="9"/>
        <v>15237.060000000001</v>
      </c>
    </row>
    <row r="21" spans="1:16" s="8" customFormat="1" ht="31.5">
      <c r="A21" s="59">
        <v>16</v>
      </c>
      <c r="B21" s="55" t="s">
        <v>55</v>
      </c>
      <c r="C21" s="65">
        <v>798.27</v>
      </c>
      <c r="D21" s="67">
        <f>12187.95/15</f>
        <v>812.53000000000009</v>
      </c>
      <c r="E21" s="67">
        <f>833.91+3</f>
        <v>836.91</v>
      </c>
      <c r="F21" s="65">
        <f t="shared" si="0"/>
        <v>815.9</v>
      </c>
      <c r="G21" s="60">
        <f t="shared" si="3"/>
        <v>19.53962469786287</v>
      </c>
      <c r="H21" s="61">
        <f t="shared" si="1"/>
        <v>2.3948553374019941</v>
      </c>
      <c r="I21" s="62" t="s">
        <v>29</v>
      </c>
      <c r="J21" s="63">
        <v>15</v>
      </c>
      <c r="K21" s="64">
        <f t="shared" si="7"/>
        <v>12238.5</v>
      </c>
      <c r="M21" s="65">
        <f t="shared" si="4"/>
        <v>812.53000000000009</v>
      </c>
      <c r="N21" s="65">
        <f t="shared" si="8"/>
        <v>12187.95</v>
      </c>
      <c r="O21" s="65">
        <f t="shared" si="5"/>
        <v>836.91</v>
      </c>
      <c r="P21" s="65">
        <f t="shared" si="9"/>
        <v>12553.65</v>
      </c>
    </row>
    <row r="22" spans="1:16" s="8" customFormat="1" ht="31.5">
      <c r="A22" s="59">
        <v>17</v>
      </c>
      <c r="B22" s="55" t="s">
        <v>56</v>
      </c>
      <c r="C22" s="65">
        <v>2258.69</v>
      </c>
      <c r="D22" s="67">
        <f>13794.12/6</f>
        <v>2299.02</v>
      </c>
      <c r="E22" s="67">
        <f>2359.52-6</f>
        <v>2353.52</v>
      </c>
      <c r="F22" s="65">
        <f t="shared" si="0"/>
        <v>2303.7399999999998</v>
      </c>
      <c r="G22" s="60">
        <f t="shared" si="3"/>
        <v>47.591119269600398</v>
      </c>
      <c r="H22" s="61">
        <f t="shared" si="1"/>
        <v>2.065819895891047</v>
      </c>
      <c r="I22" s="62" t="s">
        <v>29</v>
      </c>
      <c r="J22" s="63">
        <v>6</v>
      </c>
      <c r="K22" s="64">
        <f t="shared" si="7"/>
        <v>13822.439999999999</v>
      </c>
      <c r="M22" s="65">
        <f t="shared" si="4"/>
        <v>2299.02</v>
      </c>
      <c r="N22" s="65">
        <f t="shared" si="8"/>
        <v>13794.119999999999</v>
      </c>
      <c r="O22" s="65">
        <f t="shared" si="5"/>
        <v>2353.52</v>
      </c>
      <c r="P22" s="65">
        <f t="shared" si="9"/>
        <v>14121.119999999999</v>
      </c>
    </row>
    <row r="23" spans="1:16" s="8" customFormat="1" ht="47.25">
      <c r="A23" s="59">
        <v>18</v>
      </c>
      <c r="B23" s="55" t="s">
        <v>57</v>
      </c>
      <c r="C23" s="65">
        <v>7514.6</v>
      </c>
      <c r="D23" s="67">
        <f>22946.37/3</f>
        <v>7648.79</v>
      </c>
      <c r="E23" s="67">
        <f>7850.07+3</f>
        <v>7853.07</v>
      </c>
      <c r="F23" s="65">
        <f t="shared" si="0"/>
        <v>7672.15</v>
      </c>
      <c r="G23" s="60">
        <f t="shared" si="3"/>
        <v>170.44022187656651</v>
      </c>
      <c r="H23" s="61">
        <f t="shared" si="1"/>
        <v>2.2215444416045895</v>
      </c>
      <c r="I23" s="62" t="s">
        <v>29</v>
      </c>
      <c r="J23" s="63">
        <v>3</v>
      </c>
      <c r="K23" s="64">
        <f t="shared" si="7"/>
        <v>23016.449999999997</v>
      </c>
      <c r="M23" s="65">
        <f t="shared" si="4"/>
        <v>7648.79</v>
      </c>
      <c r="N23" s="65">
        <f t="shared" si="8"/>
        <v>22946.37</v>
      </c>
      <c r="O23" s="65">
        <f t="shared" si="5"/>
        <v>7853.07</v>
      </c>
      <c r="P23" s="65">
        <f t="shared" si="9"/>
        <v>23559.21</v>
      </c>
    </row>
    <row r="24" spans="1:16" s="8" customFormat="1" ht="18.75" customHeight="1">
      <c r="A24" s="91" t="s">
        <v>58</v>
      </c>
      <c r="B24" s="92"/>
      <c r="C24" s="92"/>
      <c r="D24" s="92"/>
      <c r="E24" s="92"/>
      <c r="F24" s="92"/>
      <c r="G24" s="92"/>
      <c r="H24" s="92"/>
      <c r="I24" s="92"/>
      <c r="J24" s="93"/>
      <c r="K24" s="58">
        <f>SUM(K6:K23)</f>
        <v>227220.62</v>
      </c>
      <c r="M24" s="48"/>
      <c r="N24" s="66">
        <f>SUM(N6:N23)</f>
        <v>226558.30999999997</v>
      </c>
      <c r="O24" s="48"/>
      <c r="P24" s="66">
        <f>SUM(P6:P23)</f>
        <v>232520.25</v>
      </c>
    </row>
    <row r="25" spans="1:16" s="8" customFormat="1" ht="15.75">
      <c r="M25" s="48"/>
      <c r="N25" s="66">
        <v>226558.30999999997</v>
      </c>
      <c r="O25" s="48"/>
      <c r="P25" s="66">
        <v>232520.25</v>
      </c>
    </row>
    <row r="26" spans="1:16" s="8" customFormat="1" ht="34.5" customHeight="1">
      <c r="A26" s="88" t="s">
        <v>31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N26" s="66">
        <f>N25-N24</f>
        <v>0</v>
      </c>
      <c r="O26" s="48"/>
      <c r="P26" s="66">
        <f>P25-P24</f>
        <v>0</v>
      </c>
    </row>
    <row r="27" spans="1:16" s="8" customFormat="1" ht="15.75">
      <c r="A27" s="44" t="s">
        <v>32</v>
      </c>
    </row>
    <row r="28" spans="1:16" s="8" customFormat="1" ht="43.5" customHeight="1">
      <c r="A28" s="44"/>
    </row>
    <row r="29" spans="1:16" s="8" customFormat="1" ht="15.75">
      <c r="A29" s="44" t="s">
        <v>39</v>
      </c>
    </row>
    <row r="30" spans="1:16" s="8" customFormat="1" ht="15.75">
      <c r="A30" s="44"/>
      <c r="B30" s="44" t="s">
        <v>33</v>
      </c>
    </row>
    <row r="31" spans="1:16" s="8" customFormat="1" ht="48" customHeight="1">
      <c r="A31" s="44"/>
      <c r="C31" s="44" t="s">
        <v>34</v>
      </c>
    </row>
    <row r="32" spans="1:16" s="8" customFormat="1" ht="15.75">
      <c r="A32" s="44"/>
      <c r="B32" s="44" t="s">
        <v>35</v>
      </c>
      <c r="C32" s="44"/>
    </row>
    <row r="33" spans="1:11" s="8" customFormat="1" ht="15.75">
      <c r="A33" s="44"/>
      <c r="B33" s="44" t="s">
        <v>36</v>
      </c>
      <c r="C33" s="44"/>
    </row>
    <row r="34" spans="1:11" s="8" customFormat="1" ht="15.75">
      <c r="A34" s="44"/>
      <c r="B34" s="44" t="s">
        <v>37</v>
      </c>
      <c r="C34" s="44"/>
    </row>
    <row r="35" spans="1:11" s="8" customFormat="1" ht="15.75">
      <c r="A35" s="44"/>
    </row>
    <row r="36" spans="1:11" s="8" customFormat="1" ht="19.5" customHeight="1">
      <c r="A36" s="47"/>
      <c r="B36" s="88" t="s">
        <v>38</v>
      </c>
      <c r="C36" s="88"/>
      <c r="D36" s="88"/>
      <c r="E36" s="88"/>
      <c r="F36" s="88"/>
      <c r="G36" s="88"/>
      <c r="H36" s="88"/>
      <c r="I36" s="88"/>
      <c r="J36" s="88"/>
      <c r="K36" s="88"/>
    </row>
    <row r="37" spans="1:11" s="8" customFormat="1" ht="43.5" customHeight="1">
      <c r="B37" s="87" t="s">
        <v>59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s="8" customFormat="1" ht="15.75">
      <c r="A38" s="52"/>
      <c r="B38" s="86" t="s">
        <v>44</v>
      </c>
      <c r="C38" s="86"/>
      <c r="D38" s="86"/>
      <c r="E38" s="86"/>
      <c r="F38" s="86"/>
      <c r="G38" s="86"/>
      <c r="H38" s="86"/>
      <c r="I38" s="86"/>
      <c r="J38" s="86"/>
      <c r="K38" s="53"/>
    </row>
    <row r="39" spans="1:11" ht="15.75">
      <c r="A39" s="46"/>
      <c r="B39" s="86" t="s">
        <v>62</v>
      </c>
      <c r="C39" s="86"/>
      <c r="D39" s="86"/>
      <c r="E39" s="86"/>
      <c r="F39" s="86"/>
      <c r="G39" s="86"/>
      <c r="H39" s="86"/>
      <c r="I39" s="86"/>
      <c r="J39" s="86"/>
      <c r="K39" s="53"/>
    </row>
    <row r="40" spans="1:11" ht="15.75">
      <c r="A40" s="46"/>
      <c r="B40" s="86"/>
      <c r="C40" s="86"/>
      <c r="D40" s="86"/>
      <c r="E40" s="86"/>
      <c r="F40" s="86"/>
      <c r="G40" s="86"/>
      <c r="H40" s="86"/>
      <c r="I40" s="86"/>
      <c r="J40" s="86"/>
      <c r="K40" s="53"/>
    </row>
    <row r="41" spans="1:11" ht="15.75">
      <c r="A41" s="46"/>
      <c r="B41" s="86" t="s">
        <v>61</v>
      </c>
      <c r="C41" s="86"/>
      <c r="D41" s="52"/>
      <c r="E41" s="52"/>
      <c r="F41" s="52"/>
      <c r="G41" s="52"/>
      <c r="H41" s="52"/>
      <c r="I41" s="52"/>
      <c r="J41" s="52"/>
      <c r="K41" s="53"/>
    </row>
    <row r="42" spans="1:11" ht="15">
      <c r="A42" s="46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ht="15"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10">
    <mergeCell ref="B38:J38"/>
    <mergeCell ref="B39:J39"/>
    <mergeCell ref="B40:J40"/>
    <mergeCell ref="B41:C41"/>
    <mergeCell ref="B2:K2"/>
    <mergeCell ref="A3:K3"/>
    <mergeCell ref="A24:J24"/>
    <mergeCell ref="A26:K26"/>
    <mergeCell ref="B36:K36"/>
    <mergeCell ref="B37:K37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zoomScaleSheetLayoutView="100" workbookViewId="0">
      <selection activeCell="N6" sqref="N6"/>
    </sheetView>
  </sheetViews>
  <sheetFormatPr defaultRowHeight="12.75"/>
  <cols>
    <col min="1" max="1" width="4.42578125" customWidth="1"/>
    <col min="2" max="2" width="29" customWidth="1"/>
    <col min="3" max="5" width="11.140625" customWidth="1"/>
    <col min="6" max="7" width="10.140625" bestFit="1" customWidth="1"/>
    <col min="9" max="9" width="8" customWidth="1"/>
    <col min="10" max="10" width="9.5703125" customWidth="1"/>
    <col min="11" max="11" width="11.5703125" customWidth="1"/>
    <col min="13" max="16" width="12.28515625" customWidth="1"/>
  </cols>
  <sheetData>
    <row r="1" spans="1:17" s="8" customFormat="1" ht="15.75">
      <c r="C1" s="43" t="s">
        <v>25</v>
      </c>
    </row>
    <row r="2" spans="1:17" s="8" customFormat="1" ht="15.75">
      <c r="A2" s="37"/>
      <c r="B2" s="94" t="s">
        <v>76</v>
      </c>
      <c r="C2" s="94"/>
      <c r="D2" s="94"/>
      <c r="E2" s="94"/>
      <c r="F2" s="94"/>
      <c r="G2" s="94"/>
      <c r="H2" s="94"/>
      <c r="I2" s="94"/>
      <c r="J2" s="94"/>
      <c r="K2" s="94"/>
    </row>
    <row r="3" spans="1:17" s="42" customFormat="1" ht="126.75" customHeight="1">
      <c r="A3" s="95" t="s">
        <v>40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7" s="8" customFormat="1" ht="15.7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7" s="8" customFormat="1" ht="94.5">
      <c r="A5" s="68" t="s">
        <v>1</v>
      </c>
      <c r="B5" s="69" t="s">
        <v>26</v>
      </c>
      <c r="C5" s="68" t="s">
        <v>73</v>
      </c>
      <c r="D5" s="68" t="s">
        <v>75</v>
      </c>
      <c r="E5" s="68" t="s">
        <v>74</v>
      </c>
      <c r="F5" s="68" t="s">
        <v>27</v>
      </c>
      <c r="G5" s="68" t="s">
        <v>30</v>
      </c>
      <c r="H5" s="68" t="s">
        <v>28</v>
      </c>
      <c r="I5" s="68" t="s">
        <v>42</v>
      </c>
      <c r="J5" s="68" t="s">
        <v>41</v>
      </c>
      <c r="K5" s="68" t="s">
        <v>43</v>
      </c>
      <c r="L5"/>
      <c r="M5"/>
      <c r="N5"/>
      <c r="O5"/>
      <c r="P5"/>
      <c r="Q5"/>
    </row>
    <row r="6" spans="1:17" s="8" customFormat="1" ht="157.5">
      <c r="A6" s="12">
        <v>1</v>
      </c>
      <c r="B6" s="84" t="s">
        <v>72</v>
      </c>
      <c r="C6" s="74">
        <v>68320</v>
      </c>
      <c r="D6" s="74">
        <v>61000</v>
      </c>
      <c r="E6" s="74">
        <v>75640</v>
      </c>
      <c r="F6" s="74">
        <f t="shared" ref="F6" si="0">ROUND((C6+D6+E6)/3,2)</f>
        <v>68320</v>
      </c>
      <c r="G6" s="21">
        <f>_xlfn.STDEV.S(C6:E6)</f>
        <v>7320</v>
      </c>
      <c r="H6" s="75">
        <f t="shared" ref="H6" si="1">(G6/F6)*100</f>
        <v>10.714285714285714</v>
      </c>
      <c r="I6" s="76" t="s">
        <v>79</v>
      </c>
      <c r="J6" s="73">
        <v>1</v>
      </c>
      <c r="K6" s="82">
        <f t="shared" ref="K6" si="2">F6*J6</f>
        <v>68320</v>
      </c>
      <c r="L6"/>
      <c r="M6"/>
      <c r="N6"/>
      <c r="O6"/>
      <c r="P6"/>
      <c r="Q6"/>
    </row>
    <row r="7" spans="1:17" s="8" customFormat="1" ht="18.75" customHeight="1">
      <c r="A7" s="97" t="s">
        <v>58</v>
      </c>
      <c r="B7" s="98"/>
      <c r="C7" s="98"/>
      <c r="D7" s="98"/>
      <c r="E7" s="98"/>
      <c r="F7" s="98"/>
      <c r="G7" s="98"/>
      <c r="H7" s="98"/>
      <c r="I7" s="98"/>
      <c r="J7" s="99"/>
      <c r="K7" s="83">
        <f>SUM(K6:K6)</f>
        <v>68320</v>
      </c>
      <c r="L7"/>
      <c r="M7"/>
      <c r="N7"/>
      <c r="O7"/>
      <c r="P7"/>
      <c r="Q7"/>
    </row>
    <row r="8" spans="1:17" s="8" customFormat="1" ht="15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/>
      <c r="M8"/>
      <c r="N8"/>
      <c r="O8"/>
      <c r="P8"/>
      <c r="Q8"/>
    </row>
    <row r="9" spans="1:17" s="8" customFormat="1" ht="34.5" customHeight="1">
      <c r="A9" s="100" t="s">
        <v>31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/>
      <c r="M9"/>
      <c r="N9"/>
      <c r="O9"/>
      <c r="P9"/>
      <c r="Q9"/>
    </row>
    <row r="10" spans="1:17" s="8" customFormat="1" ht="15.75">
      <c r="A10" s="70" t="s">
        <v>32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/>
      <c r="M10"/>
      <c r="N10"/>
      <c r="O10"/>
      <c r="P10"/>
      <c r="Q10"/>
    </row>
    <row r="11" spans="1:17" s="8" customFormat="1" ht="43.5" customHeight="1">
      <c r="A11" s="70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7" s="8" customFormat="1" ht="15.75">
      <c r="A12" s="70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7" s="8" customFormat="1" ht="15.75">
      <c r="A13" s="70"/>
      <c r="B13" s="70" t="s">
        <v>33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7" s="8" customFormat="1" ht="48" customHeight="1">
      <c r="A14" s="70"/>
      <c r="B14" s="37"/>
      <c r="C14" s="70" t="s">
        <v>34</v>
      </c>
      <c r="D14" s="37"/>
      <c r="E14" s="37"/>
      <c r="F14" s="37"/>
      <c r="G14" s="37"/>
      <c r="H14" s="37"/>
      <c r="I14" s="37"/>
      <c r="J14" s="37"/>
      <c r="K14" s="37"/>
    </row>
    <row r="15" spans="1:17" s="8" customFormat="1" ht="15.75">
      <c r="A15" s="70"/>
      <c r="B15" s="70" t="s">
        <v>35</v>
      </c>
      <c r="C15" s="70"/>
      <c r="D15" s="37"/>
      <c r="E15" s="37"/>
      <c r="F15" s="37"/>
      <c r="G15" s="37"/>
      <c r="H15" s="37"/>
      <c r="I15" s="37"/>
      <c r="J15" s="37"/>
      <c r="K15" s="37"/>
    </row>
    <row r="16" spans="1:17" s="8" customFormat="1" ht="15.75">
      <c r="A16" s="70"/>
      <c r="B16" s="70" t="s">
        <v>36</v>
      </c>
      <c r="C16" s="70"/>
      <c r="D16" s="37"/>
      <c r="E16" s="37"/>
      <c r="F16" s="37"/>
      <c r="G16" s="37"/>
      <c r="H16" s="37"/>
      <c r="I16" s="37"/>
      <c r="J16" s="37"/>
      <c r="K16" s="37"/>
    </row>
    <row r="17" spans="1:11" s="8" customFormat="1" ht="15.75">
      <c r="A17" s="70"/>
      <c r="B17" s="70" t="s">
        <v>37</v>
      </c>
      <c r="C17" s="70"/>
      <c r="D17" s="37"/>
      <c r="E17" s="37"/>
      <c r="F17" s="37"/>
      <c r="G17" s="37"/>
      <c r="H17" s="37"/>
      <c r="I17" s="37"/>
      <c r="J17" s="37"/>
      <c r="K17" s="37"/>
    </row>
    <row r="18" spans="1:11" s="8" customFormat="1" ht="15.75">
      <c r="A18" s="70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s="8" customFormat="1" ht="19.5" customHeight="1">
      <c r="A19" s="71"/>
      <c r="B19" s="100" t="s">
        <v>38</v>
      </c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 s="8" customFormat="1" ht="51.75" customHeight="1">
      <c r="A20" s="71"/>
      <c r="B20" s="100" t="s">
        <v>77</v>
      </c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 s="8" customFormat="1" ht="39" customHeight="1">
      <c r="A21" s="37"/>
      <c r="B21" s="101" t="s">
        <v>78</v>
      </c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 s="8" customFormat="1" ht="15.75">
      <c r="A22" s="52"/>
      <c r="B22" s="86" t="s">
        <v>44</v>
      </c>
      <c r="C22" s="86"/>
      <c r="D22" s="86"/>
      <c r="E22" s="86"/>
      <c r="F22" s="86"/>
      <c r="G22" s="86"/>
      <c r="H22" s="86"/>
      <c r="I22" s="86"/>
      <c r="J22" s="86"/>
      <c r="K22" s="53"/>
    </row>
    <row r="23" spans="1:11" ht="15.75">
      <c r="A23" s="46"/>
      <c r="B23" s="86" t="s">
        <v>71</v>
      </c>
      <c r="C23" s="86"/>
      <c r="D23" s="86"/>
      <c r="E23" s="86"/>
      <c r="F23" s="86"/>
      <c r="G23" s="86"/>
      <c r="H23" s="86"/>
      <c r="I23" s="86"/>
      <c r="J23" s="86"/>
      <c r="K23" s="53"/>
    </row>
    <row r="24" spans="1:11" ht="15.75">
      <c r="A24" s="46"/>
      <c r="B24" s="86"/>
      <c r="C24" s="86"/>
      <c r="D24" s="86"/>
      <c r="E24" s="86"/>
      <c r="F24" s="86"/>
      <c r="G24" s="86"/>
      <c r="H24" s="86"/>
      <c r="I24" s="86"/>
      <c r="J24" s="86"/>
      <c r="K24" s="53"/>
    </row>
    <row r="25" spans="1:11" ht="15.75">
      <c r="A25" s="46"/>
      <c r="B25" s="86"/>
      <c r="C25" s="86"/>
      <c r="D25" s="72"/>
      <c r="E25" s="72"/>
      <c r="F25" s="72"/>
      <c r="G25" s="72"/>
      <c r="H25" s="72"/>
      <c r="I25" s="72"/>
      <c r="J25" s="72"/>
      <c r="K25" s="53"/>
    </row>
    <row r="26" spans="1:11" ht="15">
      <c r="A26" s="46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5"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1">
    <mergeCell ref="B22:J22"/>
    <mergeCell ref="B23:J23"/>
    <mergeCell ref="B24:J24"/>
    <mergeCell ref="B25:C25"/>
    <mergeCell ref="B2:K2"/>
    <mergeCell ref="A3:K3"/>
    <mergeCell ref="A7:J7"/>
    <mergeCell ref="A9:K9"/>
    <mergeCell ref="B19:K19"/>
    <mergeCell ref="B21:K21"/>
    <mergeCell ref="B20:K20"/>
  </mergeCells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3"/>
  <sheetViews>
    <sheetView workbookViewId="0">
      <selection activeCell="P2" sqref="P2:P13"/>
    </sheetView>
  </sheetViews>
  <sheetFormatPr defaultRowHeight="12.75"/>
  <sheetData>
    <row r="2" spans="3:16" ht="15">
      <c r="C2" s="77">
        <v>2280.65</v>
      </c>
      <c r="D2" s="77"/>
      <c r="E2" s="77"/>
      <c r="F2" s="77"/>
      <c r="G2" s="77"/>
      <c r="H2" s="77"/>
      <c r="I2" s="77"/>
      <c r="J2" s="77"/>
      <c r="K2" s="79">
        <v>2361</v>
      </c>
      <c r="L2" s="79"/>
      <c r="M2" s="79"/>
      <c r="N2" s="79"/>
      <c r="O2" s="79"/>
      <c r="P2" s="81">
        <v>13926.12</v>
      </c>
    </row>
    <row r="3" spans="3:16" ht="15">
      <c r="C3" s="77">
        <v>2960.25</v>
      </c>
      <c r="D3" s="77"/>
      <c r="E3" s="77"/>
      <c r="F3" s="77"/>
      <c r="G3" s="77"/>
      <c r="H3" s="77"/>
      <c r="I3" s="77"/>
      <c r="J3" s="77"/>
      <c r="K3" s="79">
        <v>3074</v>
      </c>
      <c r="L3" s="79"/>
      <c r="M3" s="79"/>
      <c r="N3" s="79"/>
      <c r="O3" s="79"/>
      <c r="P3" s="81">
        <v>18102.939999999999</v>
      </c>
    </row>
    <row r="4" spans="3:16" ht="15">
      <c r="C4" s="77">
        <v>12639.34</v>
      </c>
      <c r="D4" s="77"/>
      <c r="E4" s="77"/>
      <c r="F4" s="77"/>
      <c r="G4" s="77"/>
      <c r="H4" s="77"/>
      <c r="I4" s="77"/>
      <c r="J4" s="77"/>
      <c r="K4" s="79">
        <v>13087</v>
      </c>
      <c r="L4" s="79"/>
      <c r="M4" s="79"/>
      <c r="N4" s="79"/>
      <c r="O4" s="79"/>
      <c r="P4" s="81">
        <v>38589</v>
      </c>
    </row>
    <row r="5" spans="3:16" ht="15">
      <c r="C5" s="77">
        <v>1002.57</v>
      </c>
      <c r="D5" s="77"/>
      <c r="E5" s="77"/>
      <c r="F5" s="77"/>
      <c r="G5" s="77"/>
      <c r="H5" s="77"/>
      <c r="I5" s="77"/>
      <c r="J5" s="77"/>
      <c r="K5" s="79">
        <v>1041</v>
      </c>
      <c r="L5" s="79"/>
      <c r="M5" s="79"/>
      <c r="N5" s="79"/>
      <c r="O5" s="79"/>
      <c r="P5" s="81">
        <v>3065.25</v>
      </c>
    </row>
    <row r="6" spans="3:16" ht="15">
      <c r="C6" s="77">
        <v>9780.91</v>
      </c>
      <c r="D6" s="77"/>
      <c r="E6" s="77"/>
      <c r="F6" s="77"/>
      <c r="G6" s="77"/>
      <c r="H6" s="77"/>
      <c r="I6" s="77"/>
      <c r="J6" s="77"/>
      <c r="K6" s="79">
        <v>10157</v>
      </c>
      <c r="L6" s="79"/>
      <c r="M6" s="79"/>
      <c r="N6" s="79"/>
      <c r="O6" s="79"/>
      <c r="P6" s="81">
        <v>19938.14</v>
      </c>
    </row>
    <row r="7" spans="3:16" ht="15">
      <c r="C7" s="77">
        <v>1270.17</v>
      </c>
      <c r="D7" s="77"/>
      <c r="E7" s="77"/>
      <c r="F7" s="77"/>
      <c r="G7" s="77"/>
      <c r="H7" s="77"/>
      <c r="I7" s="77"/>
      <c r="J7" s="77"/>
      <c r="K7" s="79">
        <v>1315</v>
      </c>
      <c r="L7" s="79"/>
      <c r="M7" s="79"/>
      <c r="N7" s="79"/>
      <c r="O7" s="79"/>
      <c r="P7" s="81">
        <v>2585.2800000000002</v>
      </c>
    </row>
    <row r="8" spans="3:16" ht="15">
      <c r="C8" s="78">
        <v>884.69</v>
      </c>
      <c r="D8" s="78"/>
      <c r="E8" s="78"/>
      <c r="F8" s="78"/>
      <c r="G8" s="78"/>
      <c r="H8" s="78"/>
      <c r="I8" s="78"/>
      <c r="J8" s="78"/>
      <c r="K8" s="80">
        <v>916</v>
      </c>
      <c r="L8" s="80"/>
      <c r="M8" s="80"/>
      <c r="N8" s="80"/>
      <c r="O8" s="80"/>
      <c r="P8" s="81">
        <v>2701.05</v>
      </c>
    </row>
    <row r="9" spans="3:16" ht="15">
      <c r="C9" s="77">
        <v>1003.33</v>
      </c>
      <c r="D9" s="77"/>
      <c r="E9" s="77"/>
      <c r="F9" s="77"/>
      <c r="G9" s="77"/>
      <c r="H9" s="77"/>
      <c r="I9" s="77"/>
      <c r="J9" s="77"/>
      <c r="K9" s="79">
        <v>1039</v>
      </c>
      <c r="L9" s="79"/>
      <c r="M9" s="79"/>
      <c r="N9" s="79"/>
      <c r="O9" s="79"/>
      <c r="P9" s="81">
        <v>3063.25</v>
      </c>
    </row>
    <row r="10" spans="3:16" ht="15">
      <c r="C10" s="77">
        <v>10639.41</v>
      </c>
      <c r="D10" s="77"/>
      <c r="E10" s="77"/>
      <c r="F10" s="77"/>
      <c r="G10" s="77"/>
      <c r="H10" s="77"/>
      <c r="I10" s="77"/>
      <c r="J10" s="77"/>
      <c r="K10" s="79">
        <v>11016</v>
      </c>
      <c r="L10" s="79"/>
      <c r="M10" s="79"/>
      <c r="N10" s="79"/>
      <c r="O10" s="79"/>
      <c r="P10" s="81">
        <v>32483.14</v>
      </c>
    </row>
    <row r="11" spans="3:16" ht="15">
      <c r="C11" s="77">
        <v>3985.14</v>
      </c>
      <c r="D11" s="77"/>
      <c r="E11" s="77"/>
      <c r="F11" s="77"/>
      <c r="G11" s="77"/>
      <c r="H11" s="77"/>
      <c r="I11" s="77"/>
      <c r="J11" s="77"/>
      <c r="K11" s="79">
        <v>4126</v>
      </c>
      <c r="L11" s="79"/>
      <c r="M11" s="79"/>
      <c r="N11" s="79"/>
      <c r="O11" s="79"/>
      <c r="P11" s="81">
        <v>8111.36</v>
      </c>
    </row>
    <row r="12" spans="3:16" ht="15">
      <c r="C12" s="77">
        <v>4698.22</v>
      </c>
      <c r="D12" s="77"/>
      <c r="E12" s="77"/>
      <c r="F12" s="77"/>
      <c r="G12" s="77"/>
      <c r="H12" s="77"/>
      <c r="I12" s="77"/>
      <c r="J12" s="77"/>
      <c r="K12" s="79">
        <v>4865</v>
      </c>
      <c r="L12" s="79"/>
      <c r="M12" s="79"/>
      <c r="N12" s="79"/>
      <c r="O12" s="79"/>
      <c r="P12" s="81">
        <v>28688.22</v>
      </c>
    </row>
    <row r="13" spans="3:16" ht="15">
      <c r="C13" s="77">
        <v>2361.65</v>
      </c>
      <c r="D13" s="77"/>
      <c r="E13" s="77"/>
      <c r="F13" s="77"/>
      <c r="G13" s="77"/>
      <c r="H13" s="77"/>
      <c r="I13" s="77"/>
      <c r="J13" s="77"/>
      <c r="K13" s="79">
        <v>2508</v>
      </c>
      <c r="L13" s="79"/>
      <c r="M13" s="79"/>
      <c r="N13" s="79"/>
      <c r="O13" s="79"/>
      <c r="P13" s="81">
        <v>4806.88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75" zoomScaleNormal="55" zoomScaleSheetLayoutView="75" zoomScalePageLayoutView="70" workbookViewId="0">
      <selection activeCell="L9" sqref="L9"/>
    </sheetView>
  </sheetViews>
  <sheetFormatPr defaultColWidth="9.140625" defaultRowHeight="12.75"/>
  <cols>
    <col min="1" max="1" width="4.7109375" style="1" customWidth="1"/>
    <col min="2" max="2" width="28.5703125" style="1" customWidth="1"/>
    <col min="3" max="3" width="8.85546875" style="1" customWidth="1"/>
    <col min="4" max="4" width="15" style="1" customWidth="1"/>
    <col min="5" max="6" width="14.140625" style="1" customWidth="1"/>
    <col min="7" max="7" width="12.140625" style="1" customWidth="1"/>
    <col min="8" max="8" width="12.7109375" style="35" customWidth="1"/>
    <col min="9" max="9" width="12.7109375" style="1" customWidth="1"/>
    <col min="10" max="10" width="14.85546875" style="1" customWidth="1"/>
    <col min="11" max="11" width="15.140625" style="1" customWidth="1"/>
    <col min="12" max="12" width="14.7109375" style="1" customWidth="1"/>
    <col min="13" max="13" width="15.5703125" style="1" customWidth="1"/>
    <col min="14" max="14" width="24.140625" style="1" customWidth="1"/>
    <col min="15" max="15" width="17.42578125" style="1" customWidth="1"/>
    <col min="16" max="16" width="9.140625" style="1"/>
    <col min="17" max="17" width="17.7109375" style="1" customWidth="1"/>
    <col min="18" max="18" width="19.28515625" style="1" customWidth="1"/>
    <col min="19" max="16384" width="9.140625" style="1"/>
  </cols>
  <sheetData>
    <row r="1" spans="1:14" ht="27" customHeight="1">
      <c r="A1" s="11"/>
      <c r="B1" s="11"/>
      <c r="N1" s="42"/>
    </row>
    <row r="2" spans="1:14" ht="30.6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55.5" customHeight="1">
      <c r="A3" s="10"/>
      <c r="B3" s="115" t="s">
        <v>24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3.5" thickBot="1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27" customFormat="1" ht="65.25" customHeight="1">
      <c r="A5" s="105" t="s">
        <v>1</v>
      </c>
      <c r="B5" s="107" t="s">
        <v>11</v>
      </c>
      <c r="C5" s="107" t="s">
        <v>0</v>
      </c>
      <c r="D5" s="107" t="s">
        <v>2</v>
      </c>
      <c r="E5" s="107"/>
      <c r="F5" s="107"/>
      <c r="G5" s="107"/>
      <c r="H5" s="109" t="s">
        <v>3</v>
      </c>
      <c r="I5" s="111" t="s">
        <v>4</v>
      </c>
      <c r="J5" s="111" t="s">
        <v>5</v>
      </c>
      <c r="K5" s="111"/>
      <c r="L5" s="111"/>
      <c r="M5" s="113" t="s">
        <v>17</v>
      </c>
      <c r="N5" s="26" t="s">
        <v>13</v>
      </c>
    </row>
    <row r="6" spans="1:14" s="27" customFormat="1" ht="115.5" customHeight="1">
      <c r="A6" s="106"/>
      <c r="B6" s="108"/>
      <c r="C6" s="108"/>
      <c r="D6" s="122" t="s">
        <v>12</v>
      </c>
      <c r="E6" s="122"/>
      <c r="F6" s="122"/>
      <c r="G6" s="123"/>
      <c r="H6" s="110"/>
      <c r="I6" s="112"/>
      <c r="J6" s="112" t="s">
        <v>16</v>
      </c>
      <c r="K6" s="112" t="s">
        <v>6</v>
      </c>
      <c r="L6" s="112" t="s">
        <v>10</v>
      </c>
      <c r="M6" s="114"/>
      <c r="N6" s="124"/>
    </row>
    <row r="7" spans="1:14" s="27" customFormat="1" ht="26.25" customHeight="1">
      <c r="A7" s="106"/>
      <c r="B7" s="108"/>
      <c r="C7" s="108"/>
      <c r="D7" s="28" t="s">
        <v>7</v>
      </c>
      <c r="E7" s="28" t="s">
        <v>8</v>
      </c>
      <c r="F7" s="28" t="s">
        <v>9</v>
      </c>
      <c r="G7" s="123"/>
      <c r="H7" s="110"/>
      <c r="I7" s="112"/>
      <c r="J7" s="112"/>
      <c r="K7" s="112"/>
      <c r="L7" s="112"/>
      <c r="M7" s="114"/>
      <c r="N7" s="124"/>
    </row>
    <row r="8" spans="1:14" s="25" customFormat="1" ht="44.25" customHeight="1">
      <c r="A8" s="19">
        <v>1</v>
      </c>
      <c r="B8" s="13">
        <v>2</v>
      </c>
      <c r="C8" s="20">
        <v>3</v>
      </c>
      <c r="D8" s="20">
        <v>4</v>
      </c>
      <c r="E8" s="20">
        <v>5</v>
      </c>
      <c r="F8" s="20">
        <v>6</v>
      </c>
      <c r="G8" s="13" t="s">
        <v>14</v>
      </c>
      <c r="H8" s="31">
        <v>8</v>
      </c>
      <c r="I8" s="14" t="s">
        <v>15</v>
      </c>
      <c r="J8" s="14">
        <v>10</v>
      </c>
      <c r="K8" s="14">
        <v>11</v>
      </c>
      <c r="L8" s="14">
        <v>12</v>
      </c>
      <c r="M8" s="14">
        <v>13</v>
      </c>
      <c r="N8" s="16" t="s">
        <v>18</v>
      </c>
    </row>
    <row r="9" spans="1:14" s="35" customFormat="1" ht="37.5" customHeight="1" thickBot="1">
      <c r="A9" s="29">
        <v>1</v>
      </c>
      <c r="B9" s="36" t="s">
        <v>23</v>
      </c>
      <c r="C9" s="30" t="s">
        <v>19</v>
      </c>
      <c r="D9" s="21">
        <v>43200</v>
      </c>
      <c r="E9" s="21">
        <v>44225</v>
      </c>
      <c r="F9" s="21">
        <v>43800</v>
      </c>
      <c r="G9" s="21">
        <f t="shared" ref="G9:G16" si="0">SUM(D9:F9)</f>
        <v>131225</v>
      </c>
      <c r="H9" s="12">
        <v>2</v>
      </c>
      <c r="I9" s="31">
        <v>3</v>
      </c>
      <c r="J9" s="22">
        <f t="shared" ref="J9:J16" si="1">ROUND(G9/I9,2)</f>
        <v>43741.67</v>
      </c>
      <c r="K9" s="32">
        <f t="shared" ref="K9:K16" si="2">STDEV(D9:F9)</f>
        <v>514.98381851601255</v>
      </c>
      <c r="L9" s="33">
        <f t="shared" ref="L9:L16" si="3">K9/J9</f>
        <v>1.177330034532318E-2</v>
      </c>
      <c r="M9" s="22">
        <f t="shared" ref="M9:M16" si="4">ROUND(((D9*H9)+(E9*H9)+(F9*H9))/(H9*I9),2)</f>
        <v>43741.67</v>
      </c>
      <c r="N9" s="34">
        <f>J9*H9</f>
        <v>87483.34</v>
      </c>
    </row>
    <row r="10" spans="1:14" s="35" customFormat="1" ht="37.5" customHeight="1" thickBot="1">
      <c r="A10" s="29">
        <v>2</v>
      </c>
      <c r="B10" s="36"/>
      <c r="C10" s="30"/>
      <c r="D10" s="21"/>
      <c r="E10" s="21"/>
      <c r="F10" s="21"/>
      <c r="G10" s="21">
        <f t="shared" si="0"/>
        <v>0</v>
      </c>
      <c r="H10" s="12">
        <v>3</v>
      </c>
      <c r="I10" s="31">
        <v>3</v>
      </c>
      <c r="J10" s="22">
        <f t="shared" si="1"/>
        <v>0</v>
      </c>
      <c r="K10" s="32" t="e">
        <f t="shared" si="2"/>
        <v>#DIV/0!</v>
      </c>
      <c r="L10" s="33" t="e">
        <f t="shared" si="3"/>
        <v>#DIV/0!</v>
      </c>
      <c r="M10" s="22">
        <f t="shared" si="4"/>
        <v>0</v>
      </c>
      <c r="N10" s="34">
        <f t="shared" ref="N10:N16" si="5">J10*H10</f>
        <v>0</v>
      </c>
    </row>
    <row r="11" spans="1:14" s="35" customFormat="1" ht="37.5" customHeight="1" thickBot="1">
      <c r="A11" s="29">
        <v>3</v>
      </c>
      <c r="B11" s="36"/>
      <c r="C11" s="30"/>
      <c r="D11" s="21"/>
      <c r="E11" s="21"/>
      <c r="F11" s="21"/>
      <c r="G11" s="21">
        <f t="shared" si="0"/>
        <v>0</v>
      </c>
      <c r="H11" s="12">
        <v>4</v>
      </c>
      <c r="I11" s="31">
        <v>3</v>
      </c>
      <c r="J11" s="22">
        <f t="shared" si="1"/>
        <v>0</v>
      </c>
      <c r="K11" s="32" t="e">
        <f t="shared" si="2"/>
        <v>#DIV/0!</v>
      </c>
      <c r="L11" s="33" t="e">
        <f t="shared" si="3"/>
        <v>#DIV/0!</v>
      </c>
      <c r="M11" s="22">
        <f t="shared" si="4"/>
        <v>0</v>
      </c>
      <c r="N11" s="34">
        <f t="shared" si="5"/>
        <v>0</v>
      </c>
    </row>
    <row r="12" spans="1:14" s="35" customFormat="1" ht="37.5" customHeight="1" thickBot="1">
      <c r="A12" s="29">
        <v>4</v>
      </c>
      <c r="B12" s="36"/>
      <c r="C12" s="30"/>
      <c r="D12" s="21"/>
      <c r="E12" s="21"/>
      <c r="F12" s="21"/>
      <c r="G12" s="21">
        <f t="shared" si="0"/>
        <v>0</v>
      </c>
      <c r="H12" s="12">
        <v>5</v>
      </c>
      <c r="I12" s="31">
        <v>3</v>
      </c>
      <c r="J12" s="22">
        <f t="shared" si="1"/>
        <v>0</v>
      </c>
      <c r="K12" s="32" t="e">
        <f t="shared" si="2"/>
        <v>#DIV/0!</v>
      </c>
      <c r="L12" s="33" t="e">
        <f t="shared" si="3"/>
        <v>#DIV/0!</v>
      </c>
      <c r="M12" s="22">
        <f t="shared" si="4"/>
        <v>0</v>
      </c>
      <c r="N12" s="34">
        <f t="shared" si="5"/>
        <v>0</v>
      </c>
    </row>
    <row r="13" spans="1:14" s="35" customFormat="1" ht="37.5" customHeight="1" thickBot="1">
      <c r="A13" s="29">
        <v>5</v>
      </c>
      <c r="B13" s="36"/>
      <c r="C13" s="30"/>
      <c r="D13" s="21"/>
      <c r="E13" s="21"/>
      <c r="F13" s="21"/>
      <c r="G13" s="21">
        <f t="shared" si="0"/>
        <v>0</v>
      </c>
      <c r="H13" s="12">
        <v>6</v>
      </c>
      <c r="I13" s="31">
        <v>3</v>
      </c>
      <c r="J13" s="22">
        <f t="shared" si="1"/>
        <v>0</v>
      </c>
      <c r="K13" s="32" t="e">
        <f t="shared" si="2"/>
        <v>#DIV/0!</v>
      </c>
      <c r="L13" s="33" t="e">
        <f t="shared" si="3"/>
        <v>#DIV/0!</v>
      </c>
      <c r="M13" s="22">
        <f t="shared" si="4"/>
        <v>0</v>
      </c>
      <c r="N13" s="34">
        <f t="shared" si="5"/>
        <v>0</v>
      </c>
    </row>
    <row r="14" spans="1:14" s="35" customFormat="1" ht="37.5" customHeight="1" thickBot="1">
      <c r="A14" s="29">
        <v>6</v>
      </c>
      <c r="B14" s="36"/>
      <c r="C14" s="30"/>
      <c r="D14" s="21"/>
      <c r="E14" s="21"/>
      <c r="F14" s="21"/>
      <c r="G14" s="21">
        <f t="shared" si="0"/>
        <v>0</v>
      </c>
      <c r="H14" s="12">
        <v>7</v>
      </c>
      <c r="I14" s="31">
        <v>3</v>
      </c>
      <c r="J14" s="22">
        <f t="shared" si="1"/>
        <v>0</v>
      </c>
      <c r="K14" s="32" t="e">
        <f t="shared" si="2"/>
        <v>#DIV/0!</v>
      </c>
      <c r="L14" s="33" t="e">
        <f t="shared" si="3"/>
        <v>#DIV/0!</v>
      </c>
      <c r="M14" s="22">
        <f t="shared" si="4"/>
        <v>0</v>
      </c>
      <c r="N14" s="34">
        <f t="shared" si="5"/>
        <v>0</v>
      </c>
    </row>
    <row r="15" spans="1:14" s="35" customFormat="1" ht="37.5" customHeight="1" thickBot="1">
      <c r="A15" s="29">
        <v>7</v>
      </c>
      <c r="B15" s="36"/>
      <c r="C15" s="30"/>
      <c r="D15" s="21"/>
      <c r="E15" s="21"/>
      <c r="F15" s="21"/>
      <c r="G15" s="21">
        <f t="shared" si="0"/>
        <v>0</v>
      </c>
      <c r="H15" s="12">
        <v>8</v>
      </c>
      <c r="I15" s="31">
        <v>3</v>
      </c>
      <c r="J15" s="22">
        <f t="shared" si="1"/>
        <v>0</v>
      </c>
      <c r="K15" s="32" t="e">
        <f t="shared" si="2"/>
        <v>#DIV/0!</v>
      </c>
      <c r="L15" s="33" t="e">
        <f t="shared" si="3"/>
        <v>#DIV/0!</v>
      </c>
      <c r="M15" s="22">
        <f t="shared" si="4"/>
        <v>0</v>
      </c>
      <c r="N15" s="34">
        <f t="shared" si="5"/>
        <v>0</v>
      </c>
    </row>
    <row r="16" spans="1:14" s="35" customFormat="1" ht="37.5" customHeight="1" thickBot="1">
      <c r="A16" s="29">
        <v>8</v>
      </c>
      <c r="B16" s="36"/>
      <c r="C16" s="30"/>
      <c r="D16" s="21"/>
      <c r="E16" s="21"/>
      <c r="F16" s="21"/>
      <c r="G16" s="21">
        <f t="shared" si="0"/>
        <v>0</v>
      </c>
      <c r="H16" s="12">
        <v>9</v>
      </c>
      <c r="I16" s="31">
        <v>3</v>
      </c>
      <c r="J16" s="22">
        <f t="shared" si="1"/>
        <v>0</v>
      </c>
      <c r="K16" s="32" t="e">
        <f t="shared" si="2"/>
        <v>#DIV/0!</v>
      </c>
      <c r="L16" s="33" t="e">
        <f t="shared" si="3"/>
        <v>#DIV/0!</v>
      </c>
      <c r="M16" s="22">
        <f t="shared" si="4"/>
        <v>0</v>
      </c>
      <c r="N16" s="34">
        <f t="shared" si="5"/>
        <v>0</v>
      </c>
    </row>
    <row r="17" spans="1:18" s="15" customFormat="1" ht="20.25" customHeight="1" thickBot="1">
      <c r="A17" s="118"/>
      <c r="B17" s="119"/>
      <c r="C17" s="120"/>
      <c r="D17" s="120"/>
      <c r="E17" s="120"/>
      <c r="F17" s="120"/>
      <c r="G17" s="121"/>
      <c r="H17" s="121"/>
      <c r="I17" s="121"/>
      <c r="J17" s="121"/>
      <c r="K17" s="121"/>
      <c r="L17" s="121"/>
      <c r="M17" s="121"/>
      <c r="N17" s="24">
        <f>SUM(N9:N9)</f>
        <v>87483.34</v>
      </c>
      <c r="O17" s="17"/>
      <c r="Q17" s="18"/>
      <c r="R17" s="17"/>
    </row>
    <row r="19" spans="1:18" ht="56.25" customHeight="1">
      <c r="A19" s="116" t="s">
        <v>20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8" s="8" customFormat="1" ht="48.75" customHeight="1">
      <c r="A20" s="102" t="s">
        <v>22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</row>
    <row r="21" spans="1:18" s="8" customFormat="1" ht="38.25" customHeight="1">
      <c r="A21" s="102" t="s">
        <v>21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8" s="8" customFormat="1" ht="15.75">
      <c r="A22" s="7"/>
      <c r="B22" s="7"/>
      <c r="E22" s="7"/>
      <c r="G22" s="9"/>
      <c r="H22" s="37"/>
    </row>
    <row r="23" spans="1:18" ht="15.75">
      <c r="A23" s="2"/>
      <c r="B23" s="2"/>
      <c r="C23" s="5"/>
      <c r="D23" s="5"/>
      <c r="E23" s="23"/>
      <c r="F23" s="5"/>
      <c r="G23" s="5"/>
      <c r="H23" s="38"/>
      <c r="I23" s="5"/>
      <c r="J23" s="5"/>
      <c r="K23" s="5"/>
      <c r="L23" s="5"/>
      <c r="M23" s="5"/>
      <c r="N23" s="6"/>
    </row>
    <row r="24" spans="1:18" ht="15.75">
      <c r="A24" s="4"/>
      <c r="B24" s="4"/>
      <c r="C24" s="4"/>
      <c r="D24" s="2"/>
      <c r="E24" s="2"/>
      <c r="F24" s="3"/>
      <c r="G24" s="4"/>
      <c r="H24" s="39"/>
      <c r="I24" s="4"/>
      <c r="J24" s="4"/>
      <c r="K24" s="4"/>
      <c r="L24" s="4"/>
      <c r="M24" s="4"/>
      <c r="N24" s="6"/>
    </row>
    <row r="25" spans="1:18" ht="15.75">
      <c r="A25" s="4"/>
      <c r="B25" s="4"/>
      <c r="C25" s="4"/>
      <c r="D25" s="2"/>
      <c r="E25" s="2"/>
      <c r="F25" s="3"/>
      <c r="G25" s="4"/>
      <c r="H25" s="39"/>
      <c r="I25" s="4"/>
      <c r="J25" s="4"/>
      <c r="K25" s="4"/>
      <c r="L25" s="4"/>
      <c r="M25" s="4"/>
      <c r="N25" s="6"/>
    </row>
    <row r="26" spans="1:18" ht="15.75">
      <c r="A26" s="4"/>
      <c r="B26" s="4"/>
      <c r="C26" s="4"/>
      <c r="D26" s="2"/>
      <c r="E26" s="2"/>
      <c r="F26" s="3"/>
      <c r="G26" s="4"/>
      <c r="H26" s="39"/>
      <c r="I26" s="4"/>
      <c r="J26" s="4"/>
      <c r="K26" s="4"/>
      <c r="L26" s="4"/>
      <c r="M26" s="4"/>
      <c r="N26" s="6"/>
    </row>
    <row r="27" spans="1:18" ht="15.75">
      <c r="A27" s="4"/>
      <c r="B27" s="4"/>
      <c r="C27" s="2"/>
      <c r="D27" s="2"/>
      <c r="E27" s="2"/>
      <c r="F27" s="2"/>
      <c r="G27" s="2"/>
      <c r="H27" s="40"/>
      <c r="I27" s="2"/>
      <c r="J27" s="2"/>
      <c r="K27" s="2"/>
      <c r="L27" s="2"/>
      <c r="M27" s="2"/>
    </row>
    <row r="28" spans="1:18" ht="15.75">
      <c r="A28" s="4"/>
      <c r="B28" s="4"/>
      <c r="C28" s="2"/>
      <c r="D28" s="2"/>
      <c r="E28" s="2"/>
      <c r="F28" s="2"/>
      <c r="G28" s="2"/>
      <c r="H28" s="40"/>
      <c r="I28" s="2"/>
      <c r="J28" s="2"/>
      <c r="K28" s="2"/>
      <c r="L28" s="2"/>
      <c r="M28" s="2"/>
    </row>
    <row r="29" spans="1:18" ht="15.75">
      <c r="A29" s="2"/>
      <c r="B29" s="2"/>
      <c r="C29" s="2"/>
      <c r="D29" s="2"/>
      <c r="E29" s="2"/>
      <c r="F29" s="3"/>
      <c r="G29" s="2"/>
      <c r="H29" s="40"/>
      <c r="I29" s="2"/>
      <c r="J29" s="2"/>
      <c r="K29" s="2"/>
      <c r="L29" s="2"/>
      <c r="M29" s="2"/>
    </row>
    <row r="30" spans="1:18" ht="15.75">
      <c r="A30" s="2"/>
      <c r="B30" s="2"/>
      <c r="C30" s="2"/>
      <c r="D30" s="2"/>
      <c r="E30" s="2"/>
      <c r="F30" s="2"/>
      <c r="G30" s="2"/>
      <c r="H30" s="40"/>
      <c r="I30" s="2"/>
      <c r="J30" s="2"/>
      <c r="K30" s="2"/>
      <c r="L30" s="2"/>
      <c r="M30" s="2"/>
    </row>
    <row r="31" spans="1:18" ht="15.75">
      <c r="A31" s="2"/>
      <c r="B31" s="2"/>
      <c r="C31" s="2"/>
      <c r="D31" s="2"/>
      <c r="E31" s="2"/>
      <c r="F31" s="2"/>
      <c r="G31" s="2"/>
      <c r="H31" s="40"/>
      <c r="I31" s="2"/>
      <c r="J31" s="2"/>
      <c r="K31" s="2"/>
      <c r="L31" s="2"/>
      <c r="M31" s="2"/>
    </row>
    <row r="32" spans="1:18" ht="15">
      <c r="A32" s="6"/>
      <c r="B32" s="6"/>
      <c r="C32" s="6"/>
      <c r="D32" s="6"/>
      <c r="E32" s="6"/>
      <c r="F32" s="6"/>
      <c r="G32" s="6"/>
      <c r="H32" s="41"/>
      <c r="I32" s="6"/>
      <c r="J32" s="6"/>
      <c r="K32" s="6"/>
      <c r="L32" s="6"/>
      <c r="M32" s="6"/>
    </row>
    <row r="33" spans="1:13" ht="15">
      <c r="A33" s="6"/>
      <c r="B33" s="6"/>
      <c r="C33" s="6"/>
      <c r="D33" s="6"/>
      <c r="E33" s="6"/>
      <c r="F33" s="6"/>
      <c r="G33" s="6"/>
      <c r="H33" s="41"/>
      <c r="I33" s="6"/>
      <c r="J33" s="6"/>
      <c r="K33" s="6"/>
      <c r="L33" s="6"/>
      <c r="M33" s="6"/>
    </row>
    <row r="34" spans="1:13" ht="15">
      <c r="A34" s="6"/>
      <c r="B34" s="6"/>
      <c r="C34" s="6"/>
      <c r="D34" s="6"/>
      <c r="E34" s="6"/>
      <c r="F34" s="6"/>
      <c r="G34" s="6"/>
      <c r="H34" s="41"/>
      <c r="I34" s="6"/>
      <c r="J34" s="6"/>
      <c r="K34" s="6"/>
      <c r="L34" s="6"/>
      <c r="M34" s="6"/>
    </row>
    <row r="35" spans="1:13" ht="15">
      <c r="A35" s="6"/>
      <c r="B35" s="6"/>
      <c r="C35" s="6"/>
      <c r="D35" s="6"/>
      <c r="E35" s="6"/>
      <c r="F35" s="6"/>
      <c r="G35" s="6"/>
      <c r="H35" s="41"/>
      <c r="I35" s="6"/>
      <c r="J35" s="6"/>
      <c r="K35" s="6"/>
      <c r="L35" s="6"/>
      <c r="M35" s="6"/>
    </row>
  </sheetData>
  <mergeCells count="21">
    <mergeCell ref="J6:J7"/>
    <mergeCell ref="K6:K7"/>
    <mergeCell ref="L6:L7"/>
    <mergeCell ref="N6:N7"/>
    <mergeCell ref="B5:B7"/>
    <mergeCell ref="A21:N21"/>
    <mergeCell ref="A20:N20"/>
    <mergeCell ref="A2:N2"/>
    <mergeCell ref="A5:A7"/>
    <mergeCell ref="C5:C7"/>
    <mergeCell ref="D5:G5"/>
    <mergeCell ref="H5:H7"/>
    <mergeCell ref="I5:I7"/>
    <mergeCell ref="J5:L5"/>
    <mergeCell ref="M5:M7"/>
    <mergeCell ref="B3:N3"/>
    <mergeCell ref="A19:N19"/>
    <mergeCell ref="A4:N4"/>
    <mergeCell ref="A17:M17"/>
    <mergeCell ref="D6:F6"/>
    <mergeCell ref="G6:G7"/>
  </mergeCells>
  <pageMargins left="0.55118110236220474" right="0.39370078740157483" top="0.86614173228346458" bottom="0.43307086614173229" header="0.31496062992125984" footer="0.23622047244094491"/>
  <pageSetup paperSize="9" scale="59" orientation="landscape" r:id="rId1"/>
  <headerFooter alignWithMargins="0"/>
  <rowBreaks count="1" manualBreakCount="1">
    <brk id="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НМЦК</vt:lpstr>
      <vt:lpstr>НМЦК (2)</vt:lpstr>
      <vt:lpstr>НМЦК (3)</vt:lpstr>
      <vt:lpstr>Лист1</vt:lpstr>
      <vt:lpstr>шаблон</vt:lpstr>
      <vt:lpstr>НМЦК!_GoBack</vt:lpstr>
      <vt:lpstr>'НМЦК (2)'!_GoBack</vt:lpstr>
      <vt:lpstr>'НМЦК (3)'!_GoBack</vt:lpstr>
      <vt:lpstr>НМЦК!Область_печати</vt:lpstr>
      <vt:lpstr>'НМЦК (2)'!Область_печати</vt:lpstr>
      <vt:lpstr>'НМЦК (3)'!Область_печати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2024-10-23T12:28:32Z</cp:lastPrinted>
  <dcterms:created xsi:type="dcterms:W3CDTF">1996-10-08T23:32:33Z</dcterms:created>
  <dcterms:modified xsi:type="dcterms:W3CDTF">2026-07-01T08:20:40Z</dcterms:modified>
</cp:coreProperties>
</file>