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S\Desktop\Договоры\2026\"/>
    </mc:Choice>
  </mc:AlternateContent>
  <bookViews>
    <workbookView xWindow="0" yWindow="0" windowWidth="19200" windowHeight="6760" tabRatio="796"/>
  </bookViews>
  <sheets>
    <sheet name="Смена 12ч" sheetId="16" r:id="rId1"/>
  </sheets>
  <calcPr calcId="162913"/>
</workbook>
</file>

<file path=xl/calcChain.xml><?xml version="1.0" encoding="utf-8"?>
<calcChain xmlns="http://schemas.openxmlformats.org/spreadsheetml/2006/main">
  <c r="E71" i="16" l="1"/>
  <c r="J23" i="16"/>
  <c r="J112" i="16" l="1"/>
  <c r="J115" i="16" s="1"/>
  <c r="G41" i="16"/>
  <c r="G50" i="16" l="1"/>
  <c r="F101" i="16"/>
  <c r="F100" i="16"/>
  <c r="F99" i="16"/>
  <c r="F97" i="16"/>
  <c r="F96" i="16"/>
  <c r="G51" i="16" l="1"/>
  <c r="E86" i="16"/>
  <c r="F105" i="16" s="1"/>
  <c r="E85" i="16"/>
  <c r="F104" i="16" s="1"/>
  <c r="E84" i="16"/>
  <c r="J31" i="16"/>
  <c r="J30" i="16"/>
  <c r="H54" i="16" s="1"/>
  <c r="J29" i="16"/>
  <c r="J22" i="16" s="1"/>
  <c r="H53" i="16" s="1"/>
  <c r="F66" i="16" l="1"/>
  <c r="F103" i="16"/>
  <c r="E76" i="16" l="1"/>
  <c r="E79" i="16" s="1"/>
  <c r="E83" i="16" s="1"/>
  <c r="F95" i="16" l="1"/>
  <c r="C88" i="16" l="1"/>
  <c r="F90" i="16" s="1"/>
</calcChain>
</file>

<file path=xl/sharedStrings.xml><?xml version="1.0" encoding="utf-8"?>
<sst xmlns="http://schemas.openxmlformats.org/spreadsheetml/2006/main" count="208" uniqueCount="134">
  <si>
    <t>1. Определение идентификатора поста u:</t>
  </si>
  <si>
    <t>№u</t>
  </si>
  <si>
    <t>2. Определение общих используемых параметров</t>
  </si>
  <si>
    <t>Константа</t>
  </si>
  <si>
    <t>Наименование</t>
  </si>
  <si>
    <t>Порядок расчета или исходные данные</t>
  </si>
  <si>
    <t>Ед. изм</t>
  </si>
  <si>
    <t>Определение количества постов охраны исходя из количества зданий (филиалов)</t>
  </si>
  <si>
    <t>пост</t>
  </si>
  <si>
    <t>МРОТ</t>
  </si>
  <si>
    <t>Минимальный размер оплаты труда</t>
  </si>
  <si>
    <t>руб.</t>
  </si>
  <si>
    <t>I_инфл</t>
  </si>
  <si>
    <t>Индекс потребительских цен</t>
  </si>
  <si>
    <t>НДС</t>
  </si>
  <si>
    <t>Налог на добавленную стоимость</t>
  </si>
  <si>
    <t>%</t>
  </si>
  <si>
    <t>Y</t>
  </si>
  <si>
    <t>Ставка страховых взносов</t>
  </si>
  <si>
    <t>-</t>
  </si>
  <si>
    <t>Uб</t>
  </si>
  <si>
    <t>Корректирующий коэффициент</t>
  </si>
  <si>
    <t>Uд1</t>
  </si>
  <si>
    <t>Uд2</t>
  </si>
  <si>
    <t>Количество часов работы работника</t>
  </si>
  <si>
    <t>час</t>
  </si>
  <si>
    <t>СНР</t>
  </si>
  <si>
    <t>Среднемесячная норма рабочего времени</t>
  </si>
  <si>
    <t>3. Расчет прямых затрат Сu:</t>
  </si>
  <si>
    <t>Переменная</t>
  </si>
  <si>
    <t>Порядок расчета</t>
  </si>
  <si>
    <t>БЗП</t>
  </si>
  <si>
    <t>Базовая заработная плата</t>
  </si>
  <si>
    <t>МРОТ/СНР</t>
  </si>
  <si>
    <t>Дн</t>
  </si>
  <si>
    <t xml:space="preserve">РО </t>
  </si>
  <si>
    <t>СВ</t>
  </si>
  <si>
    <t>(БЗП+Дн+Двп+РО)*30,2%</t>
  </si>
  <si>
    <t>=</t>
  </si>
  <si>
    <t>руб./час</t>
  </si>
  <si>
    <t>4. Расчет НМЦК:</t>
  </si>
  <si>
    <t>4.1 Расчет общих прямых затрат</t>
  </si>
  <si>
    <t>4.2 Расчет КР (косвенные расходы)</t>
  </si>
  <si>
    <t>КР=</t>
  </si>
  <si>
    <t>* 0,2</t>
  </si>
  <si>
    <t xml:space="preserve">Справочно: </t>
  </si>
  <si>
    <t>(по приказу от 15.02.2021 № 45)</t>
  </si>
  <si>
    <t>руб./чел.час</t>
  </si>
  <si>
    <t>Описание предмета закупки</t>
  </si>
  <si>
    <t>Требуемое заказчику количество и режим работы поста охраны по контракту:</t>
  </si>
  <si>
    <t>Описание</t>
  </si>
  <si>
    <t>U</t>
  </si>
  <si>
    <t>U3</t>
  </si>
  <si>
    <t>8-часовой пост ежедневно</t>
  </si>
  <si>
    <t>n</t>
  </si>
  <si>
    <t>Значение применено на основании п.2 Приказа Федеральной службы войск национальной гвардии Российской Федерации от 15.02.2021 № 45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охранных услуг".</t>
  </si>
  <si>
    <t>Налоговый кодекс</t>
  </si>
  <si>
    <r>
      <rPr>
        <sz val="11"/>
        <rFont val="Times New Roman"/>
        <family val="1"/>
        <charset val="204"/>
      </rPr>
      <t xml:space="preserve">U3=Uб+Uд1+Uд2+Uд.. </t>
    </r>
    <r>
      <rPr>
        <b/>
        <i/>
        <sz val="11"/>
        <rFont val="Times New Roman"/>
        <family val="1"/>
        <charset val="204"/>
      </rPr>
      <t>(сумма Uд не может превышать 0,35)</t>
    </r>
  </si>
  <si>
    <t>Индивидуальный расчет</t>
  </si>
  <si>
    <r>
      <rPr>
        <sz val="11"/>
        <rFont val="Times New Roman"/>
        <family val="1"/>
        <charset val="204"/>
      </rPr>
      <t xml:space="preserve">базовый коэффициент </t>
    </r>
    <r>
      <rPr>
        <b/>
        <u/>
        <sz val="11"/>
        <rFont val="Times New Roman"/>
        <family val="1"/>
        <charset val="204"/>
      </rPr>
      <t>для 8 часового поста</t>
    </r>
    <r>
      <rPr>
        <sz val="11"/>
        <rFont val="Times New Roman"/>
        <family val="1"/>
        <charset val="204"/>
      </rPr>
      <t xml:space="preserve"> (равно 2-0,0417*Количество часов работы поста)</t>
    </r>
  </si>
  <si>
    <t>дополнительный коэффициент для 8 часового поста
(наличие спецсредств у охранника) да = 0,05; нет = 0</t>
  </si>
  <si>
    <t>дополнительный коэффициент для 8 часового поста
(место проведения массовых мероприятий) да = 0,3; нет = 0</t>
  </si>
  <si>
    <t>Ku</t>
  </si>
  <si>
    <t>(20% от БЗП)/Кu</t>
  </si>
  <si>
    <t>Двп</t>
  </si>
  <si>
    <t>(100% от БЗП)/Кu</t>
  </si>
  <si>
    <t>Резерв на отпуск</t>
  </si>
  <si>
    <t>Страховые взносы</t>
  </si>
  <si>
    <t>Сu3 (для 8 часового поста в 2021 - 2023 гг.)=(125,31 + 8,35 + 40,51 + 14,51 + 58,98 )*U3</t>
  </si>
  <si>
    <t>4.3 Расчет П</t>
  </si>
  <si>
    <t>П =</t>
  </si>
  <si>
    <t>Расчет I_инфл</t>
  </si>
  <si>
    <t xml:space="preserve">I_инфл </t>
  </si>
  <si>
    <t>Н(М)ЦК (8 часов) (2021 г.)</t>
  </si>
  <si>
    <t>Н(М)ЦК (8 часов) (2022 г.)</t>
  </si>
  <si>
    <t>Н(М)ЦК (8 часов) (2023 г.)</t>
  </si>
  <si>
    <t>Н(М)ЦК(общ.)</t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</si>
  <si>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24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(2021)</t>
    </r>
  </si>
  <si>
    <t>"+ разделить на количество постов"</t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</si>
  <si>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24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(2022)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</si>
  <si>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24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(2023)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</si>
  <si>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12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(2021)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</si>
  <si>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12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(2022)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</si>
  <si>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12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(2023)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</si>
  <si>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8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(2021)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</si>
  <si>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8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(2022)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</si>
  <si>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8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(2023)</t>
    </r>
  </si>
  <si>
    <t>Цена отдельных этапов исполнения контракта</t>
  </si>
  <si>
    <t>Этап 1</t>
  </si>
  <si>
    <t>Количество часов</t>
  </si>
  <si>
    <t>Цена единицы услуги</t>
  </si>
  <si>
    <t>НМЦК</t>
  </si>
  <si>
    <r>
      <t xml:space="preserve">Использование мобильной группы: </t>
    </r>
    <r>
      <rPr>
        <b/>
        <sz val="11"/>
        <rFont val="Times New Roman"/>
        <family val="1"/>
        <charset val="204"/>
      </rPr>
      <t>Нет;</t>
    </r>
    <r>
      <rPr>
        <sz val="11"/>
        <rFont val="Times New Roman"/>
        <family val="1"/>
        <charset val="204"/>
      </rPr>
      <t xml:space="preserve"> Использование специальных средств: </t>
    </r>
    <r>
      <rPr>
        <b/>
        <sz val="11"/>
        <rFont val="Times New Roman"/>
        <family val="1"/>
        <charset val="204"/>
      </rPr>
      <t xml:space="preserve">Да; </t>
    </r>
    <r>
      <rPr>
        <sz val="11"/>
        <rFont val="Times New Roman"/>
        <family val="1"/>
        <charset val="204"/>
      </rPr>
      <t xml:space="preserve">Наличие оружия у сотрудников охраны: </t>
    </r>
    <r>
      <rPr>
        <b/>
        <sz val="11"/>
        <rFont val="Times New Roman"/>
        <family val="1"/>
        <charset val="204"/>
      </rPr>
      <t>Нет;</t>
    </r>
    <r>
      <rPr>
        <sz val="11"/>
        <rFont val="Times New Roman"/>
        <family val="1"/>
        <charset val="204"/>
      </rPr>
      <t xml:space="preserve"> Наличие оружия у сотрудников мобильной группы: </t>
    </r>
    <r>
      <rPr>
        <b/>
        <sz val="11"/>
        <rFont val="Times New Roman"/>
        <family val="1"/>
        <charset val="204"/>
      </rPr>
      <t>Нет.</t>
    </r>
  </si>
  <si>
    <t>Количество постов: 1</t>
  </si>
  <si>
    <t>U1</t>
  </si>
  <si>
    <t>U1=Uб+Uд1+Uд2+Uд..</t>
  </si>
  <si>
    <t>дополнительный коэффициент 
(наличие спецсредств у охранника) да = 0,05; нет = 0</t>
  </si>
  <si>
    <t>дополнительный коэффициент 
(наличиеслужебного оружия у работника) да = 0,2; нет = 0</t>
  </si>
  <si>
    <t>Uд3</t>
  </si>
  <si>
    <t>дополнительный коэффициент (место проведения массовых мероприятий) да = 0,3; нет = 0</t>
  </si>
  <si>
    <t>Uд4</t>
  </si>
  <si>
    <t>дополнительный коэффициент (объект с требованиями по антитеррористической защищенности) да = 0,1; нет = 0</t>
  </si>
  <si>
    <t>дополнительный коэффициент (наличие допуска к государственной тайне) да = 0,05; нет = 0</t>
  </si>
  <si>
    <t>U2</t>
  </si>
  <si>
    <r>
      <t>U2=Uб+Uд1+Uд2+Uд..</t>
    </r>
    <r>
      <rPr>
        <b/>
        <i/>
        <sz val="11"/>
        <color rgb="FF000000"/>
        <rFont val="Times New Roman"/>
        <family val="1"/>
        <charset val="204"/>
      </rPr>
      <t>(сумма Uд не может превышать 0,35)</t>
    </r>
  </si>
  <si>
    <t xml:space="preserve">доплата за ночные часы:  (только для 24 часовых постов)
</t>
  </si>
  <si>
    <t xml:space="preserve">доплата за выходные и праздничные (только для 24 часовых постов)
</t>
  </si>
  <si>
    <t xml:space="preserve"> </t>
  </si>
  <si>
    <t>Федеральный закон от 19 июня 2000 года N 82-ФЗ "О минимальном размере оплаты труда"</t>
  </si>
  <si>
    <t>Дрк</t>
  </si>
  <si>
    <t>доплата за работу в районах Крайнего севера и приравненных к ним местностях</t>
  </si>
  <si>
    <t>(15% от БЗП)</t>
  </si>
  <si>
    <t>(БЗП+Дн+Двп+Дрк)/12</t>
  </si>
  <si>
    <t>Обоснование начальной (максимальной) цены контракта для определения поставщика (подрядчика, исполнителя) на "Услуги частной охраны (Выставление поста охраны) на объекте муниципальное бюджетное общеобразовательное учреждение "Гимназия №46" города Кирова. Начальная (максимальная) цена контракта (далее -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Федеральной службы войск национальной гвардии Российской Федерации от 15.02.2021 № 45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охранных услуг".</t>
  </si>
  <si>
    <t>9-часовой, суббота, один охранник на посту.</t>
  </si>
  <si>
    <t>П (9 часов) (2025 г.)</t>
  </si>
  <si>
    <t>Срок оказания услуг с 01.09.2026г. По 30.12.2026г.</t>
  </si>
  <si>
    <t>Значение
2026 г.</t>
  </si>
  <si>
    <t xml:space="preserve">(с 01.09.26 по 30.12.2026) 
</t>
  </si>
  <si>
    <t>СНР = 164,33 часа (из производственного календаря на 2026г.)     1972 = 1972/ 12 = 164,33</t>
  </si>
  <si>
    <t>Результат
2026</t>
  </si>
  <si>
    <r>
      <t>Стоимость 10</t>
    </r>
    <r>
      <rPr>
        <b/>
        <u/>
        <sz val="11"/>
        <color theme="1"/>
        <rFont val="Times New Roman"/>
        <family val="1"/>
        <charset val="204"/>
      </rPr>
      <t xml:space="preserve"> часового</t>
    </r>
    <r>
      <rPr>
        <u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поста</t>
    </r>
    <r>
      <rPr>
        <sz val="11"/>
        <color theme="1"/>
        <rFont val="Times New Roman"/>
        <family val="1"/>
        <charset val="204"/>
      </rPr>
      <t xml:space="preserve"> охраны </t>
    </r>
    <r>
      <rPr>
        <b/>
        <u/>
        <sz val="11"/>
        <color theme="1"/>
        <rFont val="Times New Roman"/>
        <family val="1"/>
        <charset val="204"/>
      </rPr>
      <t>чел.- час (2026)</t>
    </r>
  </si>
  <si>
    <t>НДС 22%</t>
  </si>
  <si>
    <t>4.4 Расчет НДС 22%</t>
  </si>
  <si>
    <t>КР1 (2026 г.)</t>
  </si>
  <si>
    <t xml:space="preserve">Общие прямые затраты для 10 ч.поста (2026г.) = </t>
  </si>
  <si>
    <t>Сu (для 10 часового поста в 2026 г.)=</t>
  </si>
  <si>
    <t>10-часовой пост суббота</t>
  </si>
  <si>
    <t>Количество требуемых 10-ти часовых постов охраны по контракту</t>
  </si>
  <si>
    <t>Корректирующий коэффициент (для 10 часового поста)</t>
  </si>
  <si>
    <t>базовый коэффициентдля 10 часового поста = 2-0,0417*10</t>
  </si>
  <si>
    <r>
      <t xml:space="preserve">С учетом изложенного, для соблюдения правил, установленных Постановлением Правительства РФ от 08.02.2017 № 145 "Об утверждении Правил формирования и ведения в единой информационной системе в сфере закупок каталога товаров, работ, услуг для обеспечения государственных и муниципальных нужд и Правил использования каталога товаров, работ, услуг для обеспечения государственных и муниципальных нужд" Заказчиком установлена НМЦК в размере </t>
    </r>
    <r>
      <rPr>
        <b/>
        <sz val="12"/>
        <color rgb="FFFF0000"/>
        <rFont val="Times New Roman"/>
        <family val="1"/>
        <charset val="204"/>
      </rPr>
      <t>(618,43 *140 * 1) НМЦК = 86580,55 руб.</t>
    </r>
    <r>
      <rPr>
        <b/>
        <sz val="12"/>
        <rFont val="Times New Roman"/>
        <family val="1"/>
        <charset val="204"/>
      </rPr>
      <t>,</t>
    </r>
    <r>
      <rPr>
        <sz val="12"/>
        <rFont val="Times New Roman"/>
        <family val="1"/>
        <charset val="204"/>
      </rPr>
      <t xml:space="preserve">  что превышает лимиты бюджетных обязательств заказчика, которые составляют 44296,00 рубля. В соответствии со статьей 72 Бюджетного кодекса Российской Федерации государственные контракты заключаются в соответствии с планом-графиком закупок товаров, работ, услуг для обеспечения государственных (муниципальных) нужд, сформированным и утвержденным в установленном законодательством Российской Федерации о контрактной системе в сфере закупок товаров, работ, услуг для обеспечения государственных и муниципальных нужд порядке, и оплачиваются в пределах лимитов бюджетных обязательств. В связи с превышением НМЦК  лимитов бюджетных обязательств, Заказчиком принято решение о приведении НМЦК в соответствие с выделенными лимитами бюджетных обязательств. Таким образом, начальная (максимальная) цена контракта составит 44296,00 рубля по цене за единицу измерения – 316,40 рублей. </t>
    </r>
    <r>
      <rPr>
        <b/>
        <sz val="12"/>
        <color rgb="FFFF0000"/>
        <rFont val="Times New Roman"/>
        <family val="1"/>
        <charset val="204"/>
      </rPr>
      <t>(44296,00рублей / 140 часа / 1 объект = 316,40 руб.) . НМЦК =44296,00 рублей</t>
    </r>
    <r>
      <rPr>
        <sz val="12"/>
        <rFont val="Times New Roman"/>
        <family val="1"/>
        <charset val="204"/>
      </rPr>
      <t xml:space="preserve">. </t>
    </r>
  </si>
  <si>
    <t>сентябрь-декабрь 2026</t>
  </si>
  <si>
    <t xml:space="preserve">Каталог товаров, работ, услуг содержит позицию под номером 80.10.12.000-00000002 "Услуги частной охраны (Выставление поста охраны)". Единицей измерения услуги является "Человеко-час". Для расчета стоимости единицы измерения "1 человеко-час" необходимо полученную в результате расчетов НМЦК/количество часов работы на 1 объекте, подлежащем охране 86580,33 рублей / 140 часа / 1 объект охраны). Таким образом, цена за единицу измерения составит 618,43 руб. (значение скорректировано до 2 знаков после запятой).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</si>
</sst>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₽&quot;;[Red]\-#,##0.00\ &quot;₽&quot;"/>
    <numFmt numFmtId="164" formatCode="_-* #,##0.00_р_._-;\-* #,##0.00_р_._-;_-* &quot;-&quot;??_р_._-;_-@_-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b/>
      <i/>
      <u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4" fontId="4" fillId="2" borderId="1" xfId="0" applyNumberFormat="1" applyFont="1" applyFill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4" fillId="0" borderId="1" xfId="0" applyFont="1" applyBorder="1" applyAlignment="1" applyProtection="1">
      <alignment horizontal="center" vertical="top"/>
      <protection locked="0"/>
    </xf>
    <xf numFmtId="4" fontId="4" fillId="0" borderId="1" xfId="0" applyNumberFormat="1" applyFont="1" applyBorder="1" applyAlignment="1">
      <alignment horizontal="center" vertical="top"/>
    </xf>
    <xf numFmtId="0" fontId="4" fillId="2" borderId="5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horizontal="right"/>
    </xf>
    <xf numFmtId="4" fontId="4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justify" vertical="center"/>
    </xf>
    <xf numFmtId="4" fontId="4" fillId="0" borderId="0" xfId="0" applyNumberFormat="1" applyFont="1" applyAlignment="1">
      <alignment horizontal="center"/>
    </xf>
    <xf numFmtId="4" fontId="3" fillId="0" borderId="0" xfId="0" applyNumberFormat="1" applyFont="1"/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4" fontId="4" fillId="0" borderId="0" xfId="0" applyNumberFormat="1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4" fontId="12" fillId="2" borderId="0" xfId="0" applyNumberFormat="1" applyFont="1" applyFill="1" applyAlignment="1">
      <alignment horizontal="center" vertical="center"/>
    </xf>
    <xf numFmtId="8" fontId="12" fillId="3" borderId="0" xfId="0" applyNumberFormat="1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center" vertical="center"/>
    </xf>
    <xf numFmtId="8" fontId="12" fillId="2" borderId="0" xfId="0" applyNumberFormat="1" applyFont="1" applyFill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8" fontId="12" fillId="3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4" fillId="3" borderId="0" xfId="0" applyFont="1" applyFill="1"/>
    <xf numFmtId="0" fontId="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top"/>
    </xf>
    <xf numFmtId="4" fontId="2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justify" vertical="center" wrapText="1"/>
    </xf>
    <xf numFmtId="0" fontId="10" fillId="3" borderId="0" xfId="0" applyFont="1" applyFill="1" applyAlignment="1">
      <alignment horizontal="justify" vertical="center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top"/>
    </xf>
    <xf numFmtId="2" fontId="4" fillId="2" borderId="1" xfId="0" applyNumberFormat="1" applyFont="1" applyFill="1" applyBorder="1" applyAlignment="1">
      <alignment horizontal="justify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justify" vertical="center" wrapText="1"/>
    </xf>
    <xf numFmtId="2" fontId="16" fillId="0" borderId="3" xfId="0" applyNumberFormat="1" applyFont="1" applyBorder="1" applyAlignment="1">
      <alignment horizontal="justify" vertical="center" wrapText="1"/>
    </xf>
    <xf numFmtId="2" fontId="16" fillId="0" borderId="4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2" fontId="4" fillId="2" borderId="2" xfId="0" applyNumberFormat="1" applyFont="1" applyFill="1" applyBorder="1" applyAlignment="1">
      <alignment vertical="top" wrapText="1"/>
    </xf>
    <xf numFmtId="2" fontId="4" fillId="2" borderId="3" xfId="0" applyNumberFormat="1" applyFont="1" applyFill="1" applyBorder="1" applyAlignment="1">
      <alignment vertical="top" wrapText="1"/>
    </xf>
    <xf numFmtId="2" fontId="4" fillId="2" borderId="4" xfId="0" applyNumberFormat="1" applyFont="1" applyFill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Финансов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66600</xdr:colOff>
      <xdr:row>36</xdr:row>
      <xdr:rowOff>171360</xdr:rowOff>
    </xdr:from>
    <xdr:to>
      <xdr:col>4</xdr:col>
      <xdr:colOff>749300</xdr:colOff>
      <xdr:row>38</xdr:row>
      <xdr:rowOff>66240</xdr:rowOff>
    </xdr:to>
    <xdr:pic>
      <xdr:nvPicPr>
        <xdr:cNvPr id="2" name="Рисунок 5">
          <a:extLst>
            <a:ext uri="{FF2B5EF4-FFF2-40B4-BE49-F238E27FC236}">
              <a16:creationId xmlns:a16="http://schemas.microsoft.com/office/drawing/2014/main" id="{9C586B86-0B39-4212-A28C-44A6B24A0C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66600" y="9406800"/>
          <a:ext cx="5826200" cy="4206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266760</xdr:colOff>
      <xdr:row>68</xdr:row>
      <xdr:rowOff>719</xdr:rowOff>
    </xdr:from>
    <xdr:to>
      <xdr:col>2</xdr:col>
      <xdr:colOff>246600</xdr:colOff>
      <xdr:row>68</xdr:row>
      <xdr:rowOff>428625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D8314628-ECF2-4938-B35E-79A6FE523574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266760" y="14913059"/>
          <a:ext cx="2380140" cy="42790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104760</xdr:colOff>
      <xdr:row>61</xdr:row>
      <xdr:rowOff>76320</xdr:rowOff>
    </xdr:from>
    <xdr:to>
      <xdr:col>1</xdr:col>
      <xdr:colOff>48223</xdr:colOff>
      <xdr:row>64</xdr:row>
      <xdr:rowOff>135900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CDA7A50F-4582-4924-9EEE-32260876FB9A}"/>
            </a:ext>
          </a:extLst>
        </xdr:cNvPr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104760" y="13807560"/>
          <a:ext cx="1021986" cy="585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495361</xdr:colOff>
      <xdr:row>73</xdr:row>
      <xdr:rowOff>720</xdr:rowOff>
    </xdr:from>
    <xdr:to>
      <xdr:col>3</xdr:col>
      <xdr:colOff>508000</xdr:colOff>
      <xdr:row>74</xdr:row>
      <xdr:rowOff>38100</xdr:rowOff>
    </xdr:to>
    <xdr:pic>
      <xdr:nvPicPr>
        <xdr:cNvPr id="5" name="Рисунок 12">
          <a:extLst>
            <a:ext uri="{FF2B5EF4-FFF2-40B4-BE49-F238E27FC236}">
              <a16:creationId xmlns:a16="http://schemas.microsoft.com/office/drawing/2014/main" id="{2880550F-72C9-4FF6-A23B-2FCC2316A191}"/>
            </a:ext>
          </a:extLst>
        </xdr:cNvPr>
        <xdr:cNvPicPr/>
      </xdr:nvPicPr>
      <xdr:blipFill>
        <a:blip xmlns:r="http://schemas.openxmlformats.org/officeDocument/2006/relationships" r:embed="rId4" cstate="print"/>
        <a:stretch/>
      </xdr:blipFill>
      <xdr:spPr>
        <a:xfrm>
          <a:off x="495361" y="15865560"/>
          <a:ext cx="4310319" cy="4945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57240</xdr:colOff>
      <xdr:row>56</xdr:row>
      <xdr:rowOff>77040</xdr:rowOff>
    </xdr:from>
    <xdr:to>
      <xdr:col>3</xdr:col>
      <xdr:colOff>193828</xdr:colOff>
      <xdr:row>60</xdr:row>
      <xdr:rowOff>12701</xdr:rowOff>
    </xdr:to>
    <xdr:pic>
      <xdr:nvPicPr>
        <xdr:cNvPr id="6" name="Рисунок 2">
          <a:extLst>
            <a:ext uri="{FF2B5EF4-FFF2-40B4-BE49-F238E27FC236}">
              <a16:creationId xmlns:a16="http://schemas.microsoft.com/office/drawing/2014/main" id="{F5CC3105-6CA7-4C8F-9F7E-E7196ADBED1D}"/>
            </a:ext>
          </a:extLst>
        </xdr:cNvPr>
        <xdr:cNvPicPr/>
      </xdr:nvPicPr>
      <xdr:blipFill>
        <a:blip xmlns:r="http://schemas.openxmlformats.org/officeDocument/2006/relationships" r:embed="rId5" cstate="print"/>
        <a:stretch/>
      </xdr:blipFill>
      <xdr:spPr>
        <a:xfrm>
          <a:off x="57240" y="12931980"/>
          <a:ext cx="4438957" cy="636701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6"/>
  <sheetViews>
    <sheetView tabSelected="1" topLeftCell="A2" zoomScale="75" zoomScaleNormal="75" workbookViewId="0">
      <selection activeCell="H67" sqref="H67"/>
    </sheetView>
  </sheetViews>
  <sheetFormatPr defaultRowHeight="14" x14ac:dyDescent="0.3"/>
  <cols>
    <col min="1" max="1" width="15.7265625" style="7" customWidth="1"/>
    <col min="2" max="2" width="19.26953125" style="7" customWidth="1"/>
    <col min="3" max="3" width="27.7265625" style="7" customWidth="1"/>
    <col min="4" max="4" width="12.26953125" style="7" customWidth="1"/>
    <col min="5" max="5" width="13.26953125" style="7" customWidth="1"/>
    <col min="6" max="6" width="20.54296875" style="7" customWidth="1"/>
    <col min="7" max="7" width="21.81640625" style="7" customWidth="1"/>
    <col min="8" max="8" width="19.26953125" style="7" customWidth="1"/>
    <col min="9" max="9" width="18.81640625" style="7" customWidth="1"/>
    <col min="10" max="10" width="15.7265625" style="7" customWidth="1"/>
    <col min="11" max="11" width="1" style="7" customWidth="1"/>
    <col min="12" max="12" width="1.26953125" style="7" customWidth="1"/>
    <col min="13" max="13" width="19.7265625" style="7" customWidth="1"/>
    <col min="14" max="1025" width="9.1796875" style="7" customWidth="1"/>
  </cols>
  <sheetData>
    <row r="1" spans="1:12" ht="87" customHeight="1" x14ac:dyDescent="0.3">
      <c r="A1" s="77" t="s">
        <v>113</v>
      </c>
      <c r="B1" s="77"/>
      <c r="C1" s="77"/>
      <c r="D1" s="77"/>
      <c r="E1" s="77"/>
      <c r="F1" s="77"/>
      <c r="G1" s="77"/>
      <c r="H1" s="77"/>
      <c r="I1" s="77"/>
      <c r="J1" s="77"/>
      <c r="K1" s="6"/>
      <c r="L1" s="6"/>
    </row>
    <row r="3" spans="1:12" x14ac:dyDescent="0.3">
      <c r="A3" s="8" t="s">
        <v>48</v>
      </c>
    </row>
    <row r="4" spans="1:12" x14ac:dyDescent="0.3">
      <c r="A4" s="7" t="s">
        <v>49</v>
      </c>
    </row>
    <row r="5" spans="1:12" x14ac:dyDescent="0.3">
      <c r="A5" s="7" t="s">
        <v>114</v>
      </c>
    </row>
    <row r="6" spans="1:12" x14ac:dyDescent="0.3">
      <c r="A6" s="9" t="s">
        <v>92</v>
      </c>
      <c r="B6" s="9"/>
      <c r="C6" s="9"/>
      <c r="D6" s="9"/>
      <c r="E6" s="9"/>
      <c r="F6" s="9"/>
      <c r="G6" s="9"/>
      <c r="H6" s="9"/>
      <c r="I6" s="9"/>
    </row>
    <row r="7" spans="1:12" x14ac:dyDescent="0.3">
      <c r="A7" s="56" t="s">
        <v>116</v>
      </c>
      <c r="B7" s="56"/>
      <c r="C7" s="56"/>
    </row>
    <row r="8" spans="1:12" x14ac:dyDescent="0.3">
      <c r="A8" s="7" t="s">
        <v>93</v>
      </c>
    </row>
    <row r="9" spans="1:12" ht="7.9" customHeight="1" x14ac:dyDescent="0.3"/>
    <row r="10" spans="1:12" x14ac:dyDescent="0.3">
      <c r="A10" s="7" t="s">
        <v>0</v>
      </c>
    </row>
    <row r="11" spans="1:12" x14ac:dyDescent="0.3">
      <c r="A11" s="10" t="s">
        <v>1</v>
      </c>
      <c r="B11" s="84" t="s">
        <v>50</v>
      </c>
      <c r="C11" s="84"/>
      <c r="D11" s="84"/>
      <c r="E11" s="84"/>
      <c r="F11" s="84"/>
    </row>
    <row r="12" spans="1:12" x14ac:dyDescent="0.3">
      <c r="A12" s="10" t="s">
        <v>51</v>
      </c>
      <c r="B12" s="85" t="s">
        <v>127</v>
      </c>
      <c r="C12" s="85"/>
      <c r="D12" s="85"/>
      <c r="E12" s="85"/>
      <c r="F12" s="85"/>
      <c r="G12" s="11"/>
    </row>
    <row r="13" spans="1:12" hidden="1" x14ac:dyDescent="0.3">
      <c r="A13" s="10" t="s">
        <v>52</v>
      </c>
      <c r="B13" s="85" t="s">
        <v>53</v>
      </c>
      <c r="C13" s="85"/>
      <c r="D13" s="85"/>
      <c r="E13" s="85"/>
      <c r="F13" s="85"/>
      <c r="G13" s="11"/>
    </row>
    <row r="14" spans="1:12" ht="5.5" customHeight="1" x14ac:dyDescent="0.3"/>
    <row r="15" spans="1:12" x14ac:dyDescent="0.3">
      <c r="A15" s="7" t="s">
        <v>2</v>
      </c>
    </row>
    <row r="16" spans="1:12" ht="32.25" customHeight="1" x14ac:dyDescent="0.3">
      <c r="A16" s="12" t="s">
        <v>3</v>
      </c>
      <c r="B16" s="86" t="s">
        <v>4</v>
      </c>
      <c r="C16" s="86"/>
      <c r="D16" s="86"/>
      <c r="E16" s="86"/>
      <c r="F16" s="86" t="s">
        <v>5</v>
      </c>
      <c r="G16" s="86"/>
      <c r="H16" s="86"/>
      <c r="I16" s="12" t="s">
        <v>6</v>
      </c>
      <c r="J16" s="13" t="s">
        <v>117</v>
      </c>
      <c r="K16" s="14"/>
      <c r="L16" s="14"/>
    </row>
    <row r="17" spans="1:13" s="11" customFormat="1" ht="25.9" customHeight="1" x14ac:dyDescent="0.25">
      <c r="A17" s="15" t="s">
        <v>54</v>
      </c>
      <c r="B17" s="78" t="s">
        <v>128</v>
      </c>
      <c r="C17" s="78"/>
      <c r="D17" s="78"/>
      <c r="E17" s="78"/>
      <c r="F17" s="79" t="s">
        <v>7</v>
      </c>
      <c r="G17" s="80"/>
      <c r="H17" s="81"/>
      <c r="I17" s="16" t="s">
        <v>8</v>
      </c>
      <c r="J17" s="16">
        <v>1</v>
      </c>
      <c r="K17" s="17"/>
      <c r="L17" s="17"/>
      <c r="M17" s="5"/>
    </row>
    <row r="18" spans="1:13" ht="47.25" customHeight="1" x14ac:dyDescent="0.3">
      <c r="A18" s="15" t="s">
        <v>9</v>
      </c>
      <c r="B18" s="82" t="s">
        <v>10</v>
      </c>
      <c r="C18" s="82"/>
      <c r="D18" s="82"/>
      <c r="E18" s="82"/>
      <c r="F18" s="83" t="s">
        <v>108</v>
      </c>
      <c r="G18" s="83"/>
      <c r="H18" s="83"/>
      <c r="I18" s="19" t="s">
        <v>11</v>
      </c>
      <c r="J18" s="20">
        <v>27093</v>
      </c>
      <c r="K18" s="21"/>
      <c r="L18" s="21"/>
    </row>
    <row r="19" spans="1:13" ht="103.15" customHeight="1" x14ac:dyDescent="0.3">
      <c r="A19" s="18" t="s">
        <v>12</v>
      </c>
      <c r="B19" s="82" t="s">
        <v>13</v>
      </c>
      <c r="C19" s="82"/>
      <c r="D19" s="82"/>
      <c r="E19" s="82"/>
      <c r="F19" s="83" t="s">
        <v>55</v>
      </c>
      <c r="G19" s="83"/>
      <c r="H19" s="83"/>
      <c r="I19" s="19"/>
      <c r="J19" s="19">
        <v>1</v>
      </c>
      <c r="K19" s="17"/>
      <c r="L19" s="17"/>
    </row>
    <row r="20" spans="1:13" x14ac:dyDescent="0.3">
      <c r="A20" s="15" t="s">
        <v>14</v>
      </c>
      <c r="B20" s="89" t="s">
        <v>15</v>
      </c>
      <c r="C20" s="89"/>
      <c r="D20" s="89"/>
      <c r="E20" s="89"/>
      <c r="F20" s="89" t="s">
        <v>56</v>
      </c>
      <c r="G20" s="89"/>
      <c r="H20" s="89"/>
      <c r="I20" s="16" t="s">
        <v>16</v>
      </c>
      <c r="J20" s="16">
        <v>22</v>
      </c>
      <c r="K20" s="17"/>
      <c r="L20" s="17"/>
    </row>
    <row r="21" spans="1:13" x14ac:dyDescent="0.3">
      <c r="A21" s="15" t="s">
        <v>17</v>
      </c>
      <c r="B21" s="89" t="s">
        <v>18</v>
      </c>
      <c r="C21" s="89"/>
      <c r="D21" s="89"/>
      <c r="E21" s="89"/>
      <c r="F21" s="89" t="s">
        <v>56</v>
      </c>
      <c r="G21" s="89"/>
      <c r="H21" s="89"/>
      <c r="I21" s="16" t="s">
        <v>16</v>
      </c>
      <c r="J21" s="22">
        <v>30.2</v>
      </c>
      <c r="K21" s="17"/>
      <c r="L21" s="17"/>
    </row>
    <row r="22" spans="1:13" ht="16.149999999999999" customHeight="1" x14ac:dyDescent="0.3">
      <c r="A22" s="57" t="s">
        <v>94</v>
      </c>
      <c r="B22" s="90" t="s">
        <v>129</v>
      </c>
      <c r="C22" s="90"/>
      <c r="D22" s="90"/>
      <c r="E22" s="90"/>
      <c r="F22" s="91" t="s">
        <v>95</v>
      </c>
      <c r="G22" s="91"/>
      <c r="H22" s="91"/>
      <c r="I22" s="58" t="s">
        <v>19</v>
      </c>
      <c r="J22" s="59">
        <f>ROUND(J23+J29,2)</f>
        <v>1.73</v>
      </c>
      <c r="K22" s="17"/>
      <c r="L22" s="17"/>
    </row>
    <row r="23" spans="1:13" ht="16.149999999999999" customHeight="1" x14ac:dyDescent="0.3">
      <c r="A23" s="60" t="s">
        <v>20</v>
      </c>
      <c r="B23" s="87" t="s">
        <v>21</v>
      </c>
      <c r="C23" s="87"/>
      <c r="D23" s="87"/>
      <c r="E23" s="87"/>
      <c r="F23" s="92" t="s">
        <v>130</v>
      </c>
      <c r="G23" s="93"/>
      <c r="H23" s="94"/>
      <c r="I23" s="58" t="s">
        <v>19</v>
      </c>
      <c r="J23" s="59">
        <f>ROUND(2-0.0417*10,2)</f>
        <v>1.58</v>
      </c>
      <c r="K23" s="17"/>
      <c r="L23" s="17"/>
    </row>
    <row r="24" spans="1:13" ht="28.5" customHeight="1" x14ac:dyDescent="0.3">
      <c r="A24" s="60" t="s">
        <v>22</v>
      </c>
      <c r="B24" s="87" t="s">
        <v>21</v>
      </c>
      <c r="C24" s="87"/>
      <c r="D24" s="87"/>
      <c r="E24" s="87"/>
      <c r="F24" s="88" t="s">
        <v>96</v>
      </c>
      <c r="G24" s="88"/>
      <c r="H24" s="88"/>
      <c r="I24" s="58" t="s">
        <v>19</v>
      </c>
      <c r="J24" s="58">
        <v>0.05</v>
      </c>
      <c r="K24" s="17"/>
      <c r="L24" s="17"/>
    </row>
    <row r="25" spans="1:13" ht="28.5" customHeight="1" x14ac:dyDescent="0.3">
      <c r="A25" s="60" t="s">
        <v>23</v>
      </c>
      <c r="B25" s="87" t="s">
        <v>21</v>
      </c>
      <c r="C25" s="87"/>
      <c r="D25" s="87"/>
      <c r="E25" s="87"/>
      <c r="F25" s="88" t="s">
        <v>97</v>
      </c>
      <c r="G25" s="88"/>
      <c r="H25" s="88"/>
      <c r="I25" s="58" t="s">
        <v>19</v>
      </c>
      <c r="J25" s="58">
        <v>0</v>
      </c>
      <c r="K25" s="17"/>
      <c r="L25" s="17"/>
    </row>
    <row r="26" spans="1:13" ht="27.65" customHeight="1" x14ac:dyDescent="0.3">
      <c r="A26" s="60" t="s">
        <v>98</v>
      </c>
      <c r="B26" s="87" t="s">
        <v>21</v>
      </c>
      <c r="C26" s="87"/>
      <c r="D26" s="87"/>
      <c r="E26" s="87"/>
      <c r="F26" s="88" t="s">
        <v>99</v>
      </c>
      <c r="G26" s="88"/>
      <c r="H26" s="88"/>
      <c r="I26" s="58" t="s">
        <v>19</v>
      </c>
      <c r="J26" s="58">
        <v>0</v>
      </c>
      <c r="K26" s="17"/>
      <c r="L26" s="17"/>
    </row>
    <row r="27" spans="1:13" ht="27.65" customHeight="1" x14ac:dyDescent="0.3">
      <c r="A27" s="60" t="s">
        <v>100</v>
      </c>
      <c r="B27" s="87" t="s">
        <v>21</v>
      </c>
      <c r="C27" s="87"/>
      <c r="D27" s="87"/>
      <c r="E27" s="87"/>
      <c r="F27" s="88" t="s">
        <v>101</v>
      </c>
      <c r="G27" s="88"/>
      <c r="H27" s="88"/>
      <c r="I27" s="58" t="s">
        <v>19</v>
      </c>
      <c r="J27" s="58">
        <v>0.1</v>
      </c>
      <c r="K27" s="17"/>
      <c r="L27" s="17"/>
    </row>
    <row r="28" spans="1:13" ht="27.65" customHeight="1" x14ac:dyDescent="0.3">
      <c r="B28" s="87" t="s">
        <v>21</v>
      </c>
      <c r="C28" s="87"/>
      <c r="D28" s="87"/>
      <c r="E28" s="87"/>
      <c r="F28" s="88" t="s">
        <v>102</v>
      </c>
      <c r="G28" s="88"/>
      <c r="H28" s="88"/>
      <c r="I28" s="58" t="s">
        <v>19</v>
      </c>
      <c r="J28" s="58">
        <v>0</v>
      </c>
      <c r="K28" s="17"/>
      <c r="L28" s="17"/>
    </row>
    <row r="29" spans="1:13" ht="18.649999999999999" customHeight="1" x14ac:dyDescent="0.3">
      <c r="A29" s="57" t="s">
        <v>103</v>
      </c>
      <c r="B29" s="87" t="s">
        <v>21</v>
      </c>
      <c r="C29" s="87"/>
      <c r="D29" s="87"/>
      <c r="E29" s="87"/>
      <c r="F29" s="88" t="s">
        <v>104</v>
      </c>
      <c r="G29" s="88"/>
      <c r="H29" s="88"/>
      <c r="I29" s="58" t="s">
        <v>19</v>
      </c>
      <c r="J29" s="58">
        <f>SUM(J24:J28)</f>
        <v>0.15000000000000002</v>
      </c>
      <c r="K29" s="17"/>
      <c r="L29" s="17"/>
    </row>
    <row r="30" spans="1:13" ht="30" hidden="1" customHeight="1" x14ac:dyDescent="0.3">
      <c r="A30" s="18" t="s">
        <v>52</v>
      </c>
      <c r="B30" s="89" t="s">
        <v>21</v>
      </c>
      <c r="C30" s="89"/>
      <c r="D30" s="89"/>
      <c r="E30" s="89"/>
      <c r="F30" s="95" t="s">
        <v>57</v>
      </c>
      <c r="G30" s="95"/>
      <c r="H30" s="95"/>
      <c r="I30" s="16" t="s">
        <v>19</v>
      </c>
      <c r="J30" s="16">
        <f>1.67+0.35</f>
        <v>2.02</v>
      </c>
      <c r="K30" s="17"/>
      <c r="L30" s="17"/>
      <c r="M30" s="7" t="s">
        <v>58</v>
      </c>
    </row>
    <row r="31" spans="1:13" ht="33" hidden="1" customHeight="1" x14ac:dyDescent="0.3">
      <c r="A31" s="18" t="s">
        <v>20</v>
      </c>
      <c r="B31" s="89" t="s">
        <v>21</v>
      </c>
      <c r="C31" s="89"/>
      <c r="D31" s="89"/>
      <c r="E31" s="89"/>
      <c r="F31" s="95" t="s">
        <v>59</v>
      </c>
      <c r="G31" s="95"/>
      <c r="H31" s="95"/>
      <c r="I31" s="16" t="s">
        <v>19</v>
      </c>
      <c r="J31" s="23">
        <f>2-(0.0417*8)</f>
        <v>1.6663999999999999</v>
      </c>
      <c r="K31" s="21"/>
      <c r="L31" s="21"/>
    </row>
    <row r="32" spans="1:13" ht="28.5" hidden="1" customHeight="1" x14ac:dyDescent="0.3">
      <c r="A32" s="18" t="s">
        <v>22</v>
      </c>
      <c r="B32" s="89" t="s">
        <v>21</v>
      </c>
      <c r="C32" s="89"/>
      <c r="D32" s="89"/>
      <c r="E32" s="89"/>
      <c r="F32" s="95" t="s">
        <v>60</v>
      </c>
      <c r="G32" s="95"/>
      <c r="H32" s="95"/>
      <c r="I32" s="16" t="s">
        <v>19</v>
      </c>
      <c r="J32" s="16">
        <v>0</v>
      </c>
      <c r="K32" s="17"/>
      <c r="L32" s="17"/>
    </row>
    <row r="33" spans="1:1025" ht="45.75" hidden="1" customHeight="1" x14ac:dyDescent="0.3">
      <c r="A33" s="18" t="s">
        <v>23</v>
      </c>
      <c r="B33" s="89" t="s">
        <v>21</v>
      </c>
      <c r="C33" s="89"/>
      <c r="D33" s="89"/>
      <c r="E33" s="89"/>
      <c r="F33" s="95" t="s">
        <v>61</v>
      </c>
      <c r="G33" s="95"/>
      <c r="H33" s="95"/>
      <c r="I33" s="16" t="s">
        <v>19</v>
      </c>
      <c r="J33" s="16">
        <v>0.3</v>
      </c>
      <c r="K33" s="17"/>
      <c r="L33" s="17"/>
    </row>
    <row r="34" spans="1:1025" ht="15" customHeight="1" x14ac:dyDescent="0.3">
      <c r="A34" s="15" t="s">
        <v>62</v>
      </c>
      <c r="B34" s="89" t="s">
        <v>24</v>
      </c>
      <c r="C34" s="89"/>
      <c r="D34" s="89"/>
      <c r="E34" s="89"/>
      <c r="F34" s="96" t="s">
        <v>118</v>
      </c>
      <c r="G34" s="97"/>
      <c r="H34" s="98"/>
      <c r="I34" s="19" t="s">
        <v>25</v>
      </c>
      <c r="J34" s="61">
        <v>140</v>
      </c>
      <c r="K34" s="17"/>
      <c r="L34" s="17"/>
    </row>
    <row r="35" spans="1:1025" ht="29.5" customHeight="1" x14ac:dyDescent="0.3">
      <c r="A35" s="15" t="s">
        <v>26</v>
      </c>
      <c r="B35" s="89" t="s">
        <v>27</v>
      </c>
      <c r="C35" s="89"/>
      <c r="D35" s="89"/>
      <c r="E35" s="89"/>
      <c r="F35" s="99" t="s">
        <v>119</v>
      </c>
      <c r="G35" s="100"/>
      <c r="H35" s="101"/>
      <c r="I35" s="19" t="s">
        <v>25</v>
      </c>
      <c r="J35" s="19">
        <v>164.33</v>
      </c>
      <c r="K35" s="24"/>
      <c r="L35" s="25"/>
      <c r="M35" s="25"/>
      <c r="N35" s="25"/>
    </row>
    <row r="37" spans="1:1025" x14ac:dyDescent="0.3">
      <c r="A37" s="7" t="s">
        <v>28</v>
      </c>
    </row>
    <row r="38" spans="1:1025" ht="27.75" customHeight="1" x14ac:dyDescent="0.3"/>
    <row r="40" spans="1:1025" ht="28" x14ac:dyDescent="0.3">
      <c r="A40" s="26" t="s">
        <v>29</v>
      </c>
      <c r="B40" s="86" t="s">
        <v>4</v>
      </c>
      <c r="C40" s="86"/>
      <c r="D40" s="86"/>
      <c r="E40" s="86" t="s">
        <v>30</v>
      </c>
      <c r="F40" s="86"/>
      <c r="G40" s="13" t="s">
        <v>120</v>
      </c>
      <c r="H40" s="14"/>
      <c r="I40" s="14"/>
      <c r="AMI40"/>
      <c r="AMJ40"/>
      <c r="AMK40"/>
    </row>
    <row r="41" spans="1:1025" ht="15" customHeight="1" x14ac:dyDescent="0.3">
      <c r="A41" s="27" t="s">
        <v>31</v>
      </c>
      <c r="B41" s="91" t="s">
        <v>32</v>
      </c>
      <c r="C41" s="91"/>
      <c r="D41" s="91"/>
      <c r="E41" s="73" t="s">
        <v>33</v>
      </c>
      <c r="F41" s="73"/>
      <c r="G41" s="54">
        <f>ROUND((J18/J35),2)</f>
        <v>164.87</v>
      </c>
      <c r="H41" s="2"/>
      <c r="I41" s="2"/>
      <c r="AMI41"/>
      <c r="AMJ41"/>
      <c r="AMK41"/>
    </row>
    <row r="42" spans="1:1025" ht="11.5" customHeight="1" x14ac:dyDescent="0.3">
      <c r="A42" s="73" t="s">
        <v>34</v>
      </c>
      <c r="B42" s="91" t="s">
        <v>105</v>
      </c>
      <c r="C42" s="91"/>
      <c r="D42" s="91"/>
      <c r="E42" s="73" t="s">
        <v>63</v>
      </c>
      <c r="F42" s="73"/>
      <c r="G42" s="103">
        <v>0</v>
      </c>
      <c r="H42" s="102"/>
      <c r="I42" s="102"/>
      <c r="AMI42"/>
      <c r="AMJ42"/>
      <c r="AMK42"/>
    </row>
    <row r="43" spans="1:1025" ht="15" customHeight="1" x14ac:dyDescent="0.3">
      <c r="A43" s="73"/>
      <c r="B43" s="73"/>
      <c r="C43" s="91"/>
      <c r="D43" s="91"/>
      <c r="E43" s="73"/>
      <c r="F43" s="73"/>
      <c r="G43" s="103"/>
      <c r="H43" s="102"/>
      <c r="I43" s="102"/>
      <c r="AMI43"/>
      <c r="AMJ43"/>
      <c r="AMK43"/>
    </row>
    <row r="44" spans="1:1025" x14ac:dyDescent="0.3">
      <c r="A44" s="73"/>
      <c r="B44" s="73"/>
      <c r="C44" s="91"/>
      <c r="D44" s="91"/>
      <c r="E44" s="73"/>
      <c r="F44" s="73"/>
      <c r="G44" s="103"/>
      <c r="H44" s="102"/>
      <c r="I44" s="102"/>
      <c r="AMI44"/>
      <c r="AMJ44"/>
      <c r="AMK44"/>
    </row>
    <row r="45" spans="1:1025" x14ac:dyDescent="0.3">
      <c r="A45" s="73"/>
      <c r="B45" s="73"/>
      <c r="C45" s="91"/>
      <c r="D45" s="91"/>
      <c r="E45" s="73"/>
      <c r="F45" s="73"/>
      <c r="G45" s="103"/>
      <c r="H45" s="102"/>
      <c r="I45" s="102"/>
      <c r="AMI45"/>
      <c r="AMJ45"/>
      <c r="AMK45"/>
    </row>
    <row r="46" spans="1:1025" x14ac:dyDescent="0.3">
      <c r="A46" s="73" t="s">
        <v>64</v>
      </c>
      <c r="B46" s="91" t="s">
        <v>106</v>
      </c>
      <c r="C46" s="91"/>
      <c r="D46" s="91"/>
      <c r="E46" s="73" t="s">
        <v>65</v>
      </c>
      <c r="F46" s="73"/>
      <c r="G46" s="103">
        <v>0</v>
      </c>
      <c r="H46" s="29"/>
      <c r="I46" s="30"/>
      <c r="J46" s="30"/>
      <c r="K46" s="30"/>
      <c r="L46" s="30"/>
      <c r="M46" s="31"/>
      <c r="AMI46"/>
      <c r="AMJ46"/>
      <c r="AMK46"/>
    </row>
    <row r="47" spans="1:1025" x14ac:dyDescent="0.3">
      <c r="A47" s="73"/>
      <c r="B47" s="91"/>
      <c r="C47" s="91"/>
      <c r="D47" s="91"/>
      <c r="E47" s="73"/>
      <c r="F47" s="73"/>
      <c r="G47" s="103"/>
      <c r="H47" s="29"/>
      <c r="I47" s="30"/>
      <c r="J47" s="32"/>
      <c r="K47" s="30"/>
      <c r="L47" s="30"/>
      <c r="M47" s="31"/>
      <c r="AMI47"/>
      <c r="AMJ47"/>
      <c r="AMK47"/>
    </row>
    <row r="48" spans="1:1025" ht="15.65" customHeight="1" x14ac:dyDescent="0.3">
      <c r="A48" s="73"/>
      <c r="B48" s="91"/>
      <c r="C48" s="91"/>
      <c r="D48" s="91"/>
      <c r="E48" s="73"/>
      <c r="F48" s="73"/>
      <c r="G48" s="103"/>
      <c r="H48" s="29"/>
      <c r="I48" s="30"/>
      <c r="J48" s="30"/>
      <c r="K48" s="30"/>
      <c r="L48" s="30"/>
      <c r="M48" s="31"/>
      <c r="AMI48"/>
      <c r="AMJ48"/>
      <c r="AMK48"/>
    </row>
    <row r="49" spans="1:1025" ht="30.5" customHeight="1" x14ac:dyDescent="0.3">
      <c r="A49" s="63" t="s">
        <v>109</v>
      </c>
      <c r="B49" s="66" t="s">
        <v>110</v>
      </c>
      <c r="C49" s="67"/>
      <c r="D49" s="68"/>
      <c r="E49" s="69" t="s">
        <v>111</v>
      </c>
      <c r="F49" s="70"/>
      <c r="G49" s="65">
        <v>0</v>
      </c>
      <c r="H49" s="64"/>
      <c r="I49" s="30"/>
      <c r="J49" s="30"/>
      <c r="K49" s="30"/>
      <c r="L49" s="30"/>
      <c r="M49" s="31"/>
      <c r="AMI49"/>
      <c r="AMJ49"/>
      <c r="AMK49"/>
    </row>
    <row r="50" spans="1:1025" ht="15" customHeight="1" x14ac:dyDescent="0.3">
      <c r="A50" s="27" t="s">
        <v>35</v>
      </c>
      <c r="B50" s="73" t="s">
        <v>66</v>
      </c>
      <c r="C50" s="73"/>
      <c r="D50" s="73"/>
      <c r="E50" s="73" t="s">
        <v>112</v>
      </c>
      <c r="F50" s="73"/>
      <c r="G50" s="28">
        <f>ROUND((G41+G49)/12,2)</f>
        <v>13.74</v>
      </c>
      <c r="H50" s="2"/>
      <c r="I50" s="2"/>
      <c r="AMI50"/>
      <c r="AMJ50"/>
      <c r="AMK50"/>
    </row>
    <row r="51" spans="1:1025" ht="17.25" customHeight="1" x14ac:dyDescent="0.3">
      <c r="A51" s="27" t="s">
        <v>36</v>
      </c>
      <c r="B51" s="73" t="s">
        <v>67</v>
      </c>
      <c r="C51" s="73"/>
      <c r="D51" s="73"/>
      <c r="E51" s="73" t="s">
        <v>37</v>
      </c>
      <c r="F51" s="73"/>
      <c r="G51" s="28">
        <f>ROUND((G41+G50+G49)*30.2%,2)</f>
        <v>53.94</v>
      </c>
      <c r="H51" s="2"/>
      <c r="I51" s="2"/>
      <c r="AMI51"/>
      <c r="AMJ51"/>
      <c r="AMK51"/>
    </row>
    <row r="52" spans="1:1025" x14ac:dyDescent="0.3">
      <c r="G52" s="9"/>
      <c r="H52" s="9"/>
      <c r="I52" s="9"/>
      <c r="J52" s="9"/>
    </row>
    <row r="53" spans="1:1025" ht="17.25" customHeight="1" x14ac:dyDescent="0.3">
      <c r="A53" s="74" t="s">
        <v>126</v>
      </c>
      <c r="B53" s="74"/>
      <c r="C53" s="74"/>
      <c r="D53" s="74"/>
      <c r="E53" s="74"/>
      <c r="F53" s="74"/>
      <c r="G53" s="33" t="s">
        <v>38</v>
      </c>
      <c r="H53" s="7">
        <f>ROUND((G41+G42+G46+G50+G51+G49)*J22,2)</f>
        <v>402.31</v>
      </c>
      <c r="I53" s="7" t="s">
        <v>39</v>
      </c>
      <c r="J53" s="34"/>
    </row>
    <row r="54" spans="1:1025" hidden="1" x14ac:dyDescent="0.3">
      <c r="A54" s="7" t="s">
        <v>68</v>
      </c>
      <c r="G54" s="33" t="s">
        <v>38</v>
      </c>
      <c r="H54" s="34">
        <f>(125.31 + 8.35 + 40.51 + 14.51 + 58.98 )*J30</f>
        <v>500.27319999999992</v>
      </c>
      <c r="I54" s="7" t="s">
        <v>39</v>
      </c>
    </row>
    <row r="56" spans="1:1025" x14ac:dyDescent="0.3">
      <c r="A56" s="8" t="s">
        <v>40</v>
      </c>
      <c r="H56" s="34"/>
    </row>
    <row r="61" spans="1:1025" x14ac:dyDescent="0.3">
      <c r="A61" s="8" t="s">
        <v>41</v>
      </c>
    </row>
    <row r="66" spans="1:7" x14ac:dyDescent="0.3">
      <c r="A66" s="8" t="s">
        <v>125</v>
      </c>
      <c r="E66" s="34"/>
      <c r="F66" s="34">
        <f>ROUND((H53*J34)*J17,2)</f>
        <v>56323.4</v>
      </c>
      <c r="G66" s="7" t="s">
        <v>11</v>
      </c>
    </row>
    <row r="67" spans="1:7" ht="10.15" customHeight="1" x14ac:dyDescent="0.3">
      <c r="F67" s="34"/>
    </row>
    <row r="68" spans="1:7" x14ac:dyDescent="0.3">
      <c r="A68" s="8" t="s">
        <v>42</v>
      </c>
    </row>
    <row r="69" spans="1:7" ht="36.75" customHeight="1" x14ac:dyDescent="0.3">
      <c r="A69" s="5" t="s">
        <v>43</v>
      </c>
      <c r="C69" s="35" t="s">
        <v>44</v>
      </c>
    </row>
    <row r="70" spans="1:7" ht="6.65" customHeight="1" x14ac:dyDescent="0.3"/>
    <row r="71" spans="1:7" ht="12.65" customHeight="1" x14ac:dyDescent="0.3">
      <c r="A71" s="8" t="s">
        <v>124</v>
      </c>
      <c r="B71" s="36"/>
      <c r="C71" s="34"/>
      <c r="D71" s="7" t="s">
        <v>38</v>
      </c>
      <c r="E71" s="34">
        <f>ROUND(F66*0.2,2)</f>
        <v>11264.68</v>
      </c>
      <c r="F71" s="7" t="s">
        <v>11</v>
      </c>
    </row>
    <row r="72" spans="1:7" ht="5.5" customHeight="1" x14ac:dyDescent="0.3">
      <c r="B72" s="36"/>
      <c r="C72" s="34"/>
      <c r="E72" s="34"/>
    </row>
    <row r="73" spans="1:7" x14ac:dyDescent="0.3">
      <c r="A73" s="8" t="s">
        <v>69</v>
      </c>
    </row>
    <row r="74" spans="1:7" ht="36" customHeight="1" x14ac:dyDescent="0.3">
      <c r="A74" s="37" t="s">
        <v>70</v>
      </c>
    </row>
    <row r="75" spans="1:7" ht="7.9" customHeight="1" x14ac:dyDescent="0.3"/>
    <row r="76" spans="1:7" x14ac:dyDescent="0.3">
      <c r="A76" s="8" t="s">
        <v>115</v>
      </c>
      <c r="D76" s="7" t="s">
        <v>38</v>
      </c>
      <c r="E76" s="34">
        <f>ROUND((F66+E71)*0.05,2)</f>
        <v>3379.4</v>
      </c>
      <c r="F76" s="7" t="s">
        <v>11</v>
      </c>
    </row>
    <row r="77" spans="1:7" ht="5.5" customHeight="1" x14ac:dyDescent="0.3">
      <c r="C77" s="34"/>
      <c r="E77" s="34"/>
    </row>
    <row r="78" spans="1:7" x14ac:dyDescent="0.3">
      <c r="A78" s="7" t="s">
        <v>71</v>
      </c>
      <c r="C78" s="34"/>
      <c r="E78" s="34"/>
    </row>
    <row r="79" spans="1:7" x14ac:dyDescent="0.3">
      <c r="A79" s="7" t="s">
        <v>72</v>
      </c>
      <c r="C79" s="34"/>
      <c r="D79" s="7" t="s">
        <v>38</v>
      </c>
      <c r="E79" s="34">
        <f>ROUND(((F66+E71+E76)*J19),2)</f>
        <v>70967.48</v>
      </c>
    </row>
    <row r="80" spans="1:7" ht="7.9" customHeight="1" x14ac:dyDescent="0.3"/>
    <row r="81" spans="1:12" x14ac:dyDescent="0.3">
      <c r="A81" s="8" t="s">
        <v>123</v>
      </c>
    </row>
    <row r="82" spans="1:12" ht="7.9" customHeight="1" x14ac:dyDescent="0.3"/>
    <row r="83" spans="1:12" x14ac:dyDescent="0.3">
      <c r="A83" s="8" t="s">
        <v>122</v>
      </c>
      <c r="C83" s="35"/>
      <c r="D83" s="34" t="s">
        <v>38</v>
      </c>
      <c r="E83" s="38">
        <f>ROUND((E79*22%),2)</f>
        <v>15612.85</v>
      </c>
      <c r="F83" s="7" t="s">
        <v>11</v>
      </c>
    </row>
    <row r="84" spans="1:12" hidden="1" x14ac:dyDescent="0.3">
      <c r="A84" s="8" t="s">
        <v>73</v>
      </c>
      <c r="C84" s="34"/>
      <c r="D84" s="34" t="s">
        <v>38</v>
      </c>
      <c r="E84" s="38" t="e">
        <f>(#REF!+#REF!+#REF!)*($J$19/100)+((#REF!+#REF!+#REF!)*($J$19/100))*20%</f>
        <v>#REF!</v>
      </c>
      <c r="F84" s="7" t="s">
        <v>11</v>
      </c>
    </row>
    <row r="85" spans="1:12" hidden="1" x14ac:dyDescent="0.3">
      <c r="A85" s="7" t="s">
        <v>74</v>
      </c>
      <c r="C85" s="34"/>
      <c r="D85" s="34" t="s">
        <v>38</v>
      </c>
      <c r="E85" s="38" t="e">
        <f>(F67+E72+#REF!)*($K$19/100)+((F67+E72+#REF!)*($K$19/100))*20%</f>
        <v>#REF!</v>
      </c>
      <c r="F85" s="7" t="s">
        <v>11</v>
      </c>
    </row>
    <row r="86" spans="1:12" hidden="1" x14ac:dyDescent="0.3">
      <c r="A86" s="7" t="s">
        <v>75</v>
      </c>
      <c r="C86" s="34"/>
      <c r="D86" s="34" t="s">
        <v>38</v>
      </c>
      <c r="E86" s="38" t="e">
        <f>(#REF!+#REF!+#REF!)*($L$19/100)+((#REF!+#REF!+#REF!)*($L$19/100))*20%</f>
        <v>#REF!</v>
      </c>
      <c r="F86" s="7" t="s">
        <v>11</v>
      </c>
    </row>
    <row r="88" spans="1:12" x14ac:dyDescent="0.3">
      <c r="A88" s="8" t="s">
        <v>76</v>
      </c>
      <c r="B88" s="35" t="s">
        <v>38</v>
      </c>
      <c r="C88" s="39">
        <f>ROUND((E79+E83),2)</f>
        <v>86580.33</v>
      </c>
      <c r="D88" s="39" t="s">
        <v>11</v>
      </c>
    </row>
    <row r="89" spans="1:12" x14ac:dyDescent="0.3">
      <c r="A89" s="8"/>
      <c r="B89" s="35"/>
      <c r="C89" s="39"/>
      <c r="D89" s="39"/>
    </row>
    <row r="90" spans="1:12" ht="28" x14ac:dyDescent="0.3">
      <c r="A90" s="75" t="s">
        <v>121</v>
      </c>
      <c r="B90" s="75"/>
      <c r="C90" s="2" t="s">
        <v>46</v>
      </c>
      <c r="D90" s="1"/>
      <c r="E90" s="3" t="s">
        <v>38</v>
      </c>
      <c r="F90" s="4">
        <f>ROUND(C88/J34/J17,2)</f>
        <v>618.42999999999995</v>
      </c>
      <c r="G90" s="1" t="s">
        <v>47</v>
      </c>
    </row>
    <row r="91" spans="1:12" x14ac:dyDescent="0.3">
      <c r="A91" s="55"/>
      <c r="B91" s="55"/>
      <c r="C91" s="2"/>
      <c r="D91" s="1"/>
      <c r="E91" s="3"/>
      <c r="F91" s="62"/>
      <c r="G91" s="1"/>
    </row>
    <row r="92" spans="1:12" ht="73.900000000000006" customHeight="1" x14ac:dyDescent="0.3">
      <c r="A92" s="76" t="s">
        <v>133</v>
      </c>
      <c r="B92" s="76"/>
      <c r="C92" s="76"/>
      <c r="D92" s="76"/>
      <c r="E92" s="76"/>
      <c r="F92" s="76"/>
      <c r="G92" s="76"/>
      <c r="H92" s="76"/>
      <c r="I92" s="76"/>
      <c r="J92" s="76"/>
      <c r="K92" s="40"/>
      <c r="L92" s="40"/>
    </row>
    <row r="93" spans="1:12" ht="15" hidden="1" customHeight="1" x14ac:dyDescent="0.3">
      <c r="A93" s="41" t="s">
        <v>45</v>
      </c>
      <c r="B93" s="42"/>
      <c r="C93" s="42"/>
      <c r="D93" s="42"/>
      <c r="E93" s="42"/>
      <c r="F93" s="42"/>
      <c r="G93" s="42"/>
      <c r="H93" s="42"/>
      <c r="I93" s="42"/>
      <c r="J93" s="42"/>
    </row>
    <row r="94" spans="1:12" ht="15" hidden="1" customHeight="1" x14ac:dyDescent="0.3">
      <c r="A94" s="42"/>
      <c r="B94" s="42"/>
      <c r="C94" s="42"/>
      <c r="D94" s="42"/>
      <c r="E94" s="42"/>
      <c r="F94" s="42"/>
      <c r="G94" s="42"/>
      <c r="H94" s="42"/>
      <c r="I94" s="42"/>
      <c r="J94" s="42"/>
    </row>
    <row r="95" spans="1:12" ht="15" hidden="1" customHeight="1" x14ac:dyDescent="0.3">
      <c r="A95" s="42" t="s">
        <v>77</v>
      </c>
      <c r="B95" s="42"/>
      <c r="C95" s="42"/>
      <c r="D95" s="42"/>
      <c r="E95" s="42" t="s">
        <v>38</v>
      </c>
      <c r="F95" s="43" t="e">
        <f>E83/J21/J5</f>
        <v>#DIV/0!</v>
      </c>
      <c r="G95" s="42" t="s">
        <v>39</v>
      </c>
      <c r="H95" s="42" t="s">
        <v>78</v>
      </c>
      <c r="I95" s="42"/>
      <c r="J95" s="42"/>
    </row>
    <row r="96" spans="1:12" ht="15" hidden="1" customHeight="1" x14ac:dyDescent="0.3">
      <c r="A96" s="42" t="s">
        <v>79</v>
      </c>
      <c r="B96" s="42"/>
      <c r="C96" s="42"/>
      <c r="D96" s="42"/>
      <c r="E96" s="42" t="s">
        <v>38</v>
      </c>
      <c r="F96" s="43" t="e">
        <f>#REF!/K21/K5</f>
        <v>#REF!</v>
      </c>
      <c r="G96" s="42" t="s">
        <v>39</v>
      </c>
      <c r="H96" s="42" t="s">
        <v>78</v>
      </c>
      <c r="I96" s="42"/>
      <c r="J96" s="42"/>
    </row>
    <row r="97" spans="1:10" ht="15" hidden="1" customHeight="1" x14ac:dyDescent="0.3">
      <c r="A97" s="42" t="s">
        <v>80</v>
      </c>
      <c r="B97" s="42"/>
      <c r="C97" s="42"/>
      <c r="D97" s="42"/>
      <c r="E97" s="42" t="s">
        <v>38</v>
      </c>
      <c r="F97" s="43" t="e">
        <f>#REF!/L21/L5</f>
        <v>#REF!</v>
      </c>
      <c r="G97" s="42" t="s">
        <v>39</v>
      </c>
      <c r="H97" s="42" t="s">
        <v>78</v>
      </c>
      <c r="I97" s="42"/>
      <c r="J97" s="42"/>
    </row>
    <row r="98" spans="1:10" ht="15" hidden="1" customHeight="1" x14ac:dyDescent="0.3">
      <c r="A98" s="42"/>
      <c r="B98" s="42"/>
      <c r="C98" s="42"/>
      <c r="D98" s="42"/>
      <c r="E98" s="42"/>
      <c r="F98" s="43"/>
      <c r="G98" s="42"/>
      <c r="H98" s="42"/>
      <c r="I98" s="42"/>
      <c r="J98" s="42"/>
    </row>
    <row r="99" spans="1:10" ht="15" hidden="1" customHeight="1" x14ac:dyDescent="0.3">
      <c r="A99" s="42" t="s">
        <v>81</v>
      </c>
      <c r="B99" s="42"/>
      <c r="C99" s="42"/>
      <c r="D99" s="42"/>
      <c r="E99" s="42" t="s">
        <v>38</v>
      </c>
      <c r="F99" s="43" t="e">
        <f>#REF!/#REF!/#REF!</f>
        <v>#REF!</v>
      </c>
      <c r="G99" s="42" t="s">
        <v>39</v>
      </c>
      <c r="H99" s="42" t="s">
        <v>78</v>
      </c>
      <c r="I99" s="42"/>
      <c r="J99" s="42"/>
    </row>
    <row r="100" spans="1:10" ht="15" hidden="1" customHeight="1" x14ac:dyDescent="0.3">
      <c r="A100" s="42" t="s">
        <v>82</v>
      </c>
      <c r="B100" s="42"/>
      <c r="C100" s="42"/>
      <c r="D100" s="42"/>
      <c r="E100" s="42" t="s">
        <v>38</v>
      </c>
      <c r="F100" s="43" t="e">
        <f>#REF!/#REF!/#REF!</f>
        <v>#REF!</v>
      </c>
      <c r="G100" s="42" t="s">
        <v>39</v>
      </c>
      <c r="H100" s="42" t="s">
        <v>78</v>
      </c>
      <c r="I100" s="42"/>
      <c r="J100" s="42"/>
    </row>
    <row r="101" spans="1:10" ht="15" hidden="1" customHeight="1" x14ac:dyDescent="0.3">
      <c r="A101" s="42" t="s">
        <v>83</v>
      </c>
      <c r="B101" s="42"/>
      <c r="C101" s="42"/>
      <c r="D101" s="42"/>
      <c r="E101" s="42" t="s">
        <v>38</v>
      </c>
      <c r="F101" s="43" t="e">
        <f>#REF!/#REF!/#REF!</f>
        <v>#REF!</v>
      </c>
      <c r="G101" s="42" t="s">
        <v>39</v>
      </c>
      <c r="H101" s="42" t="s">
        <v>78</v>
      </c>
      <c r="I101" s="42"/>
      <c r="J101" s="42"/>
    </row>
    <row r="102" spans="1:10" ht="15" hidden="1" customHeight="1" x14ac:dyDescent="0.3">
      <c r="A102" s="42"/>
      <c r="B102" s="42"/>
      <c r="C102" s="42"/>
      <c r="D102" s="42"/>
      <c r="E102" s="42"/>
      <c r="F102" s="43"/>
      <c r="G102" s="42"/>
      <c r="H102" s="42"/>
      <c r="I102" s="42"/>
      <c r="J102" s="42"/>
    </row>
    <row r="103" spans="1:10" ht="15" hidden="1" customHeight="1" x14ac:dyDescent="0.3">
      <c r="A103" s="42" t="s">
        <v>84</v>
      </c>
      <c r="B103" s="42"/>
      <c r="C103" s="42"/>
      <c r="D103" s="42"/>
      <c r="E103" s="42" t="s">
        <v>38</v>
      </c>
      <c r="F103" s="43" t="e">
        <f>E84/J22/J6</f>
        <v>#REF!</v>
      </c>
      <c r="G103" s="42" t="s">
        <v>39</v>
      </c>
      <c r="H103" s="42" t="s">
        <v>78</v>
      </c>
      <c r="I103" s="42"/>
      <c r="J103" s="42"/>
    </row>
    <row r="104" spans="1:10" ht="15" hidden="1" customHeight="1" x14ac:dyDescent="0.3">
      <c r="A104" s="42" t="s">
        <v>85</v>
      </c>
      <c r="B104" s="42"/>
      <c r="C104" s="42"/>
      <c r="D104" s="42"/>
      <c r="E104" s="42" t="s">
        <v>38</v>
      </c>
      <c r="F104" s="43" t="e">
        <f>E85/K22/K6</f>
        <v>#REF!</v>
      </c>
      <c r="G104" s="42" t="s">
        <v>39</v>
      </c>
      <c r="H104" s="42" t="s">
        <v>78</v>
      </c>
      <c r="I104" s="42"/>
      <c r="J104" s="42"/>
    </row>
    <row r="105" spans="1:10" ht="15" hidden="1" customHeight="1" x14ac:dyDescent="0.3">
      <c r="A105" s="42" t="s">
        <v>86</v>
      </c>
      <c r="B105" s="42"/>
      <c r="C105" s="42"/>
      <c r="D105" s="42"/>
      <c r="E105" s="42" t="s">
        <v>38</v>
      </c>
      <c r="F105" s="43" t="e">
        <f>E86/L22/L6</f>
        <v>#REF!</v>
      </c>
      <c r="G105" s="42" t="s">
        <v>39</v>
      </c>
      <c r="H105" s="42" t="s">
        <v>78</v>
      </c>
      <c r="I105" s="42"/>
      <c r="J105" s="42"/>
    </row>
    <row r="106" spans="1:10" ht="15" hidden="1" customHeight="1" x14ac:dyDescent="0.3">
      <c r="A106" s="42"/>
      <c r="B106" s="42"/>
      <c r="C106" s="42"/>
      <c r="D106" s="42"/>
      <c r="E106" s="42"/>
      <c r="F106" s="42"/>
      <c r="G106" s="42"/>
      <c r="H106" s="42"/>
      <c r="I106" s="42"/>
      <c r="J106" s="42"/>
    </row>
    <row r="107" spans="1:10" ht="15" hidden="1" customHeight="1" x14ac:dyDescent="0.3">
      <c r="A107" s="42"/>
      <c r="B107" s="42"/>
      <c r="C107" s="42"/>
      <c r="D107" s="42"/>
      <c r="E107" s="42"/>
      <c r="F107" s="42"/>
      <c r="G107" s="42"/>
      <c r="H107" s="42"/>
      <c r="I107" s="42"/>
      <c r="J107" s="42"/>
    </row>
    <row r="108" spans="1:10" ht="13.15" customHeight="1" x14ac:dyDescent="0.3">
      <c r="A108" s="42"/>
      <c r="B108" s="42"/>
      <c r="C108" s="42"/>
      <c r="D108" s="42"/>
      <c r="E108" s="42"/>
      <c r="F108" s="42"/>
      <c r="G108" s="42"/>
      <c r="H108" s="42"/>
      <c r="I108" s="42"/>
      <c r="J108" s="42"/>
    </row>
    <row r="109" spans="1:10" ht="144" customHeight="1" x14ac:dyDescent="0.3">
      <c r="A109" s="76" t="s">
        <v>131</v>
      </c>
      <c r="B109" s="76"/>
      <c r="C109" s="76"/>
      <c r="D109" s="76"/>
      <c r="E109" s="76"/>
      <c r="F109" s="76"/>
      <c r="G109" s="76"/>
      <c r="H109" s="76"/>
      <c r="I109" s="76"/>
      <c r="J109" s="76"/>
    </row>
    <row r="110" spans="1:10" ht="81" customHeight="1" x14ac:dyDescent="0.35">
      <c r="A110" s="71" t="s">
        <v>87</v>
      </c>
      <c r="B110" s="71"/>
      <c r="C110" s="71"/>
      <c r="D110" s="71"/>
      <c r="E110" s="71"/>
      <c r="F110" s="71"/>
      <c r="G110" s="71"/>
      <c r="H110" s="71"/>
      <c r="I110" s="71"/>
      <c r="J110" s="71"/>
    </row>
    <row r="111" spans="1:10" ht="15" customHeight="1" x14ac:dyDescent="0.3"/>
    <row r="112" spans="1:10" x14ac:dyDescent="0.3">
      <c r="A112" s="44" t="s">
        <v>88</v>
      </c>
      <c r="B112" s="1" t="s">
        <v>132</v>
      </c>
      <c r="D112" s="72" t="s">
        <v>89</v>
      </c>
      <c r="E112" s="72"/>
      <c r="F112" s="45">
        <v>140</v>
      </c>
      <c r="G112" s="1" t="s">
        <v>90</v>
      </c>
      <c r="H112" s="46">
        <v>316.39999999999998</v>
      </c>
      <c r="I112" s="1"/>
      <c r="J112" s="47">
        <f>ROUND((F112*H112),2)</f>
        <v>44296</v>
      </c>
    </row>
    <row r="113" spans="1:14" x14ac:dyDescent="0.3">
      <c r="A113" s="44"/>
      <c r="B113" s="1"/>
      <c r="D113" s="1"/>
      <c r="F113" s="48"/>
      <c r="G113" s="1"/>
      <c r="H113" s="46"/>
      <c r="I113" s="1"/>
      <c r="J113" s="47"/>
      <c r="M113" s="34"/>
    </row>
    <row r="114" spans="1:14" x14ac:dyDescent="0.3">
      <c r="A114" s="44"/>
      <c r="B114" s="1"/>
      <c r="D114" s="1"/>
      <c r="F114" s="45"/>
      <c r="G114" s="49"/>
      <c r="H114" s="50"/>
      <c r="I114" s="49"/>
      <c r="J114" s="51"/>
      <c r="M114" s="34"/>
    </row>
    <row r="115" spans="1:14" x14ac:dyDescent="0.3">
      <c r="I115" s="52" t="s">
        <v>91</v>
      </c>
      <c r="J115" s="53">
        <f>SUM(J112:J112)</f>
        <v>44296</v>
      </c>
      <c r="M115" s="34"/>
    </row>
    <row r="116" spans="1:14" x14ac:dyDescent="0.3">
      <c r="N116" s="7" t="s">
        <v>107</v>
      </c>
    </row>
  </sheetData>
  <mergeCells count="70">
    <mergeCell ref="I42:I45"/>
    <mergeCell ref="G46:G48"/>
    <mergeCell ref="A46:A48"/>
    <mergeCell ref="B46:D48"/>
    <mergeCell ref="E46:F48"/>
    <mergeCell ref="A42:A45"/>
    <mergeCell ref="G42:G45"/>
    <mergeCell ref="H42:H45"/>
    <mergeCell ref="B42:D45"/>
    <mergeCell ref="E42:F45"/>
    <mergeCell ref="B35:E35"/>
    <mergeCell ref="F35:H35"/>
    <mergeCell ref="B40:D40"/>
    <mergeCell ref="E40:F40"/>
    <mergeCell ref="B41:D41"/>
    <mergeCell ref="E41:F41"/>
    <mergeCell ref="B32:E32"/>
    <mergeCell ref="F32:H32"/>
    <mergeCell ref="B33:E33"/>
    <mergeCell ref="F33:H33"/>
    <mergeCell ref="B34:E34"/>
    <mergeCell ref="F34:H34"/>
    <mergeCell ref="B29:E29"/>
    <mergeCell ref="F29:H29"/>
    <mergeCell ref="B30:E30"/>
    <mergeCell ref="F30:H30"/>
    <mergeCell ref="B31:E31"/>
    <mergeCell ref="F31:H31"/>
    <mergeCell ref="B26:E26"/>
    <mergeCell ref="F26:H26"/>
    <mergeCell ref="B27:E27"/>
    <mergeCell ref="F27:H27"/>
    <mergeCell ref="B28:E28"/>
    <mergeCell ref="F28:H28"/>
    <mergeCell ref="B25:E25"/>
    <mergeCell ref="F25:H25"/>
    <mergeCell ref="B19:E19"/>
    <mergeCell ref="F19:H19"/>
    <mergeCell ref="B20:E20"/>
    <mergeCell ref="F20:H20"/>
    <mergeCell ref="B21:E21"/>
    <mergeCell ref="F21:H21"/>
    <mergeCell ref="B22:E22"/>
    <mergeCell ref="F22:H22"/>
    <mergeCell ref="B23:E23"/>
    <mergeCell ref="F23:H23"/>
    <mergeCell ref="B24:E24"/>
    <mergeCell ref="F24:H24"/>
    <mergeCell ref="A1:J1"/>
    <mergeCell ref="B17:E17"/>
    <mergeCell ref="F17:H17"/>
    <mergeCell ref="B18:E18"/>
    <mergeCell ref="F18:H18"/>
    <mergeCell ref="B11:F11"/>
    <mergeCell ref="B12:F12"/>
    <mergeCell ref="B16:E16"/>
    <mergeCell ref="F16:H16"/>
    <mergeCell ref="B13:F13"/>
    <mergeCell ref="B49:D49"/>
    <mergeCell ref="E49:F49"/>
    <mergeCell ref="A110:J110"/>
    <mergeCell ref="D112:E112"/>
    <mergeCell ref="E50:F50"/>
    <mergeCell ref="B51:D51"/>
    <mergeCell ref="E51:F51"/>
    <mergeCell ref="A53:F53"/>
    <mergeCell ref="A90:B90"/>
    <mergeCell ref="B50:D50"/>
    <mergeCell ref="A92:J92"/>
    <mergeCell ref="A109:J10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Смена 12ч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Саркисян Наира Валерьевна</dc:creator>
  <cp:lastModifiedBy>Завхоз</cp:lastModifiedBy>
  <cp:lastPrinted>2023-07-25T07:44:04Z</cp:lastPrinted>
  <dcterms:created xsi:type="dcterms:W3CDTF">2022-04-12T07:32:35Z</dcterms:created>
  <dcterms:modified xsi:type="dcterms:W3CDTF">2026-08-23T19:16:04Z</dcterms:modified>
</cp:coreProperties>
</file>