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1905C1B9-C3F2-4461-9E45-2DAFFBCD92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.10.2026-31.12.2026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7" l="1"/>
  <c r="F35" i="7"/>
  <c r="F28" i="7"/>
  <c r="E27" i="7"/>
  <c r="F26" i="7" s="1"/>
  <c r="F22" i="7"/>
  <c r="F14" i="7"/>
  <c r="F18" i="7" s="1"/>
  <c r="F21" i="7" l="1"/>
  <c r="F23" i="7" s="1"/>
  <c r="F25" i="7" s="1"/>
  <c r="F34" i="7" s="1"/>
  <c r="F37" i="7" l="1"/>
  <c r="F38" i="7" l="1"/>
  <c r="F41" i="7" s="1"/>
  <c r="F43" i="7" l="1"/>
  <c r="F44" i="7" s="1"/>
  <c r="F48" i="7" s="1"/>
</calcChain>
</file>

<file path=xl/sharedStrings.xml><?xml version="1.0" encoding="utf-8"?>
<sst xmlns="http://schemas.openxmlformats.org/spreadsheetml/2006/main" count="159" uniqueCount="102">
  <si>
    <t>№ п/п</t>
  </si>
  <si>
    <t>Сокращенное наименование показателя</t>
  </si>
  <si>
    <t>Единица измерения</t>
  </si>
  <si>
    <t>Значения, изменяемые заказчиком</t>
  </si>
  <si>
    <t>Значения, не изменяемые заказчиком</t>
  </si>
  <si>
    <t>Пояснения</t>
  </si>
  <si>
    <t>Минимальный размер оплаты труда</t>
  </si>
  <si>
    <t>МРОТ</t>
  </si>
  <si>
    <t>руб/мес</t>
  </si>
  <si>
    <t>х</t>
  </si>
  <si>
    <t>Среднемесячное количество рабочих часов</t>
  </si>
  <si>
    <t>СНР</t>
  </si>
  <si>
    <t>час/мес</t>
  </si>
  <si>
    <t>Базовая заработная плата</t>
  </si>
  <si>
    <t>БЗП</t>
  </si>
  <si>
    <t>руб/час</t>
  </si>
  <si>
    <t>Срок оказания охранных услуг (в месяцах)</t>
  </si>
  <si>
    <t xml:space="preserve"> - </t>
  </si>
  <si>
    <t>мес</t>
  </si>
  <si>
    <t>Режим работы поста
(часов в сутки)</t>
  </si>
  <si>
    <t xml:space="preserve"> -</t>
  </si>
  <si>
    <t>час</t>
  </si>
  <si>
    <t>Период работы поста в ночное время (с 22:00 до 6:00)</t>
  </si>
  <si>
    <t>в случае, если охранные услуги не оказываются в ночное время (с 22:00 до 6:00 часов) указывается значение равное 0</t>
  </si>
  <si>
    <t>Доплата за работу в ночное время</t>
  </si>
  <si>
    <t>Дн</t>
  </si>
  <si>
    <t>Общее количество дней охраны</t>
  </si>
  <si>
    <t>день</t>
  </si>
  <si>
    <t>Количество нерабочих праздничных дней</t>
  </si>
  <si>
    <t>Доплата за работу в выходные  и праздничные дни</t>
  </si>
  <si>
    <t>Двп</t>
  </si>
  <si>
    <t>Доплата за работу в районах Крайнего Севера и приравненных к ним местностях</t>
  </si>
  <si>
    <t>Дрк</t>
  </si>
  <si>
    <t>Резерв на отпуск</t>
  </si>
  <si>
    <t>РО</t>
  </si>
  <si>
    <t>Ставка страховых взносов</t>
  </si>
  <si>
    <t>Y</t>
  </si>
  <si>
    <t>Страховые взносы</t>
  </si>
  <si>
    <t>СВ</t>
  </si>
  <si>
    <t>Корректирующий коэффициент</t>
  </si>
  <si>
    <t>U</t>
  </si>
  <si>
    <t xml:space="preserve">рассчитывается автоматически </t>
  </si>
  <si>
    <t>Базовый коэффициент</t>
  </si>
  <si>
    <t>Uб</t>
  </si>
  <si>
    <t>Дополнительные коэффициенты:</t>
  </si>
  <si>
    <t>Uд</t>
  </si>
  <si>
    <t>Суммарное значение дополнительных коэффициентов не может превышать 0,35</t>
  </si>
  <si>
    <t>Наличие спецсредств</t>
  </si>
  <si>
    <t>при наличии требований устанавливается 0,05</t>
  </si>
  <si>
    <t>Наличие оружия</t>
  </si>
  <si>
    <t>при наличии требований устанавливается 0,2</t>
  </si>
  <si>
    <t>Массовые мероприятия</t>
  </si>
  <si>
    <t>при наличии требований устанавливается 0,3</t>
  </si>
  <si>
    <t>Объект антитеррора</t>
  </si>
  <si>
    <t>при наличии требований устанавливается 0,1</t>
  </si>
  <si>
    <t>Допуск к гостайне</t>
  </si>
  <si>
    <t>Прямые затраты</t>
  </si>
  <si>
    <t>Си=
(БЗП+Дн+Двп+Дрк+РО+СВ)*U</t>
  </si>
  <si>
    <t>Количество часов работы работника по контракту на 1 посту охраны</t>
  </si>
  <si>
    <t>Ки</t>
  </si>
  <si>
    <t>Количество постов охраны</t>
  </si>
  <si>
    <t>n</t>
  </si>
  <si>
    <t>Косвенные расходы</t>
  </si>
  <si>
    <t>КР=
(Си*Ки)*0,2</t>
  </si>
  <si>
    <t>Прибыль</t>
  </si>
  <si>
    <t>П=
((Си*Ки)+КР)*0,05</t>
  </si>
  <si>
    <t>Стоимость выполнения работ по проектированию , монтажу и эксплутационному обслуживанию технических средств охраны и (или) принятие соответствующих мер реагирования на их сигнальную информацию</t>
  </si>
  <si>
    <t>Cтсо</t>
  </si>
  <si>
    <t>Стоимость услуги по защите жизни и здоровья граждан</t>
  </si>
  <si>
    <t>Сзж</t>
  </si>
  <si>
    <t>стоимость указывается без НДС, так как расчет НДС предусмотрен формулой расчета НМЦК (в соответствии с п. 6.2 Порядка, утв. Приказом Росгвардии от 15.02.2021 N 45)</t>
  </si>
  <si>
    <t>Налог на добавленную стоимость</t>
  </si>
  <si>
    <t>НДС</t>
  </si>
  <si>
    <t>Индекс потребительских цен</t>
  </si>
  <si>
    <t>Iинфл</t>
  </si>
  <si>
    <t xml:space="preserve">НМЦК в месяц </t>
  </si>
  <si>
    <t>(Си*Ки)+КР+П)*Iинфл+НДС</t>
  </si>
  <si>
    <t>НМЦК за ед. изм.</t>
  </si>
  <si>
    <t>руб/чел/час</t>
  </si>
  <si>
    <t xml:space="preserve">Количество охранников, одновременно находящихся на посту </t>
  </si>
  <si>
    <t>-</t>
  </si>
  <si>
    <t>чел</t>
  </si>
  <si>
    <t>Объем оказания услуг</t>
  </si>
  <si>
    <t>чел/час</t>
  </si>
  <si>
    <t>Итого общая НМЦК контракта составляет (руб.):</t>
  </si>
  <si>
    <t>количество нерабочих праздничных дней за весь срок оказания охранных услуг (согласно производственному календарю)</t>
  </si>
  <si>
    <t xml:space="preserve">Uб = 1 - пост охраны в составе 1 работника с режимом работы 24 часа
Uб = 1,5 - пост охраны в составе 1 работника с режимом работы 12 часов
Uб = 2-0,0417*количество часов работы поста - пост охраны в составе 1 работника с режимом работы, отличным от 24 и 12 ч (но не более 24 ч и не менее 3 ч ) </t>
  </si>
  <si>
    <t>принимается равным 1, если расчет НМЦК и начало срока действия контракта приходятся на один календарный год, иначе рассчитывается как средне арифметическое между индексами на каждый год срока действия контракта в соответствии с ПП РФ от 14.11.2015 №1234</t>
  </si>
  <si>
    <t>количество дней за весь срок оказания охранных услуг</t>
  </si>
  <si>
    <t>Согласно действующего Порядка при осуществлении закупки охранных услуг НМЦК определяется по формуле, в соответствии с приказом Росгвардии № 45:</t>
  </si>
  <si>
    <t>Заместитель директора</t>
  </si>
  <si>
    <t>Н.В.Исупова</t>
  </si>
  <si>
    <t>Утверждаю директор МБУ "Дворец культуры п. Дороничи"</t>
  </si>
  <si>
    <t>_________________________ И.В.Мартынова</t>
  </si>
  <si>
    <t>МП</t>
  </si>
  <si>
    <r>
      <rPr>
        <u/>
        <sz val="10"/>
        <color theme="1"/>
        <rFont val="Times New Roman"/>
        <family val="1"/>
        <charset val="204"/>
      </rPr>
      <t>Среднемесячное количество рабочих часов</t>
    </r>
    <r>
      <rPr>
        <sz val="10"/>
        <color theme="1"/>
        <rFont val="Times New Roman"/>
        <family val="1"/>
        <charset val="204"/>
      </rPr>
      <t xml:space="preserve">
Количество рабочих часов в год по производственному календарю на 2026 год для 40-часовой пятидневной раб.нед (с 01.01.2026-31.12.2026)</t>
    </r>
  </si>
  <si>
    <t xml:space="preserve">1. Здание МБУ «ДК п. Дороничи» (Российская Федерация, Кировская область, город Киров, п. Дороничи, ул. Центральная д. 2а).
 - невооруженный пост № 1 - 948 чел. ч. (12 часов*79 дней*1 человек)
</t>
  </si>
  <si>
    <t>Обоснование начальной (максимальной) цены контракта на оказание охранных услуг на период с 01.10.2026г. По 31.12.2026г.</t>
  </si>
  <si>
    <t>"01" июня 2026г.</t>
  </si>
  <si>
    <t>Согласно ч. 2 ст. 72 Бюджетного кодекса Российской Федерации начальная (максимальная) цена контракта определена в пределах доведённых лимитов бюджетных обязательств и составляет   350 760 рублей 00 копеек, в том числе НДС.</t>
  </si>
  <si>
    <t xml:space="preserve">НМЦК расчетная =350 760 рублей 00 копеек ( цена 1 чел./час = 370,00  рублей)                                                                                                                                                                               </t>
  </si>
  <si>
    <t>стоимость указывается без НДС, так как расчет НДС предусмотрен формулой расчета НМЦК (в соответствии с п. 6.1 Порядка, утв. Приказом Росгвардии от 15.02.2021 N 45) Стсо=Ср*Кр+Сп*Кп+Сэо*Кэо+См*Км+Со                                                                                                           (2000,00+2500,0+3500,00)/3=2 500,00 Коэффициент вариации не превышает 33%.                                     Стоимость работ по проектированию, монтажу и эксплуатационному обслуживанию ТСО составляет:             2 500,00*3= 7 500,00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</si>
</sst>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4" fontId="3" fillId="0" borderId="1" xfId="0" applyNumberFormat="1" applyFont="1" applyBorder="1"/>
    <xf numFmtId="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6" fillId="0" borderId="1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vertical="center" wrapText="1"/>
    </xf>
    <xf numFmtId="0" fontId="3" fillId="0" borderId="1" xfId="0" applyFont="1" applyBorder="1"/>
    <xf numFmtId="4" fontId="6" fillId="0" borderId="1" xfId="0" applyNumberFormat="1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4" fontId="7" fillId="0" borderId="1" xfId="0" applyNumberFormat="1" applyFont="1" applyBorder="1"/>
    <xf numFmtId="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3" fillId="0" borderId="0" xfId="0" applyFont="1" applyAlignment="1">
      <alignment wrapText="1"/>
    </xf>
    <xf numFmtId="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6</xdr:row>
      <xdr:rowOff>47625</xdr:rowOff>
    </xdr:from>
    <xdr:to>
      <xdr:col>6</xdr:col>
      <xdr:colOff>5106035</xdr:colOff>
      <xdr:row>9</xdr:row>
      <xdr:rowOff>1905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4D19C62-B4E7-48A0-97B8-0173A0912A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1209675"/>
          <a:ext cx="4505960" cy="5829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920BB-E2BD-4D4A-A15C-2AD90ED10CAA}">
  <sheetPr>
    <pageSetUpPr fitToPage="1"/>
  </sheetPr>
  <dimension ref="A1:G51"/>
  <sheetViews>
    <sheetView tabSelected="1" topLeftCell="A34" workbookViewId="0">
      <selection activeCell="G39" sqref="G39"/>
    </sheetView>
  </sheetViews>
  <sheetFormatPr defaultRowHeight="15" x14ac:dyDescent="0.25"/>
  <cols>
    <col min="1" max="1" width="9.28515625" customWidth="1"/>
    <col min="2" max="2" width="33.5703125" customWidth="1"/>
    <col min="3" max="3" width="17.140625" customWidth="1"/>
    <col min="4" max="4" width="13.28515625" customWidth="1"/>
    <col min="5" max="5" width="22.85546875" customWidth="1"/>
    <col min="6" max="6" width="21.140625" customWidth="1"/>
    <col min="7" max="7" width="82.5703125" customWidth="1"/>
  </cols>
  <sheetData>
    <row r="1" spans="1:7" x14ac:dyDescent="0.25">
      <c r="G1" t="s">
        <v>92</v>
      </c>
    </row>
    <row r="2" spans="1:7" x14ac:dyDescent="0.25">
      <c r="G2" t="s">
        <v>93</v>
      </c>
    </row>
    <row r="3" spans="1:7" x14ac:dyDescent="0.25">
      <c r="G3" t="s">
        <v>98</v>
      </c>
    </row>
    <row r="4" spans="1:7" x14ac:dyDescent="0.25">
      <c r="G4" t="s">
        <v>94</v>
      </c>
    </row>
    <row r="6" spans="1:7" ht="16.5" customHeight="1" x14ac:dyDescent="0.25">
      <c r="A6" s="42" t="s">
        <v>97</v>
      </c>
      <c r="B6" s="43"/>
      <c r="C6" s="43"/>
      <c r="D6" s="43"/>
      <c r="E6" s="43"/>
      <c r="F6" s="43"/>
      <c r="G6" s="43"/>
    </row>
    <row r="7" spans="1:7" ht="16.5" customHeight="1" x14ac:dyDescent="0.25">
      <c r="A7" s="11"/>
      <c r="B7" s="12"/>
      <c r="C7" s="12"/>
      <c r="D7" s="12"/>
      <c r="E7" s="12"/>
      <c r="F7" s="12"/>
      <c r="G7" s="12"/>
    </row>
    <row r="8" spans="1:7" ht="16.5" customHeight="1" x14ac:dyDescent="0.25">
      <c r="A8" s="10" t="s">
        <v>89</v>
      </c>
      <c r="B8" s="12"/>
      <c r="C8" s="12"/>
      <c r="D8" s="12"/>
      <c r="E8" s="12"/>
      <c r="F8" s="12"/>
      <c r="G8" s="12"/>
    </row>
    <row r="9" spans="1:7" ht="16.5" customHeight="1" x14ac:dyDescent="0.25">
      <c r="A9" s="11"/>
      <c r="B9" s="12"/>
      <c r="C9" s="12"/>
      <c r="D9" s="12"/>
      <c r="E9" s="12"/>
      <c r="F9" s="12"/>
      <c r="G9" s="12"/>
    </row>
    <row r="10" spans="1:7" ht="26.25" customHeight="1" x14ac:dyDescent="0.25">
      <c r="A10" s="44" t="s">
        <v>96</v>
      </c>
      <c r="B10" s="45"/>
      <c r="C10" s="45"/>
      <c r="D10" s="45"/>
      <c r="E10" s="45"/>
      <c r="F10" s="45"/>
      <c r="G10" s="45"/>
    </row>
    <row r="11" spans="1:7" ht="38.25" x14ac:dyDescent="0.25">
      <c r="A11" s="13" t="s">
        <v>0</v>
      </c>
      <c r="B11" s="13"/>
      <c r="C11" s="13" t="s">
        <v>1</v>
      </c>
      <c r="D11" s="13" t="s">
        <v>2</v>
      </c>
      <c r="E11" s="13" t="s">
        <v>3</v>
      </c>
      <c r="F11" s="13" t="s">
        <v>4</v>
      </c>
      <c r="G11" s="13" t="s">
        <v>5</v>
      </c>
    </row>
    <row r="12" spans="1:7" x14ac:dyDescent="0.25">
      <c r="A12" s="9">
        <v>1</v>
      </c>
      <c r="B12" s="5" t="s">
        <v>6</v>
      </c>
      <c r="C12" s="5" t="s">
        <v>7</v>
      </c>
      <c r="D12" s="14" t="s">
        <v>8</v>
      </c>
      <c r="E12" s="15" t="s">
        <v>9</v>
      </c>
      <c r="F12" s="16">
        <v>27093</v>
      </c>
      <c r="G12" s="17"/>
    </row>
    <row r="13" spans="1:7" ht="39" x14ac:dyDescent="0.25">
      <c r="A13" s="9">
        <v>2</v>
      </c>
      <c r="B13" s="1" t="s">
        <v>10</v>
      </c>
      <c r="C13" s="1" t="s">
        <v>11</v>
      </c>
      <c r="D13" s="2" t="s">
        <v>12</v>
      </c>
      <c r="E13" s="18">
        <v>164.3</v>
      </c>
      <c r="F13" s="15" t="s">
        <v>9</v>
      </c>
      <c r="G13" s="17" t="s">
        <v>95</v>
      </c>
    </row>
    <row r="14" spans="1:7" x14ac:dyDescent="0.25">
      <c r="A14" s="9">
        <v>3</v>
      </c>
      <c r="B14" s="5" t="s">
        <v>13</v>
      </c>
      <c r="C14" s="5" t="s">
        <v>14</v>
      </c>
      <c r="D14" s="14" t="s">
        <v>15</v>
      </c>
      <c r="E14" s="15" t="s">
        <v>9</v>
      </c>
      <c r="F14" s="16">
        <f>F12/E13</f>
        <v>164.89957395009128</v>
      </c>
      <c r="G14" s="3"/>
    </row>
    <row r="15" spans="1:7" ht="25.5" x14ac:dyDescent="0.25">
      <c r="A15" s="9">
        <v>4</v>
      </c>
      <c r="B15" s="1" t="s">
        <v>16</v>
      </c>
      <c r="C15" s="1" t="s">
        <v>17</v>
      </c>
      <c r="D15" s="8" t="s">
        <v>18</v>
      </c>
      <c r="E15" s="13">
        <v>8</v>
      </c>
      <c r="F15" s="15" t="s">
        <v>9</v>
      </c>
      <c r="G15" s="4"/>
    </row>
    <row r="16" spans="1:7" ht="25.5" x14ac:dyDescent="0.25">
      <c r="A16" s="9">
        <v>5</v>
      </c>
      <c r="B16" s="1" t="s">
        <v>19</v>
      </c>
      <c r="C16" s="2" t="s">
        <v>20</v>
      </c>
      <c r="D16" s="8" t="s">
        <v>21</v>
      </c>
      <c r="E16" s="19">
        <v>12</v>
      </c>
      <c r="F16" s="15" t="s">
        <v>9</v>
      </c>
      <c r="G16" s="3"/>
    </row>
    <row r="17" spans="1:7" ht="26.25" x14ac:dyDescent="0.25">
      <c r="A17" s="9">
        <v>6</v>
      </c>
      <c r="B17" s="1" t="s">
        <v>22</v>
      </c>
      <c r="C17" s="1" t="s">
        <v>17</v>
      </c>
      <c r="D17" s="8" t="s">
        <v>21</v>
      </c>
      <c r="E17" s="20">
        <v>0</v>
      </c>
      <c r="F17" s="15" t="s">
        <v>9</v>
      </c>
      <c r="G17" s="4" t="s">
        <v>23</v>
      </c>
    </row>
    <row r="18" spans="1:7" x14ac:dyDescent="0.25">
      <c r="A18" s="9">
        <v>7</v>
      </c>
      <c r="B18" s="5" t="s">
        <v>24</v>
      </c>
      <c r="C18" s="5" t="s">
        <v>25</v>
      </c>
      <c r="D18" s="21" t="s">
        <v>15</v>
      </c>
      <c r="E18" s="15" t="s">
        <v>9</v>
      </c>
      <c r="F18" s="22">
        <f>F14*20%*(E17/E16)</f>
        <v>0</v>
      </c>
      <c r="G18" s="3"/>
    </row>
    <row r="19" spans="1:7" x14ac:dyDescent="0.25">
      <c r="A19" s="9">
        <v>8</v>
      </c>
      <c r="B19" s="1" t="s">
        <v>26</v>
      </c>
      <c r="C19" s="1" t="s">
        <v>20</v>
      </c>
      <c r="D19" s="23" t="s">
        <v>27</v>
      </c>
      <c r="E19" s="13">
        <v>79</v>
      </c>
      <c r="F19" s="24" t="s">
        <v>9</v>
      </c>
      <c r="G19" s="4" t="s">
        <v>88</v>
      </c>
    </row>
    <row r="20" spans="1:7" ht="26.25" x14ac:dyDescent="0.25">
      <c r="A20" s="9">
        <v>9</v>
      </c>
      <c r="B20" s="1" t="s">
        <v>28</v>
      </c>
      <c r="C20" s="1" t="s">
        <v>20</v>
      </c>
      <c r="D20" s="23" t="s">
        <v>27</v>
      </c>
      <c r="E20" s="13">
        <v>0</v>
      </c>
      <c r="F20" s="24" t="s">
        <v>9</v>
      </c>
      <c r="G20" s="4" t="s">
        <v>85</v>
      </c>
    </row>
    <row r="21" spans="1:7" ht="25.5" x14ac:dyDescent="0.25">
      <c r="A21" s="9">
        <v>10</v>
      </c>
      <c r="B21" s="5" t="s">
        <v>29</v>
      </c>
      <c r="C21" s="5" t="s">
        <v>30</v>
      </c>
      <c r="D21" s="21" t="s">
        <v>15</v>
      </c>
      <c r="E21" s="15" t="s">
        <v>9</v>
      </c>
      <c r="F21" s="22">
        <f>(F14*E16)*(E20/E19)/E16</f>
        <v>0</v>
      </c>
      <c r="G21" s="4"/>
    </row>
    <row r="22" spans="1:7" ht="38.25" x14ac:dyDescent="0.25">
      <c r="A22" s="9">
        <v>11</v>
      </c>
      <c r="B22" s="1" t="s">
        <v>31</v>
      </c>
      <c r="C22" s="1" t="s">
        <v>32</v>
      </c>
      <c r="D22" s="21" t="s">
        <v>15</v>
      </c>
      <c r="E22" s="13">
        <v>0.15</v>
      </c>
      <c r="F22" s="25">
        <f>F14*E22</f>
        <v>24.734936092513692</v>
      </c>
      <c r="G22" s="4"/>
    </row>
    <row r="23" spans="1:7" x14ac:dyDescent="0.25">
      <c r="A23" s="9">
        <v>12</v>
      </c>
      <c r="B23" s="5" t="s">
        <v>33</v>
      </c>
      <c r="C23" s="5" t="s">
        <v>34</v>
      </c>
      <c r="D23" s="21" t="s">
        <v>15</v>
      </c>
      <c r="E23" s="15" t="s">
        <v>9</v>
      </c>
      <c r="F23" s="25">
        <f>(F14+F18+F21+F22)/12</f>
        <v>15.802875836883748</v>
      </c>
      <c r="G23" s="3"/>
    </row>
    <row r="24" spans="1:7" x14ac:dyDescent="0.25">
      <c r="A24" s="9">
        <v>13</v>
      </c>
      <c r="B24" s="5" t="s">
        <v>35</v>
      </c>
      <c r="C24" s="5" t="s">
        <v>36</v>
      </c>
      <c r="D24" s="26"/>
      <c r="E24" s="15" t="s">
        <v>9</v>
      </c>
      <c r="F24" s="27">
        <v>0.30199999999999999</v>
      </c>
      <c r="G24" s="3"/>
    </row>
    <row r="25" spans="1:7" x14ac:dyDescent="0.25">
      <c r="A25" s="9">
        <v>14</v>
      </c>
      <c r="B25" s="5" t="s">
        <v>37</v>
      </c>
      <c r="C25" s="5" t="s">
        <v>38</v>
      </c>
      <c r="D25" s="28" t="s">
        <v>15</v>
      </c>
      <c r="E25" s="15" t="s">
        <v>9</v>
      </c>
      <c r="F25" s="25">
        <f>(F14+F18+F21+F22+F23)*F24</f>
        <v>62.042090535605588</v>
      </c>
      <c r="G25" s="3"/>
    </row>
    <row r="26" spans="1:7" x14ac:dyDescent="0.25">
      <c r="A26" s="9">
        <v>15</v>
      </c>
      <c r="B26" s="5" t="s">
        <v>39</v>
      </c>
      <c r="C26" s="5" t="s">
        <v>40</v>
      </c>
      <c r="D26" s="5"/>
      <c r="E26" s="15" t="s">
        <v>9</v>
      </c>
      <c r="F26" s="15">
        <f>E27+F28</f>
        <v>1.65</v>
      </c>
      <c r="G26" s="3" t="s">
        <v>41</v>
      </c>
    </row>
    <row r="27" spans="1:7" ht="51.75" x14ac:dyDescent="0.25">
      <c r="A27" s="9">
        <v>16</v>
      </c>
      <c r="B27" s="1" t="s">
        <v>42</v>
      </c>
      <c r="C27" s="1" t="s">
        <v>43</v>
      </c>
      <c r="D27" s="1"/>
      <c r="E27" s="13">
        <f>IF(E16=24,1,(IF(E16=12,1.5,2-0.0417*E16)))</f>
        <v>1.5</v>
      </c>
      <c r="F27" s="15" t="s">
        <v>9</v>
      </c>
      <c r="G27" s="17" t="s">
        <v>86</v>
      </c>
    </row>
    <row r="28" spans="1:7" x14ac:dyDescent="0.25">
      <c r="A28" s="9">
        <v>17</v>
      </c>
      <c r="B28" s="5" t="s">
        <v>44</v>
      </c>
      <c r="C28" s="5" t="s">
        <v>45</v>
      </c>
      <c r="D28" s="5"/>
      <c r="E28" s="15" t="s">
        <v>9</v>
      </c>
      <c r="F28" s="15">
        <f>IF(SUM(E29:E33)&gt;0.35,0.35,SUM(E29:E33))</f>
        <v>0.15000000000000002</v>
      </c>
      <c r="G28" s="17" t="s">
        <v>46</v>
      </c>
    </row>
    <row r="29" spans="1:7" x14ac:dyDescent="0.25">
      <c r="A29" s="9">
        <v>18</v>
      </c>
      <c r="B29" s="1" t="s">
        <v>47</v>
      </c>
      <c r="C29" s="1" t="s">
        <v>20</v>
      </c>
      <c r="D29" s="1"/>
      <c r="E29" s="20">
        <v>0.05</v>
      </c>
      <c r="F29" s="15" t="s">
        <v>9</v>
      </c>
      <c r="G29" s="29" t="s">
        <v>48</v>
      </c>
    </row>
    <row r="30" spans="1:7" x14ac:dyDescent="0.25">
      <c r="A30" s="9">
        <v>19</v>
      </c>
      <c r="B30" s="1" t="s">
        <v>49</v>
      </c>
      <c r="C30" s="1" t="s">
        <v>20</v>
      </c>
      <c r="D30" s="1"/>
      <c r="E30" s="20">
        <v>0</v>
      </c>
      <c r="F30" s="15" t="s">
        <v>9</v>
      </c>
      <c r="G30" s="29" t="s">
        <v>50</v>
      </c>
    </row>
    <row r="31" spans="1:7" x14ac:dyDescent="0.25">
      <c r="A31" s="9">
        <v>20</v>
      </c>
      <c r="B31" s="1" t="s">
        <v>51</v>
      </c>
      <c r="C31" s="1" t="s">
        <v>20</v>
      </c>
      <c r="D31" s="1"/>
      <c r="E31" s="20">
        <v>0</v>
      </c>
      <c r="F31" s="15" t="s">
        <v>9</v>
      </c>
      <c r="G31" s="29" t="s">
        <v>52</v>
      </c>
    </row>
    <row r="32" spans="1:7" x14ac:dyDescent="0.25">
      <c r="A32" s="9">
        <v>21</v>
      </c>
      <c r="B32" s="1" t="s">
        <v>53</v>
      </c>
      <c r="C32" s="1" t="s">
        <v>20</v>
      </c>
      <c r="D32" s="1"/>
      <c r="E32" s="20">
        <v>0.1</v>
      </c>
      <c r="F32" s="15" t="s">
        <v>9</v>
      </c>
      <c r="G32" s="29" t="s">
        <v>54</v>
      </c>
    </row>
    <row r="33" spans="1:7" x14ac:dyDescent="0.25">
      <c r="A33" s="9">
        <v>22</v>
      </c>
      <c r="B33" s="1" t="s">
        <v>55</v>
      </c>
      <c r="C33" s="1" t="s">
        <v>20</v>
      </c>
      <c r="D33" s="1"/>
      <c r="E33" s="20">
        <v>0</v>
      </c>
      <c r="F33" s="15" t="s">
        <v>9</v>
      </c>
      <c r="G33" s="29" t="s">
        <v>48</v>
      </c>
    </row>
    <row r="34" spans="1:7" ht="38.25" x14ac:dyDescent="0.25">
      <c r="A34" s="9">
        <v>23</v>
      </c>
      <c r="B34" s="5" t="s">
        <v>56</v>
      </c>
      <c r="C34" s="5" t="s">
        <v>57</v>
      </c>
      <c r="D34" s="28" t="s">
        <v>15</v>
      </c>
      <c r="E34" s="15" t="s">
        <v>9</v>
      </c>
      <c r="F34" s="25">
        <f>(F14+F18+F21+F22+F23+F25)*F26</f>
        <v>441.3411360849056</v>
      </c>
      <c r="G34" s="3"/>
    </row>
    <row r="35" spans="1:7" ht="25.5" x14ac:dyDescent="0.25">
      <c r="A35" s="9">
        <v>24</v>
      </c>
      <c r="B35" s="5" t="s">
        <v>58</v>
      </c>
      <c r="C35" s="5" t="s">
        <v>59</v>
      </c>
      <c r="D35" s="5" t="s">
        <v>12</v>
      </c>
      <c r="E35" s="15" t="s">
        <v>9</v>
      </c>
      <c r="F35" s="15">
        <f>E19*E16/E15</f>
        <v>118.5</v>
      </c>
      <c r="G35" s="3"/>
    </row>
    <row r="36" spans="1:7" x14ac:dyDescent="0.25">
      <c r="A36" s="9">
        <v>25</v>
      </c>
      <c r="B36" s="1" t="s">
        <v>60</v>
      </c>
      <c r="C36" s="1" t="s">
        <v>61</v>
      </c>
      <c r="D36" s="1"/>
      <c r="E36" s="20">
        <v>1</v>
      </c>
      <c r="F36" s="15" t="s">
        <v>9</v>
      </c>
      <c r="G36" s="30"/>
    </row>
    <row r="37" spans="1:7" ht="25.5" x14ac:dyDescent="0.25">
      <c r="A37" s="9">
        <v>26</v>
      </c>
      <c r="B37" s="5" t="s">
        <v>62</v>
      </c>
      <c r="C37" s="5" t="s">
        <v>63</v>
      </c>
      <c r="D37" s="14" t="s">
        <v>8</v>
      </c>
      <c r="E37" s="15" t="s">
        <v>9</v>
      </c>
      <c r="F37" s="31">
        <f>(F34*F35)*E36*E45*0.2</f>
        <v>10459.784925212263</v>
      </c>
      <c r="G37" s="3"/>
    </row>
    <row r="38" spans="1:7" ht="25.5" x14ac:dyDescent="0.25">
      <c r="A38" s="9">
        <v>27</v>
      </c>
      <c r="B38" s="5" t="s">
        <v>64</v>
      </c>
      <c r="C38" s="5" t="s">
        <v>65</v>
      </c>
      <c r="D38" s="14" t="s">
        <v>8</v>
      </c>
      <c r="E38" s="15" t="s">
        <v>9</v>
      </c>
      <c r="F38" s="31">
        <f>((F34*F35)*E36*E45+F37)*0.05</f>
        <v>3137.9354775636789</v>
      </c>
      <c r="G38" s="3"/>
    </row>
    <row r="39" spans="1:7" ht="89.25" x14ac:dyDescent="0.25">
      <c r="A39" s="9">
        <v>28</v>
      </c>
      <c r="B39" s="1" t="s">
        <v>66</v>
      </c>
      <c r="C39" s="1" t="s">
        <v>67</v>
      </c>
      <c r="D39" s="32" t="s">
        <v>8</v>
      </c>
      <c r="E39" s="20">
        <v>7500</v>
      </c>
      <c r="F39" s="24" t="s">
        <v>9</v>
      </c>
      <c r="G39" s="30" t="s">
        <v>101</v>
      </c>
    </row>
    <row r="40" spans="1:7" ht="26.25" x14ac:dyDescent="0.25">
      <c r="A40" s="9">
        <v>29</v>
      </c>
      <c r="B40" s="1" t="s">
        <v>68</v>
      </c>
      <c r="C40" s="1" t="s">
        <v>69</v>
      </c>
      <c r="D40" s="32" t="s">
        <v>8</v>
      </c>
      <c r="E40" s="20">
        <v>0</v>
      </c>
      <c r="F40" s="24" t="s">
        <v>9</v>
      </c>
      <c r="G40" s="30" t="s">
        <v>70</v>
      </c>
    </row>
    <row r="41" spans="1:7" x14ac:dyDescent="0.25">
      <c r="A41" s="9">
        <v>30</v>
      </c>
      <c r="B41" s="5" t="s">
        <v>71</v>
      </c>
      <c r="C41" s="5" t="s">
        <v>72</v>
      </c>
      <c r="D41" s="33" t="s">
        <v>8</v>
      </c>
      <c r="E41" s="15" t="s">
        <v>9</v>
      </c>
      <c r="F41" s="31">
        <f>((F34*F35)*E36*E45+F37+F38+E39)*22%</f>
        <v>16147.261906344196</v>
      </c>
      <c r="G41" s="34"/>
    </row>
    <row r="42" spans="1:7" ht="39" x14ac:dyDescent="0.25">
      <c r="A42" s="9">
        <v>31</v>
      </c>
      <c r="B42" s="1" t="s">
        <v>73</v>
      </c>
      <c r="C42" s="6" t="s">
        <v>74</v>
      </c>
      <c r="D42" s="8"/>
      <c r="E42" s="13">
        <v>1</v>
      </c>
      <c r="F42" s="24" t="s">
        <v>9</v>
      </c>
      <c r="G42" s="4" t="s">
        <v>87</v>
      </c>
    </row>
    <row r="43" spans="1:7" ht="25.5" x14ac:dyDescent="0.25">
      <c r="A43" s="9">
        <v>32</v>
      </c>
      <c r="B43" s="7" t="s">
        <v>75</v>
      </c>
      <c r="C43" s="5" t="s">
        <v>76</v>
      </c>
      <c r="D43" s="8" t="s">
        <v>8</v>
      </c>
      <c r="E43" s="15" t="s">
        <v>9</v>
      </c>
      <c r="F43" s="35">
        <f>((F34*F35)*E36*E45+F37+F38+E39+E40)*E42+F41</f>
        <v>89543.906935181454</v>
      </c>
      <c r="G43" s="3"/>
    </row>
    <row r="44" spans="1:7" x14ac:dyDescent="0.25">
      <c r="A44" s="9">
        <v>33</v>
      </c>
      <c r="B44" s="29" t="s">
        <v>77</v>
      </c>
      <c r="C44" s="29"/>
      <c r="D44" s="8" t="s">
        <v>78</v>
      </c>
      <c r="E44" s="15" t="s">
        <v>9</v>
      </c>
      <c r="F44" s="36">
        <f>ROUND(F43/F35/E36/E45,2)</f>
        <v>755.64</v>
      </c>
      <c r="G44" s="29"/>
    </row>
    <row r="45" spans="1:7" ht="26.25" x14ac:dyDescent="0.25">
      <c r="A45" s="9">
        <v>34</v>
      </c>
      <c r="B45" s="17" t="s">
        <v>79</v>
      </c>
      <c r="C45" s="37" t="s">
        <v>80</v>
      </c>
      <c r="D45" s="8" t="s">
        <v>81</v>
      </c>
      <c r="E45" s="38">
        <v>1</v>
      </c>
      <c r="F45" s="24" t="s">
        <v>9</v>
      </c>
      <c r="G45" s="29"/>
    </row>
    <row r="46" spans="1:7" x14ac:dyDescent="0.25">
      <c r="A46" s="9">
        <v>35</v>
      </c>
      <c r="B46" s="17" t="s">
        <v>82</v>
      </c>
      <c r="C46" s="29"/>
      <c r="D46" s="39" t="s">
        <v>83</v>
      </c>
      <c r="E46" s="15" t="s">
        <v>9</v>
      </c>
      <c r="F46" s="3">
        <f>E16*E19*E36*E45</f>
        <v>948</v>
      </c>
      <c r="G46" s="29"/>
    </row>
    <row r="47" spans="1:7" x14ac:dyDescent="0.25">
      <c r="A47" s="10"/>
      <c r="B47" s="40"/>
      <c r="C47" s="10"/>
      <c r="D47" s="10"/>
      <c r="E47" s="10"/>
      <c r="F47" s="10"/>
      <c r="G47" s="10"/>
    </row>
    <row r="48" spans="1:7" x14ac:dyDescent="0.25">
      <c r="A48" s="46" t="s">
        <v>84</v>
      </c>
      <c r="B48" s="46"/>
      <c r="C48" s="46"/>
      <c r="D48" s="46"/>
      <c r="E48" s="46"/>
      <c r="F48" s="41">
        <f>F44*F46</f>
        <v>716346.72</v>
      </c>
      <c r="G48" s="10"/>
    </row>
    <row r="49" spans="1:7" ht="31.5" customHeight="1" x14ac:dyDescent="0.25">
      <c r="A49" s="48" t="s">
        <v>99</v>
      </c>
      <c r="B49" s="48"/>
      <c r="C49" s="48"/>
      <c r="D49" s="48"/>
      <c r="E49" s="48"/>
      <c r="F49" s="48"/>
      <c r="G49" s="10"/>
    </row>
    <row r="50" spans="1:7" ht="28.15" customHeight="1" x14ac:dyDescent="0.25">
      <c r="A50" s="47" t="s">
        <v>100</v>
      </c>
      <c r="B50" s="47"/>
      <c r="C50" s="47"/>
      <c r="D50" s="47"/>
      <c r="E50" s="47"/>
      <c r="F50" s="47"/>
    </row>
    <row r="51" spans="1:7" x14ac:dyDescent="0.25">
      <c r="B51" t="s">
        <v>90</v>
      </c>
      <c r="D51" t="s">
        <v>91</v>
      </c>
    </row>
  </sheetData>
  <mergeCells count="5">
    <mergeCell ref="A6:G6"/>
    <mergeCell ref="A10:G10"/>
    <mergeCell ref="A48:E48"/>
    <mergeCell ref="A50:F50"/>
    <mergeCell ref="A49:F49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01.10.2026-31.12.2026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2026-08-20T12:09:24Z</dcterms:modified>
</cp:coreProperties>
</file>