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ogorodnikova_ad\AppData\Roaming\1C\1cv8\9efa19cf-c010-45cf-830e-ca1151649726\bd80de4e-9c6b-43df-ac63-ab875aadb222\App\N\"/>
    </mc:Choice>
  </mc:AlternateContent>
  <xr:revisionPtr revIDLastSave="0" documentId="13_ncr:1_{BA126303-5495-41F1-9C09-8909440A954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U5" i="1" l="1"/>
  <c r="T5" i="1"/>
  <c r="S5" i="1"/>
  <c r="R5" i="1"/>
  <c r="Q5" i="1"/>
  <c r="P5" i="1"/>
  <c r="V5" i="1" s="1"/>
  <c r="J5" i="1"/>
  <c r="O5" i="1" l="1"/>
  <c r="I5" i="1"/>
  <c r="H5" i="1"/>
  <c r="G5" i="1"/>
  <c r="L5" i="1" l="1"/>
  <c r="K5" i="1"/>
  <c r="N5" i="1"/>
  <c r="W5" i="1" s="1"/>
  <c r="X5" i="1" s="1"/>
  <c r="Y5" i="1" s="1"/>
  <c r="Z5" i="1" s="1"/>
  <c r="Z6" i="1" l="1"/>
  <c r="M5" i="1"/>
</calcChain>
</file>

<file path=xl/sharedStrings.xml><?xml version="1.0" encoding="utf-8"?>
<sst xmlns="http://schemas.openxmlformats.org/spreadsheetml/2006/main" count="39" uniqueCount="33">
  <si>
    <t>№</t>
  </si>
  <si>
    <t>Код по ОКПД</t>
  </si>
  <si>
    <t>Наименование предмета контракта</t>
  </si>
  <si>
    <t>Ед. изм.</t>
  </si>
  <si>
    <t>Ед.изм ЕСКЛП</t>
  </si>
  <si>
    <t>Однородность совокупности значений выявленных цен, используемых в расчете цены контракта</t>
  </si>
  <si>
    <t>Сред.арифмет цена за единицу</t>
  </si>
  <si>
    <t>Сред.квадратичное отклонение</t>
  </si>
  <si>
    <t>Коэфф.вариации цен V (%)</t>
  </si>
  <si>
    <t>Цена единицы планируемого к закупке лекарственного средства, руб.</t>
  </si>
  <si>
    <t>grls.rosminzdrav.ru</t>
  </si>
  <si>
    <t>Цена, руб./ед.изм.</t>
  </si>
  <si>
    <t>Количество закупленных лекарственных препаратов (шт)</t>
  </si>
  <si>
    <t>Средневзвешенная цена, руб.</t>
  </si>
  <si>
    <t>Цена единицы планируемого к закупке лекарственного средства с учетом НДС, руб.</t>
  </si>
  <si>
    <t>Цена единицы планируемого к закупке лекарственного средства с учетом НДС и оптовой надбавки, руб.</t>
  </si>
  <si>
    <t>В результате проведенного расчета НМЦК составила, руб.:</t>
  </si>
  <si>
    <t xml:space="preserve">Определение НМЦК произведено Заказчиком в соответствии с  Приказом Минздрава России от 19.12.2019г. №1064н "Об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лекарственных препаратов для медицинского применения" </t>
  </si>
  <si>
    <t>Заключенные заказчиком контракты (договора) за предшествующие 12 месяцев (без учета НДС и  оптовой надбавки)</t>
  </si>
  <si>
    <t>НМЦК с учетом округления цены за единицу (руб.)</t>
  </si>
  <si>
    <t xml:space="preserve">Кол-во </t>
  </si>
  <si>
    <t>Коммерческие предложения (руб./ед.изм., без НДС)</t>
  </si>
  <si>
    <t>21.20.10.211</t>
  </si>
  <si>
    <t>упак</t>
  </si>
  <si>
    <t>мг</t>
  </si>
  <si>
    <t>КП-26-08-8022 от 17.08.26</t>
  </si>
  <si>
    <t>КП-26-08-8035 от 17.08.26</t>
  </si>
  <si>
    <t>КП-26-08-8101 от 19.08.26</t>
  </si>
  <si>
    <t>Реестровый номер контракта № 1780203042925002198</t>
  </si>
  <si>
    <t>Реестровый номер контракта № 1780203042925002645</t>
  </si>
  <si>
    <t>Реестровый номер контракта № 1780203042925003034</t>
  </si>
  <si>
    <t>МНН:Брентуксимаб ведотин, лиоф.для пригот.конц.для пригот р-ра для инфузий 50 мг</t>
  </si>
  <si>
    <t>Расчет и обоснование цены контракта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</si>
</sst>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_₽"/>
  </numFmts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vertical="center"/>
    </xf>
    <xf numFmtId="164" fontId="1" fillId="0" borderId="1" xfId="0" applyNumberFormat="1" applyFont="1" applyBorder="1" applyAlignment="1">
      <alignment horizontal="center" vertical="center" wrapText="1"/>
    </xf>
    <xf numFmtId="164" fontId="1" fillId="0" borderId="0" xfId="0" applyNumberFormat="1" applyFont="1" applyAlignment="1">
      <alignment wrapText="1"/>
    </xf>
    <xf numFmtId="1" fontId="3" fillId="2" borderId="1" xfId="0" applyNumberFormat="1" applyFont="1" applyFill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 wrapText="1"/>
    </xf>
    <xf numFmtId="4" fontId="2" fillId="0" borderId="0" xfId="0" applyNumberFormat="1" applyFont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2" fontId="1" fillId="0" borderId="0" xfId="0" applyNumberFormat="1" applyFont="1" applyAlignment="1">
      <alignment wrapText="1"/>
    </xf>
    <xf numFmtId="49" fontId="1" fillId="0" borderId="5" xfId="0" applyNumberFormat="1" applyFont="1" applyBorder="1" applyAlignment="1">
      <alignment horizontal="left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2" fontId="1" fillId="0" borderId="3" xfId="0" applyNumberFormat="1" applyFont="1" applyBorder="1" applyAlignment="1">
      <alignment horizontal="center" vertical="center" wrapText="1"/>
    </xf>
    <xf numFmtId="2" fontId="2" fillId="0" borderId="2" xfId="0" applyNumberFormat="1" applyFont="1" applyBorder="1" applyAlignment="1">
      <alignment horizontal="center" vertical="center" wrapText="1"/>
    </xf>
    <xf numFmtId="2" fontId="2" fillId="0" borderId="6" xfId="0" applyNumberFormat="1" applyFont="1" applyBorder="1" applyAlignment="1">
      <alignment horizontal="center" vertical="center" wrapText="1"/>
    </xf>
    <xf numFmtId="2" fontId="2" fillId="0" borderId="3" xfId="0" applyNumberFormat="1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left" vertical="center" wrapText="1"/>
    </xf>
    <xf numFmtId="0" fontId="2" fillId="0" borderId="4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8"/>
  <sheetViews>
    <sheetView tabSelected="1" workbookViewId="0">
      <selection activeCell="P4" sqref="P4"/>
    </sheetView>
  </sheetViews>
  <sheetFormatPr defaultRowHeight="54" customHeight="1" x14ac:dyDescent="0.2"/>
  <cols>
    <col min="1" max="1" width="6.140625" style="3" customWidth="1"/>
    <col min="2" max="2" width="11.85546875" style="3" customWidth="1"/>
    <col min="3" max="3" width="19.42578125" style="3" customWidth="1"/>
    <col min="4" max="5" width="7.140625" style="3" hidden="1" customWidth="1"/>
    <col min="6" max="6" width="7.140625" style="3" customWidth="1"/>
    <col min="7" max="7" width="7.140625" style="11" customWidth="1"/>
    <col min="8" max="8" width="10" style="3" bestFit="1" customWidth="1"/>
    <col min="9" max="9" width="9.140625" style="3"/>
    <col min="10" max="10" width="10.42578125" style="11" customWidth="1"/>
    <col min="11" max="14" width="11.140625" style="11" customWidth="1"/>
    <col min="15" max="15" width="12" style="3" customWidth="1"/>
    <col min="16" max="21" width="13.140625" style="11" customWidth="1"/>
    <col min="22" max="22" width="10" style="11" bestFit="1" customWidth="1"/>
    <col min="23" max="24" width="9.5703125" style="3" bestFit="1" customWidth="1"/>
    <col min="25" max="25" width="13" style="3" customWidth="1"/>
    <col min="26" max="26" width="12" style="3" customWidth="1"/>
    <col min="27" max="16384" width="9.140625" style="3"/>
  </cols>
  <sheetData>
    <row r="1" spans="1:26" s="2" customFormat="1" ht="54" customHeight="1" x14ac:dyDescent="0.25">
      <c r="A1" s="18" t="s">
        <v>32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</row>
    <row r="2" spans="1:26" s="2" customFormat="1" ht="54" customHeight="1" x14ac:dyDescent="0.25">
      <c r="A2" s="21" t="s">
        <v>0</v>
      </c>
      <c r="B2" s="21" t="s">
        <v>1</v>
      </c>
      <c r="C2" s="21" t="s">
        <v>2</v>
      </c>
      <c r="D2" s="21" t="s">
        <v>3</v>
      </c>
      <c r="E2" s="21" t="s">
        <v>20</v>
      </c>
      <c r="F2" s="21" t="s">
        <v>4</v>
      </c>
      <c r="G2" s="24" t="s">
        <v>20</v>
      </c>
      <c r="H2" s="27" t="s">
        <v>21</v>
      </c>
      <c r="I2" s="28"/>
      <c r="J2" s="29"/>
      <c r="K2" s="24" t="s">
        <v>5</v>
      </c>
      <c r="L2" s="24"/>
      <c r="M2" s="24"/>
      <c r="N2" s="24" t="s">
        <v>9</v>
      </c>
      <c r="O2" s="21" t="s">
        <v>10</v>
      </c>
      <c r="P2" s="15" t="s">
        <v>18</v>
      </c>
      <c r="Q2" s="16"/>
      <c r="R2" s="16"/>
      <c r="S2" s="16"/>
      <c r="T2" s="16"/>
      <c r="U2" s="17"/>
      <c r="V2" s="24" t="s">
        <v>13</v>
      </c>
      <c r="W2" s="21" t="s">
        <v>9</v>
      </c>
      <c r="X2" s="21" t="s">
        <v>14</v>
      </c>
      <c r="Y2" s="21" t="s">
        <v>15</v>
      </c>
      <c r="Z2" s="21" t="s">
        <v>19</v>
      </c>
    </row>
    <row r="3" spans="1:26" s="2" customFormat="1" ht="54" customHeight="1" x14ac:dyDescent="0.25">
      <c r="A3" s="21"/>
      <c r="B3" s="21"/>
      <c r="C3" s="21"/>
      <c r="D3" s="21"/>
      <c r="E3" s="21"/>
      <c r="F3" s="21"/>
      <c r="G3" s="24"/>
      <c r="H3" s="21" t="s">
        <v>25</v>
      </c>
      <c r="I3" s="21" t="s">
        <v>26</v>
      </c>
      <c r="J3" s="23" t="s">
        <v>27</v>
      </c>
      <c r="K3" s="24" t="s">
        <v>6</v>
      </c>
      <c r="L3" s="24" t="s">
        <v>7</v>
      </c>
      <c r="M3" s="24" t="s">
        <v>8</v>
      </c>
      <c r="N3" s="24"/>
      <c r="O3" s="21"/>
      <c r="P3" s="24" t="s">
        <v>28</v>
      </c>
      <c r="Q3" s="26"/>
      <c r="R3" s="24" t="s">
        <v>29</v>
      </c>
      <c r="S3" s="26"/>
      <c r="T3" s="24" t="s">
        <v>30</v>
      </c>
      <c r="U3" s="26"/>
      <c r="V3" s="24"/>
      <c r="W3" s="21"/>
      <c r="X3" s="21"/>
      <c r="Y3" s="21"/>
      <c r="Z3" s="21"/>
    </row>
    <row r="4" spans="1:26" s="2" customFormat="1" ht="61.5" customHeight="1" x14ac:dyDescent="0.25">
      <c r="A4" s="21"/>
      <c r="B4" s="23"/>
      <c r="C4" s="23"/>
      <c r="D4" s="21"/>
      <c r="E4" s="21"/>
      <c r="F4" s="21"/>
      <c r="G4" s="24"/>
      <c r="H4" s="21"/>
      <c r="I4" s="21"/>
      <c r="J4" s="25"/>
      <c r="K4" s="24"/>
      <c r="L4" s="24"/>
      <c r="M4" s="24"/>
      <c r="N4" s="24"/>
      <c r="O4" s="21"/>
      <c r="P4" s="13" t="s">
        <v>11</v>
      </c>
      <c r="Q4" s="13" t="s">
        <v>12</v>
      </c>
      <c r="R4" s="13" t="s">
        <v>11</v>
      </c>
      <c r="S4" s="13" t="s">
        <v>12</v>
      </c>
      <c r="T4" s="13" t="s">
        <v>11</v>
      </c>
      <c r="U4" s="13" t="s">
        <v>12</v>
      </c>
      <c r="V4" s="24"/>
      <c r="W4" s="21"/>
      <c r="X4" s="21"/>
      <c r="Y4" s="21"/>
      <c r="Z4" s="21"/>
    </row>
    <row r="5" spans="1:26" ht="92.25" customHeight="1" x14ac:dyDescent="0.2">
      <c r="A5" s="1">
        <v>1</v>
      </c>
      <c r="B5" s="1" t="s">
        <v>22</v>
      </c>
      <c r="C5" s="12" t="s">
        <v>31</v>
      </c>
      <c r="D5" s="1" t="s">
        <v>23</v>
      </c>
      <c r="E5" s="7">
        <v>4</v>
      </c>
      <c r="F5" s="1" t="s">
        <v>24</v>
      </c>
      <c r="G5" s="10">
        <f>E5*50</f>
        <v>200</v>
      </c>
      <c r="H5" s="8">
        <f>170247.93/50</f>
        <v>3404.9585999999999</v>
      </c>
      <c r="I5" s="1">
        <f>178512.4/50</f>
        <v>3570.248</v>
      </c>
      <c r="J5" s="10">
        <f>166945.46/50</f>
        <v>3338.9092000000001</v>
      </c>
      <c r="K5" s="10">
        <f>AVERAGE(H5,I5,J5)</f>
        <v>3438.0385999999999</v>
      </c>
      <c r="L5" s="10">
        <f>STDEV(H5,I5,J5)</f>
        <v>119.16427693046269</v>
      </c>
      <c r="M5" s="10">
        <f>L5/K5*100</f>
        <v>3.4660540731119975</v>
      </c>
      <c r="N5" s="10">
        <f>MIN(H5,I5,J5)</f>
        <v>3338.9092000000001</v>
      </c>
      <c r="O5" s="1">
        <f>187756.95/50</f>
        <v>3755.1390000000001</v>
      </c>
      <c r="P5" s="10">
        <f>187581.08/50</f>
        <v>3751.6215999999999</v>
      </c>
      <c r="Q5" s="14">
        <f>(17+7)*50</f>
        <v>1200</v>
      </c>
      <c r="R5" s="14">
        <f>3934.37/1.1</f>
        <v>3576.7</v>
      </c>
      <c r="S5" s="14">
        <f>(32+14)*50</f>
        <v>2300</v>
      </c>
      <c r="T5" s="14">
        <f>3614.05/1.1</f>
        <v>3285.5</v>
      </c>
      <c r="U5" s="14">
        <f>(13+5)*50</f>
        <v>900</v>
      </c>
      <c r="V5" s="10">
        <f>SUM((P5*Q5),(R5*S5),(T5*U5))/SUM(Q5,S5,U5)</f>
        <v>3564.8422545454546</v>
      </c>
      <c r="W5" s="5">
        <f>MIN(N5,O5,V5)</f>
        <v>3338.9092000000001</v>
      </c>
      <c r="X5" s="5">
        <f>W5*1.1</f>
        <v>3672.8001200000003</v>
      </c>
      <c r="Y5" s="5">
        <f>ROUND((X5*1.1),2)</f>
        <v>4040.08</v>
      </c>
      <c r="Z5" s="8">
        <f>Y5*G5</f>
        <v>808016</v>
      </c>
    </row>
    <row r="6" spans="1:26" ht="54" customHeight="1" x14ac:dyDescent="0.2">
      <c r="A6" s="4" t="s">
        <v>16</v>
      </c>
      <c r="W6" s="6"/>
      <c r="X6" s="6"/>
      <c r="Y6" s="6"/>
      <c r="Z6" s="9">
        <f>SUM(Z5)</f>
        <v>808016</v>
      </c>
    </row>
    <row r="7" spans="1:26" ht="54" customHeight="1" x14ac:dyDescent="0.2">
      <c r="A7" s="22" t="s">
        <v>17</v>
      </c>
      <c r="B7" s="22"/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</row>
    <row r="8" spans="1:26" ht="54" customHeight="1" x14ac:dyDescent="0.2">
      <c r="A8" s="20"/>
      <c r="B8" s="20"/>
      <c r="C8" s="20"/>
      <c r="D8" s="20"/>
    </row>
  </sheetData>
  <sheetProtection algorithmName="SHA-512" hashValue="1HNqOMoXna3X/khsipjIRKdGe0GYH8LKQRXd2T8C46xrtwLhNZOgGlI19C3+WbEogtDrf3S3p59WXHJ3UTya0A==" saltValue="u1L7plNzg9DHCJZrXmduGQ==" spinCount="100000" sheet="1" objects="1" scenarios="1"/>
  <mergeCells count="29">
    <mergeCell ref="H2:J2"/>
    <mergeCell ref="T3:U3"/>
    <mergeCell ref="R3:S3"/>
    <mergeCell ref="Z2:Z4"/>
    <mergeCell ref="L3:L4"/>
    <mergeCell ref="M3:M4"/>
    <mergeCell ref="N2:N4"/>
    <mergeCell ref="O2:O4"/>
    <mergeCell ref="V2:V4"/>
    <mergeCell ref="W2:W4"/>
    <mergeCell ref="K2:M2"/>
    <mergeCell ref="P3:Q3"/>
    <mergeCell ref="K3:K4"/>
    <mergeCell ref="P2:U2"/>
    <mergeCell ref="A1:Z1"/>
    <mergeCell ref="A8:D8"/>
    <mergeCell ref="H3:H4"/>
    <mergeCell ref="I3:I4"/>
    <mergeCell ref="A7:Z7"/>
    <mergeCell ref="A2:A4"/>
    <mergeCell ref="B2:B4"/>
    <mergeCell ref="C2:C4"/>
    <mergeCell ref="D2:D4"/>
    <mergeCell ref="F2:F4"/>
    <mergeCell ref="E2:E4"/>
    <mergeCell ref="G2:G4"/>
    <mergeCell ref="X2:X4"/>
    <mergeCell ref="Y2:Y4"/>
    <mergeCell ref="J3:J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Лимонтова Валентина Александровна</dc:creator>
  <cp:lastModifiedBy>Огородникова Анастасия Дмитриевна</cp:lastModifiedBy>
  <dcterms:created xsi:type="dcterms:W3CDTF">2023-10-09T14:36:59Z</dcterms:created>
  <dcterms:modified xsi:type="dcterms:W3CDTF">2026-08-20T07:06:35Z</dcterms:modified>
</cp:coreProperties>
</file>