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svg" ContentType="image/svg"/>
  <Override PartName="/xl/media/image5.png" ContentType="image/png"/>
  <Override PartName="/xl/media/image3.png" ContentType="image/png"/>
  <Override PartName="/xl/media/image4.svg" ContentType="image/svg"/>
  <Override PartName="/xl/media/image7.png" ContentType="image/png"/>
  <Override PartName="/xl/media/image6.svg" ContentType="image/svg"/>
  <Override PartName="/xl/media/image8.svg" ContentType="image/sv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чет по приказу Росгвардии 45" sheetId="1" state="visible" r:id="rId3"/>
    <sheet name="Расчет по КП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<sst xmlns="http://schemas.openxmlformats.org/spreadsheetml/2006/main" count="168" uniqueCount="115">
  <si>
    <t xml:space="preserve">Обоснование начальной (максимальной) цены контракта на оказание охранных услуг (выставление поста охраны) 
</t>
  </si>
  <si>
    <t xml:space="preserve">Начальная (максимальная) цена контракта определена 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с учетом приказа Федеральной службы войск национальной гвардии РФ от 15.02. 2021 г.  №  45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охранных услуг» (далее – Приказ № 45) 
Основные характеристики объекта: в соответствии с Описанием объекта закупки (техническим заданием)
Используемый метод:  порядок расчета  НМЦК по Приказу № 45  </t>
  </si>
  <si>
    <t xml:space="preserve">с</t>
  </si>
  <si>
    <t xml:space="preserve">№ п/п</t>
  </si>
  <si>
    <t xml:space="preserve">Наименование показателя</t>
  </si>
  <si>
    <t xml:space="preserve">Сокращенное наименование показателя</t>
  </si>
  <si>
    <t xml:space="preserve">Единица измерения</t>
  </si>
  <si>
    <t xml:space="preserve">Значения, изменяемые заказчиком</t>
  </si>
  <si>
    <t xml:space="preserve">Значения, не изменяемые заказчиком</t>
  </si>
  <si>
    <t xml:space="preserve">Пояснения</t>
  </si>
  <si>
    <t xml:space="preserve">Минимальный размер оплаты труда</t>
  </si>
  <si>
    <t xml:space="preserve">МРОТ</t>
  </si>
  <si>
    <t xml:space="preserve">руб/мес</t>
  </si>
  <si>
    <t xml:space="preserve">х</t>
  </si>
  <si>
    <t xml:space="preserve">Среднемесячное количество рабочих часов</t>
  </si>
  <si>
    <t xml:space="preserve">СНР</t>
  </si>
  <si>
    <t xml:space="preserve">час/мес</t>
  </si>
  <si>
    <r>
      <rPr>
        <u val="single"/>
        <sz val="11"/>
        <color theme="1"/>
        <rFont val="PT Astra Serif"/>
        <family val="0"/>
        <charset val="1"/>
      </rPr>
      <t xml:space="preserve">Среднемесячное количество рабочих часов
</t>
    </r>
    <r>
      <rPr>
        <sz val="11"/>
        <color theme="1"/>
        <rFont val="PT Astra Serif"/>
        <family val="0"/>
        <charset val="1"/>
      </rPr>
      <t xml:space="preserve">Количество рабочих часов в год по производственному календарю на </t>
    </r>
    <r>
      <rPr>
        <b val="true"/>
        <sz val="11"/>
        <color theme="5" tint="-0.25"/>
        <rFont val="PT Astra Serif"/>
        <family val="0"/>
        <charset val="1"/>
      </rPr>
      <t xml:space="preserve">2026</t>
    </r>
    <r>
      <rPr>
        <sz val="11"/>
        <color theme="1"/>
        <rFont val="PT Astra Serif"/>
        <family val="0"/>
        <charset val="1"/>
      </rPr>
      <t xml:space="preserve"> год для 40-часовой пятидневной раб.нед </t>
    </r>
  </si>
  <si>
    <t xml:space="preserve">Базовая заработная плата</t>
  </si>
  <si>
    <t xml:space="preserve">БЗП</t>
  </si>
  <si>
    <t xml:space="preserve">руб/час</t>
  </si>
  <si>
    <t xml:space="preserve">Срок оказания охранных услуг (в месяцах)</t>
  </si>
  <si>
    <t xml:space="preserve"> - </t>
  </si>
  <si>
    <t xml:space="preserve">мес</t>
  </si>
  <si>
    <t xml:space="preserve">указывается в соответствии с потребностями заказчика</t>
  </si>
  <si>
    <t xml:space="preserve">Режим работы поста
(часов в сутки)</t>
  </si>
  <si>
    <t xml:space="preserve"> -</t>
  </si>
  <si>
    <t xml:space="preserve">час</t>
  </si>
  <si>
    <t xml:space="preserve">Период работы поста в ночное время (с 22:00 до 6:00)</t>
  </si>
  <si>
    <t xml:space="preserve">в случае, если охранные услуги не оказываются в ночное время (с 22:00 до 6:00 часов) указывается значение равное 0</t>
  </si>
  <si>
    <t xml:space="preserve">Доплата за работу в ночное время</t>
  </si>
  <si>
    <t xml:space="preserve">Дн</t>
  </si>
  <si>
    <t xml:space="preserve">Общее количество дней охраны</t>
  </si>
  <si>
    <t xml:space="preserve">день</t>
  </si>
  <si>
    <t xml:space="preserve">количество дней за весь срок оказания охранных услуг</t>
  </si>
  <si>
    <t xml:space="preserve">Количество нерабочих праздничных дней</t>
  </si>
  <si>
    <t xml:space="preserve">количество нерабочих праздничных дней за весь срок оказания охранных услуг (согласно производственному календарю);
в случае, если охранные услуги не оказываются в нерабочие праздничные дни указывается значение равное 0</t>
  </si>
  <si>
    <t xml:space="preserve">Доплата за работу в выходные  и праздничные дни</t>
  </si>
  <si>
    <t xml:space="preserve">Двп</t>
  </si>
  <si>
    <t xml:space="preserve">Доплата за работу в районах Крайнего Севера и приравненных к ним местностях</t>
  </si>
  <si>
    <t xml:space="preserve">Дрк</t>
  </si>
  <si>
    <t xml:space="preserve">коэффициент равен 0,3 для Асиновского, Бакчарского, Зырянского, Кожевниковского, Кривошеинского, Молчановского, Первомайского, Тегульдетского, Томского и Шегарского районов, г. Томск;
коэффициент  равен 0,5 для  Александровского, Верхнекетского, Каргасокского, Колпашевского, Парабельского и Чаинского районов, г. Кедровый, г. Северск </t>
  </si>
  <si>
    <t xml:space="preserve">Резерв на отпуск</t>
  </si>
  <si>
    <t xml:space="preserve">РО</t>
  </si>
  <si>
    <t xml:space="preserve">Ставка страховых взносов</t>
  </si>
  <si>
    <t xml:space="preserve">Y</t>
  </si>
  <si>
    <t xml:space="preserve">Страховые взносы</t>
  </si>
  <si>
    <t xml:space="preserve">СВ</t>
  </si>
  <si>
    <t xml:space="preserve">Корректирующий коэффициент</t>
  </si>
  <si>
    <t xml:space="preserve">U</t>
  </si>
  <si>
    <t xml:space="preserve">рассчитывается автоматически </t>
  </si>
  <si>
    <t xml:space="preserve">Базовый коэффициент</t>
  </si>
  <si>
    <t xml:space="preserve">Uб</t>
  </si>
  <si>
    <t xml:space="preserve">Uб = 1 - пост охраны в составе 1 работника с режимом работы 24 часа
Uб = 1,5 - пост охраны в составе 1 работника с режимом работы 12 часов
Uб = 2-0,0417*количество часов работы поста - пост охраны в составе 1 работника с режимом работы, отличным от 24 и 12 ч (но не более 24 ч и не менее 3 ч ) </t>
  </si>
  <si>
    <t xml:space="preserve">Дополнительные коэффициенты:</t>
  </si>
  <si>
    <t xml:space="preserve">Uд</t>
  </si>
  <si>
    <r>
      <rPr>
        <sz val="11"/>
        <color theme="1"/>
        <rFont val="PT Astra Serif"/>
        <family val="0"/>
        <charset val="1"/>
      </rPr>
      <t xml:space="preserve">Суммарное значение дополнительных коэффициентов </t>
    </r>
    <r>
      <rPr>
        <b val="true"/>
        <sz val="12"/>
        <color theme="8" tint="-0.25"/>
        <rFont val="PT Astra Serif"/>
        <family val="0"/>
        <charset val="1"/>
      </rPr>
      <t xml:space="preserve">не может превышать 0,35</t>
    </r>
  </si>
  <si>
    <t xml:space="preserve">Наличие спецсредств</t>
  </si>
  <si>
    <t xml:space="preserve">при наличии требований устанавливается 0,05</t>
  </si>
  <si>
    <t xml:space="preserve">Наличие оружия</t>
  </si>
  <si>
    <t xml:space="preserve">при наличии требований устанавливается 0,2</t>
  </si>
  <si>
    <t xml:space="preserve">Массовые мероприятия</t>
  </si>
  <si>
    <t xml:space="preserve">при наличии требований устанавливается 0,3</t>
  </si>
  <si>
    <t xml:space="preserve">Объект антитеррора</t>
  </si>
  <si>
    <t xml:space="preserve">при наличии требований устанавливается 0,1</t>
  </si>
  <si>
    <t xml:space="preserve">Допуск к гостайне</t>
  </si>
  <si>
    <t xml:space="preserve">Прямые затраты</t>
  </si>
  <si>
    <t xml:space="preserve">Си=
(БЗП+Дн+Двп+Дрк+РО+СВ)*U</t>
  </si>
  <si>
    <t xml:space="preserve">Количество часов работы работника по контракту на 1 посту охраны</t>
  </si>
  <si>
    <t xml:space="preserve">Ки</t>
  </si>
  <si>
    <t xml:space="preserve">Количество постов охраны</t>
  </si>
  <si>
    <t xml:space="preserve">n</t>
  </si>
  <si>
    <t xml:space="preserve">расчет произведен для одного поста охраны в составе одного работника;
в случае необходимости наличия нескольких постов охраны с одинаковыми условиями и режимом работы значение показателя может быть изменено и расчет НМЦК будет произведен автоматически</t>
  </si>
  <si>
    <t xml:space="preserve">Косвенные расходы</t>
  </si>
  <si>
    <t xml:space="preserve">КР=
(Си*Ки)*0,2</t>
  </si>
  <si>
    <t xml:space="preserve">Прибыль</t>
  </si>
  <si>
    <t xml:space="preserve">П=
((Си*Ки)+КР)*0,05</t>
  </si>
  <si>
    <t xml:space="preserve">Стоимость выполнения работ по проектированию , монтажу и эксплутационному обслуживанию технических средств охраны</t>
  </si>
  <si>
    <t xml:space="preserve">Cтсо</t>
  </si>
  <si>
    <t xml:space="preserve">стоимость указывается без НДС, так как расчет НДС предусмотрен формулой расчета НМЦК</t>
  </si>
  <si>
    <t xml:space="preserve">Налог на добавленную стоимость</t>
  </si>
  <si>
    <t xml:space="preserve">НДС</t>
  </si>
  <si>
    <t xml:space="preserve">Индекс потребительских цен</t>
  </si>
  <si>
    <t xml:space="preserve">Iинфл</t>
  </si>
  <si>
    <t xml:space="preserve">принимается равным 1, если расчет НМЦК и начало срока действия контракта приходятся на один календарный год,
иначе рассчитывается как средне арифметическое между индексами на каждый год срока действия контракта в соответствии с ПП РФ от 14.11.2015 №1234</t>
  </si>
  <si>
    <t xml:space="preserve">НМЦК в месяц</t>
  </si>
  <si>
    <t xml:space="preserve">(Си*Ки)+КР+П)*Iинфл+НДС</t>
  </si>
  <si>
    <r>
      <rPr>
        <sz val="11"/>
        <color theme="1"/>
        <rFont val="PT Astra Serif"/>
        <family val="0"/>
        <charset val="1"/>
      </rPr>
      <t xml:space="preserve">Общая стоимость услуг за месяц равна: 247 130,72 руб.
Общая стоимость услуг за период оказания услуг  равна: 247130,72</t>
    </r>
    <r>
      <rPr>
        <sz val="11"/>
        <color theme="1"/>
        <rFont val="Calibri"/>
        <family val="0"/>
        <charset val="1"/>
      </rPr>
      <t xml:space="preserve">* 1 мес. = 247 130,72руб. </t>
    </r>
  </si>
  <si>
    <r>
      <rPr>
        <sz val="11"/>
        <color theme="1"/>
        <rFont val="PT Astra Serif"/>
        <family val="0"/>
        <charset val="1"/>
      </rPr>
      <t xml:space="preserve">
Заказчиком произведен расчет с учетом Приказа № 45. Сумма в данном расчете значительно превышает лимиты бюджетных обязательств, доведенных до Заказчика.
</t>
    </r>
    <r>
      <rPr>
        <b val="true"/>
        <sz val="11"/>
        <color theme="1"/>
        <rFont val="PT Astra Serif"/>
        <family val="0"/>
        <charset val="1"/>
      </rPr>
      <t xml:space="preserve">Начальная (максимальная) цена контракта устанавливается Заказчиком </t>
    </r>
    <r>
      <rPr>
        <sz val="11"/>
        <color theme="1"/>
        <rFont val="PT Astra Serif"/>
        <family val="0"/>
        <charset val="1"/>
      </rPr>
      <t xml:space="preserve">в пределах доведенных лимитов, на основании писем  Минфина России от 10.01.2020 № 24-01-08/326 и  от 10. 09. 2020  №  24-01-08/79621 «О соответствии НМЦК сумме   доведенных до Заказчика лимитов бюджетных обязательств», Статьи 72 Бюджетного кодекса Российской Федерации «Осуществление закупок товаров, работ, услуг для обеспечения государственных (муниципальных) нужд», </t>
    </r>
    <r>
      <rPr>
        <b val="true"/>
        <sz val="11"/>
        <color theme="1"/>
        <rFont val="PT Astra Serif"/>
        <family val="0"/>
        <charset val="1"/>
      </rPr>
      <t xml:space="preserve">и составляет 223 334,40 рублей.
</t>
    </r>
    <r>
      <rPr>
        <sz val="11"/>
        <color theme="1"/>
        <rFont val="PT Astra Serif"/>
        <family val="0"/>
        <charset val="1"/>
      </rPr>
      <t xml:space="preserve">В подтверждение доведенных лимитов Заказчик производит  следующий расчет НМЦК</t>
    </r>
    <r>
      <rPr>
        <b val="true"/>
        <u val="single"/>
        <sz val="11"/>
        <color theme="1"/>
        <rFont val="PT Astra Serif"/>
        <family val="0"/>
        <charset val="1"/>
      </rPr>
      <t xml:space="preserve"> (ПРИЛОЖЕНИЕ РАСЧЕТ ПО КП).
</t>
    </r>
  </si>
  <si>
    <t xml:space="preserve">Обоснование начальной (максимальной) цены контракта</t>
  </si>
  <si>
    <t xml:space="preserve">№</t>
  </si>
  <si>
    <t xml:space="preserve">Наименование предмета контракта</t>
  </si>
  <si>
    <t xml:space="preserve">Объект</t>
  </si>
  <si>
    <t xml:space="preserve">Ед. изм.</t>
  </si>
  <si>
    <t xml:space="preserve">Количество</t>
  </si>
  <si>
    <t xml:space="preserve">Источник информации о цене (руб./ед.изм.)</t>
  </si>
  <si>
    <t xml:space="preserve">Однородность совокупности значений выявленных цен, используемых в расчете НМЦК**</t>
  </si>
  <si>
    <t xml:space="preserve">НМЦК, определенная методом сопоставимых рыночных цен (анализа рынка)*</t>
  </si>
  <si>
    <t xml:space="preserve">Коммерческое предложение № 1</t>
  </si>
  <si>
    <t xml:space="preserve">Коммерческое предложение № 2 
</t>
  </si>
  <si>
    <t xml:space="preserve">Коммерческое предложение № 3 
</t>
  </si>
  <si>
    <t xml:space="preserve">Средняя арифметическая цена за единицу     &lt;ц&gt; </t>
  </si>
  <si>
    <t xml:space="preserve">Среднее квадратичное отклонение</t>
  </si>
  <si>
    <r>
      <rPr>
        <b val="true"/>
        <sz val="10"/>
        <rFont val="Times New Roman"/>
        <family val="0"/>
        <charset val="1"/>
      </rPr>
      <t xml:space="preserve">коэффициент вариации цен V (%)           </t>
    </r>
    <r>
      <rPr>
        <i val="true"/>
        <sz val="10"/>
        <rFont val="Times New Roman"/>
        <family val="0"/>
        <charset val="1"/>
      </rPr>
      <t xml:space="preserve">         (не должен превышать 33%)</t>
    </r>
  </si>
  <si>
    <r>
      <rPr>
        <b val="true"/>
        <sz val="10"/>
        <rFont val="Times New Roman"/>
        <family val="0"/>
        <charset val="1"/>
      </rPr>
      <t xml:space="preserve">Расчет НМЦК по формуле</t>
    </r>
    <r>
      <rPr>
        <sz val="10"/>
        <rFont val="Times New Roman"/>
        <family val="0"/>
        <charset val="1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</si>
  <si>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</si>
  <si>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НМЦК с учетом округления цены за единицу (руб.)**</t>
  </si>
  <si>
    <t xml:space="preserve">Цена за единицу изм. с учетом доведенных ЛБО (руб.)</t>
  </si>
  <si>
    <t xml:space="preserve">НМЦК с учетом округления цены за                единицу с учетом доведенных ЛБО (руб.)</t>
  </si>
  <si>
    <t xml:space="preserve"> Оказание услуг по обеспечению охраны конфискованного, движимого бесхозяйного, изъятого и иного имущества, обращенного в собственность государства, а также имущества, задержанного таможенными органами, предметов, являющимися вещественными доказательствами, по основаниям, предусмотренным законами и иными нормативными правовыми актами Российской Федерации</t>
  </si>
  <si>
    <t xml:space="preserve"> Тверская область, г. Тверь, поселок Мамулино, земельный участок с кадастровым номером 69:40:0300160:17</t>
  </si>
  <si>
    <t xml:space="preserve">Человеко-час</t>
  </si>
  <si>
    <t xml:space="preserve">В результате проведенного расчета Н(М)ЦК контракта составила, руб.: </t>
  </si>
  <si>
    <t xml:space="preserve">*Определение НМЦК произведено Заказчиком в соответствии с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</t>
  </si>
  <si>
    <t xml:space="preserve"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</si>
</sst>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"/>
    <numFmt numFmtId="166" formatCode="#,##0"/>
    <numFmt numFmtId="167" formatCode="0.00"/>
    <numFmt numFmtId="168" formatCode="0.0%"/>
    <numFmt numFmtId="169" formatCode="General"/>
    <numFmt numFmtId="170" formatCode="mmm/yy"/>
  </numFmts>
  <fonts count="22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PT Astra Serif"/>
      <family val="0"/>
      <charset val="1"/>
    </font>
    <font>
      <sz val="11"/>
      <name val="PT Astra Serif"/>
      <family val="0"/>
      <charset val="1"/>
    </font>
    <font>
      <b val="true"/>
      <sz val="11"/>
      <color theme="1"/>
      <name val="PT Astra Serif"/>
      <family val="0"/>
      <charset val="1"/>
    </font>
    <font>
      <sz val="11"/>
      <color theme="1"/>
      <name val="PT Astra Serif"/>
      <family val="0"/>
      <charset val="1"/>
    </font>
    <font>
      <u val="single"/>
      <sz val="11"/>
      <color theme="1"/>
      <name val="PT Astra Serif"/>
      <family val="0"/>
      <charset val="1"/>
    </font>
    <font>
      <b val="true"/>
      <sz val="11"/>
      <color theme="5" tint="-0.25"/>
      <name val="PT Astra Serif"/>
      <family val="0"/>
      <charset val="1"/>
    </font>
    <font>
      <b val="true"/>
      <sz val="11"/>
      <color theme="1"/>
      <name val="Times New Roman"/>
      <family val="0"/>
      <charset val="1"/>
    </font>
    <font>
      <sz val="11"/>
      <color theme="1"/>
      <name val="Times New Roman"/>
      <family val="0"/>
      <charset val="1"/>
    </font>
    <font>
      <b val="true"/>
      <sz val="12"/>
      <color theme="8" tint="-0.25"/>
      <name val="PT Astra Serif"/>
      <family val="0"/>
      <charset val="1"/>
    </font>
    <font>
      <sz val="11"/>
      <color rgb="FFFF0000"/>
      <name val="PT Astra Serif"/>
      <family val="0"/>
      <charset val="1"/>
    </font>
    <font>
      <sz val="11"/>
      <color theme="1"/>
      <name val="Calibri"/>
      <family val="0"/>
      <charset val="1"/>
    </font>
    <font>
      <b val="true"/>
      <u val="single"/>
      <sz val="11"/>
      <color theme="1"/>
      <name val="PT Astra Serif"/>
      <family val="0"/>
      <charset val="1"/>
    </font>
    <font>
      <b val="true"/>
      <sz val="10"/>
      <name val="Times New Roman"/>
      <family val="0"/>
      <charset val="1"/>
    </font>
    <font>
      <b val="true"/>
      <sz val="10"/>
      <color rgb="FF333333"/>
      <name val="Times New Roman"/>
      <family val="0"/>
      <charset val="1"/>
    </font>
    <font>
      <i val="true"/>
      <sz val="10"/>
      <name val="Times New Roman"/>
      <family val="0"/>
      <charset val="1"/>
    </font>
    <font>
      <sz val="10"/>
      <name val="Times New Roman"/>
      <family val="0"/>
      <charset val="1"/>
    </font>
    <font>
      <b val="true"/>
      <sz val="10"/>
      <color theme="1"/>
      <name val="Times New Roman"/>
      <family val="0"/>
      <charset val="1"/>
    </font>
    <font>
      <sz val="10"/>
      <color theme="1"/>
      <name val="Times New Roman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theme="0" tint="-0.25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theme="0" tint="-0.15"/>
        <bgColor rgb="FFE2F0D9"/>
      </patternFill>
    </fill>
    <fill>
      <patternFill patternType="solid">
        <fgColor theme="9" tint="0.7998"/>
        <bgColor rgb="FFD9D9D9"/>
      </patternFill>
    </fill>
    <fill>
      <patternFill patternType="solid">
        <fgColor theme="5" tint="0.5999"/>
        <bgColor rgb="FFD9D9D9"/>
      </patternFill>
    </fill>
    <fill>
      <patternFill patternType="solid">
        <fgColor theme="0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6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7" fillId="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6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7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7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2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svg"/><Relationship Id="rId3" Type="http://schemas.openxmlformats.org/officeDocument/2006/relationships/image" Target="../media/image3.png"/><Relationship Id="rId4" Type="http://schemas.openxmlformats.org/officeDocument/2006/relationships/image" Target="../media/image4.svg"/><Relationship Id="rId5" Type="http://schemas.openxmlformats.org/officeDocument/2006/relationships/image" Target="../media/image5.png"/><Relationship Id="rId6" Type="http://schemas.openxmlformats.org/officeDocument/2006/relationships/image" Target="../media/image6.svg"/><Relationship Id="rId7" Type="http://schemas.openxmlformats.org/officeDocument/2006/relationships/image" Target="../media/image3.png"/><Relationship Id="rId8" Type="http://schemas.openxmlformats.org/officeDocument/2006/relationships/image" Target="../media/image4.svg"/><Relationship Id="rId9" Type="http://schemas.openxmlformats.org/officeDocument/2006/relationships/image" Target="../media/image7.png"/><Relationship Id="rId10" Type="http://schemas.openxmlformats.org/officeDocument/2006/relationships/image" Target="../media/image8.svg"/><Relationship Id="rId11" Type="http://schemas.openxmlformats.org/officeDocument/2006/relationships/image" Target="../media/image1.png"/><Relationship Id="rId12" Type="http://schemas.openxmlformats.org/officeDocument/2006/relationships/image" Target="../media/image2.svg"/><Relationship Id="rId13" Type="http://schemas.openxmlformats.org/officeDocument/2006/relationships/image" Target="../media/image5.png"/><Relationship Id="rId14" Type="http://schemas.openxmlformats.org/officeDocument/2006/relationships/image" Target="../media/image6.sv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10</xdr:col>
      <xdr:colOff>363240</xdr:colOff>
      <xdr:row>2</xdr:row>
      <xdr:rowOff>1611000</xdr:rowOff>
    </xdr:from>
    <xdr:to>
      <xdr:col>11</xdr:col>
      <xdr:colOff>685080</xdr:colOff>
      <xdr:row>2</xdr:row>
      <xdr:rowOff>1970640</xdr:rowOff>
    </xdr:to>
    <xdr:pic>
      <xdr:nvPicPr>
        <xdr:cNvPr id="0" name="Picture 1" descr=""/>
        <xdr:cNvPicPr/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>
        <a:xfrm>
          <a:off x="10069920" y="2247840"/>
          <a:ext cx="1207440" cy="3596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6</xdr:col>
      <xdr:colOff>889200</xdr:colOff>
      <xdr:row>2</xdr:row>
      <xdr:rowOff>944280</xdr:rowOff>
    </xdr:from>
    <xdr:to>
      <xdr:col>7</xdr:col>
      <xdr:colOff>599040</xdr:colOff>
      <xdr:row>2</xdr:row>
      <xdr:rowOff>1294560</xdr:rowOff>
    </xdr:to>
    <xdr:pic>
      <xdr:nvPicPr>
        <xdr:cNvPr id="1" name="Picture 2" descr=""/>
        <xdr:cNvPicPr/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>
        <a:xfrm>
          <a:off x="6820200" y="1581120"/>
          <a:ext cx="626040" cy="3502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8</xdr:col>
      <xdr:colOff>76320</xdr:colOff>
      <xdr:row>2</xdr:row>
      <xdr:rowOff>1239480</xdr:rowOff>
    </xdr:from>
    <xdr:to>
      <xdr:col>8</xdr:col>
      <xdr:colOff>226440</xdr:colOff>
      <xdr:row>2</xdr:row>
      <xdr:rowOff>1456560</xdr:rowOff>
    </xdr:to>
    <xdr:pic>
      <xdr:nvPicPr>
        <xdr:cNvPr id="2" name="Picture 3" descr=""/>
        <xdr:cNvPicPr/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>
        <a:xfrm>
          <a:off x="7829640" y="1876320"/>
          <a:ext cx="150120" cy="2170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8</xdr:col>
      <xdr:colOff>837720</xdr:colOff>
      <xdr:row>2</xdr:row>
      <xdr:rowOff>867960</xdr:rowOff>
    </xdr:from>
    <xdr:to>
      <xdr:col>9</xdr:col>
      <xdr:colOff>447120</xdr:colOff>
      <xdr:row>2</xdr:row>
      <xdr:rowOff>1218240</xdr:rowOff>
    </xdr:to>
    <xdr:pic>
      <xdr:nvPicPr>
        <xdr:cNvPr id="3" name="Picture 4" descr=""/>
        <xdr:cNvPicPr/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>
        <a:xfrm>
          <a:off x="8591040" y="1504800"/>
          <a:ext cx="626040" cy="3502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7</xdr:col>
      <xdr:colOff>810720</xdr:colOff>
      <xdr:row>2</xdr:row>
      <xdr:rowOff>887040</xdr:rowOff>
    </xdr:from>
    <xdr:to>
      <xdr:col>8</xdr:col>
      <xdr:colOff>530640</xdr:colOff>
      <xdr:row>2</xdr:row>
      <xdr:rowOff>1323000</xdr:rowOff>
    </xdr:to>
    <xdr:pic>
      <xdr:nvPicPr>
        <xdr:cNvPr id="4" name="Picture 5" descr=""/>
        <xdr:cNvPicPr/>
      </xdr:nvPicPr>
      <xdr:blipFill>
        <a:blip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/>
      </xdr:blipFill>
      <xdr:spPr>
        <a:xfrm>
          <a:off x="7657920" y="1523880"/>
          <a:ext cx="626040" cy="4359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7</xdr:col>
      <xdr:colOff>76320</xdr:colOff>
      <xdr:row>2</xdr:row>
      <xdr:rowOff>1334880</xdr:rowOff>
    </xdr:from>
    <xdr:to>
      <xdr:col>8</xdr:col>
      <xdr:colOff>600480</xdr:colOff>
      <xdr:row>2</xdr:row>
      <xdr:rowOff>1334880</xdr:rowOff>
    </xdr:to>
    <xdr:pic>
      <xdr:nvPicPr>
        <xdr:cNvPr id="5" name="Picture 6" descr=""/>
        <xdr:cNvPicPr/>
      </xdr:nvPicPr>
      <xdr:blipFill>
        <a:blip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/>
      </xdr:blipFill>
      <xdr:spPr>
        <a:xfrm>
          <a:off x="6923520" y="1971720"/>
          <a:ext cx="1430280" cy="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9</xdr:col>
      <xdr:colOff>877680</xdr:colOff>
      <xdr:row>2</xdr:row>
      <xdr:rowOff>1211040</xdr:rowOff>
    </xdr:from>
    <xdr:to>
      <xdr:col>10</xdr:col>
      <xdr:colOff>91080</xdr:colOff>
      <xdr:row>2</xdr:row>
      <xdr:rowOff>1428120</xdr:rowOff>
    </xdr:to>
    <xdr:pic>
      <xdr:nvPicPr>
        <xdr:cNvPr id="6" name="Picture 7" descr=""/>
        <xdr:cNvPicPr/>
      </xdr:nvPicPr>
      <xdr:blipFill>
        <a:blip r:embed="rId13">
          <a:extLst>
            <a:ext uri="{96DAC541-7B7A-43D3-8B79-37D633B846F1}">
              <asvg:svgBlip xmlns:asvg="http://schemas.microsoft.com/office/drawing/2016/SVG/main" r:embed="rId14"/>
            </a:ext>
          </a:extLst>
        </a:blip>
        <a:stretch/>
      </xdr:blipFill>
      <xdr:spPr>
        <a:xfrm>
          <a:off x="9647640" y="1847880"/>
          <a:ext cx="150120" cy="2170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L38"/>
  <sheetViews>
    <sheetView showFormulas="false" showGridLines="true" showRowColHeaders="true" showZeros="true" rightToLeft="false" tabSelected="true" showOutlineSymbols="true" defaultGridColor="true" view="normal" topLeftCell="A31" colorId="64" zoomScale="100" zoomScaleNormal="100" zoomScalePageLayoutView="100" workbookViewId="0">
      <selection pane="topLeft" activeCell="A38" activeCellId="0" sqref="A38"/>
    </sheetView>
  </sheetViews>
  <sheetFormatPr defaultColWidth="9.00390625" defaultRowHeight="14.2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29"/>
    <col collapsed="false" customWidth="true" hidden="false" outlineLevel="0" max="3" min="3" style="1" width="14.86"/>
    <col collapsed="false" customWidth="true" hidden="false" outlineLevel="0" max="4" min="4" style="1" width="11.43"/>
    <col collapsed="false" customWidth="true" hidden="false" outlineLevel="0" max="5" min="5" style="1" width="19.71"/>
    <col collapsed="false" customWidth="true" hidden="false" outlineLevel="0" max="6" min="6" style="1" width="18.29"/>
    <col collapsed="false" customWidth="true" hidden="false" outlineLevel="0" max="7" min="7" style="1" width="73.85"/>
    <col collapsed="false" customWidth="true" hidden="false" outlineLevel="0" max="11" min="11" style="1" width="8.86"/>
  </cols>
  <sheetData>
    <row r="2" customFormat="false" ht="31.5" hidden="false" customHeight="true" outlineLevel="0" collapsed="false">
      <c r="A2" s="2" t="s">
        <v>0</v>
      </c>
      <c r="B2" s="2"/>
      <c r="C2" s="2"/>
      <c r="D2" s="2"/>
      <c r="E2" s="2"/>
      <c r="F2" s="2"/>
      <c r="G2" s="2"/>
    </row>
    <row r="3" s="4" customFormat="true" ht="114" hidden="false" customHeight="true" outlineLevel="0" collapsed="false">
      <c r="A3" s="3" t="s">
        <v>1</v>
      </c>
      <c r="B3" s="3"/>
      <c r="C3" s="3"/>
      <c r="D3" s="3"/>
      <c r="E3" s="3"/>
      <c r="F3" s="3"/>
      <c r="G3" s="3"/>
      <c r="L3" s="4" t="s">
        <v>2</v>
      </c>
    </row>
    <row r="5" customFormat="false" ht="37.3" hidden="false" customHeight="false" outlineLevel="0" collapsed="false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customFormat="false" ht="48.75" hidden="false" customHeight="true" outlineLevel="0" collapsed="false">
      <c r="A6" s="6" t="n">
        <v>1</v>
      </c>
      <c r="B6" s="7" t="s">
        <v>10</v>
      </c>
      <c r="C6" s="7" t="s">
        <v>11</v>
      </c>
      <c r="D6" s="8" t="s">
        <v>12</v>
      </c>
      <c r="E6" s="9" t="s">
        <v>13</v>
      </c>
      <c r="F6" s="10" t="n">
        <v>27093</v>
      </c>
      <c r="G6" s="6"/>
    </row>
    <row r="7" customFormat="false" ht="37.3" hidden="false" customHeight="false" outlineLevel="0" collapsed="false">
      <c r="A7" s="6" t="n">
        <v>2</v>
      </c>
      <c r="B7" s="11" t="s">
        <v>14</v>
      </c>
      <c r="C7" s="11" t="s">
        <v>15</v>
      </c>
      <c r="D7" s="12" t="s">
        <v>16</v>
      </c>
      <c r="E7" s="13" t="n">
        <v>164.3</v>
      </c>
      <c r="F7" s="9" t="s">
        <v>13</v>
      </c>
      <c r="G7" s="14" t="s">
        <v>17</v>
      </c>
    </row>
    <row r="8" customFormat="false" ht="25.5" hidden="false" customHeight="true" outlineLevel="0" collapsed="false">
      <c r="A8" s="6" t="n">
        <v>3</v>
      </c>
      <c r="B8" s="7" t="s">
        <v>18</v>
      </c>
      <c r="C8" s="7" t="s">
        <v>19</v>
      </c>
      <c r="D8" s="8" t="s">
        <v>20</v>
      </c>
      <c r="E8" s="9" t="s">
        <v>13</v>
      </c>
      <c r="F8" s="10" t="n">
        <f aca="false">F6/E7</f>
        <v>164.899573950091</v>
      </c>
      <c r="G8" s="15"/>
    </row>
    <row r="9" customFormat="false" ht="33.75" hidden="false" customHeight="true" outlineLevel="0" collapsed="false">
      <c r="A9" s="6" t="n">
        <v>4</v>
      </c>
      <c r="B9" s="11" t="s">
        <v>21</v>
      </c>
      <c r="C9" s="11" t="s">
        <v>22</v>
      </c>
      <c r="D9" s="16" t="s">
        <v>23</v>
      </c>
      <c r="E9" s="17" t="n">
        <v>1</v>
      </c>
      <c r="F9" s="9" t="s">
        <v>13</v>
      </c>
      <c r="G9" s="18" t="s">
        <v>24</v>
      </c>
    </row>
    <row r="10" customFormat="false" ht="25.35" hidden="false" customHeight="false" outlineLevel="0" collapsed="false">
      <c r="A10" s="6" t="n">
        <v>5</v>
      </c>
      <c r="B10" s="11" t="s">
        <v>25</v>
      </c>
      <c r="C10" s="12" t="s">
        <v>26</v>
      </c>
      <c r="D10" s="16" t="s">
        <v>27</v>
      </c>
      <c r="E10" s="13" t="n">
        <v>24</v>
      </c>
      <c r="F10" s="9" t="s">
        <v>13</v>
      </c>
      <c r="G10" s="15" t="s">
        <v>24</v>
      </c>
    </row>
    <row r="11" customFormat="false" ht="25.35" hidden="false" customHeight="false" outlineLevel="0" collapsed="false">
      <c r="A11" s="6" t="n">
        <v>6</v>
      </c>
      <c r="B11" s="11" t="s">
        <v>28</v>
      </c>
      <c r="C11" s="11" t="s">
        <v>22</v>
      </c>
      <c r="D11" s="16" t="s">
        <v>27</v>
      </c>
      <c r="E11" s="13" t="n">
        <v>8</v>
      </c>
      <c r="F11" s="9" t="s">
        <v>13</v>
      </c>
      <c r="G11" s="18" t="s">
        <v>29</v>
      </c>
    </row>
    <row r="12" customFormat="false" ht="25.35" hidden="false" customHeight="false" outlineLevel="0" collapsed="false">
      <c r="A12" s="6" t="n">
        <v>7</v>
      </c>
      <c r="B12" s="7" t="s">
        <v>30</v>
      </c>
      <c r="C12" s="7" t="s">
        <v>31</v>
      </c>
      <c r="D12" s="19" t="s">
        <v>27</v>
      </c>
      <c r="E12" s="9" t="s">
        <v>13</v>
      </c>
      <c r="F12" s="20" t="n">
        <f aca="false">F8*20%*(E11/E10)</f>
        <v>10.9933049300061</v>
      </c>
      <c r="G12" s="15"/>
    </row>
    <row r="13" customFormat="false" ht="28.5" hidden="false" customHeight="true" outlineLevel="0" collapsed="false">
      <c r="A13" s="6" t="n">
        <v>8</v>
      </c>
      <c r="B13" s="11" t="s">
        <v>32</v>
      </c>
      <c r="C13" s="11" t="s">
        <v>26</v>
      </c>
      <c r="D13" s="21" t="s">
        <v>33</v>
      </c>
      <c r="E13" s="13" t="n">
        <v>20</v>
      </c>
      <c r="F13" s="9" t="s">
        <v>13</v>
      </c>
      <c r="G13" s="18" t="s">
        <v>34</v>
      </c>
    </row>
    <row r="14" customFormat="false" ht="61.15" hidden="false" customHeight="false" outlineLevel="0" collapsed="false">
      <c r="A14" s="6" t="n">
        <v>9</v>
      </c>
      <c r="B14" s="11" t="s">
        <v>35</v>
      </c>
      <c r="C14" s="11" t="s">
        <v>26</v>
      </c>
      <c r="D14" s="21" t="s">
        <v>33</v>
      </c>
      <c r="E14" s="13" t="n">
        <v>0</v>
      </c>
      <c r="F14" s="9" t="s">
        <v>13</v>
      </c>
      <c r="G14" s="18" t="s">
        <v>36</v>
      </c>
    </row>
    <row r="15" customFormat="false" ht="25.35" hidden="false" customHeight="false" outlineLevel="0" collapsed="false">
      <c r="A15" s="6" t="n">
        <v>10</v>
      </c>
      <c r="B15" s="7" t="s">
        <v>37</v>
      </c>
      <c r="C15" s="7" t="s">
        <v>38</v>
      </c>
      <c r="D15" s="19" t="s">
        <v>27</v>
      </c>
      <c r="E15" s="9" t="s">
        <v>13</v>
      </c>
      <c r="F15" s="20" t="n">
        <f aca="false">F8*24*(E14/E13)/24</f>
        <v>0</v>
      </c>
      <c r="G15" s="18"/>
    </row>
    <row r="16" customFormat="false" ht="120.75" hidden="false" customHeight="true" outlineLevel="0" collapsed="false">
      <c r="A16" s="6" t="n">
        <v>11</v>
      </c>
      <c r="B16" s="11" t="s">
        <v>39</v>
      </c>
      <c r="C16" s="11" t="s">
        <v>40</v>
      </c>
      <c r="D16" s="21" t="s">
        <v>27</v>
      </c>
      <c r="E16" s="22"/>
      <c r="F16" s="20" t="n">
        <f aca="false">F8*E16</f>
        <v>0</v>
      </c>
      <c r="G16" s="18" t="s">
        <v>41</v>
      </c>
    </row>
    <row r="17" customFormat="false" ht="30" hidden="false" customHeight="true" outlineLevel="0" collapsed="false">
      <c r="A17" s="6" t="n">
        <v>12</v>
      </c>
      <c r="B17" s="7" t="s">
        <v>42</v>
      </c>
      <c r="C17" s="7" t="s">
        <v>43</v>
      </c>
      <c r="D17" s="23" t="s">
        <v>27</v>
      </c>
      <c r="E17" s="9" t="s">
        <v>13</v>
      </c>
      <c r="F17" s="20" t="n">
        <f aca="false">(F8+F12+F15+F16)/12</f>
        <v>14.6577399066748</v>
      </c>
      <c r="G17" s="15"/>
    </row>
    <row r="18" customFormat="false" ht="30.75" hidden="false" customHeight="true" outlineLevel="0" collapsed="false">
      <c r="A18" s="6" t="n">
        <v>13</v>
      </c>
      <c r="B18" s="7" t="s">
        <v>44</v>
      </c>
      <c r="C18" s="7" t="s">
        <v>45</v>
      </c>
      <c r="D18" s="24"/>
      <c r="E18" s="9" t="s">
        <v>13</v>
      </c>
      <c r="F18" s="25" t="n">
        <v>0.302</v>
      </c>
      <c r="G18" s="15"/>
    </row>
    <row r="19" customFormat="false" ht="40.5" hidden="false" customHeight="true" outlineLevel="0" collapsed="false">
      <c r="A19" s="6" t="n">
        <v>14</v>
      </c>
      <c r="B19" s="7" t="s">
        <v>46</v>
      </c>
      <c r="C19" s="7" t="s">
        <v>47</v>
      </c>
      <c r="D19" s="19" t="s">
        <v>20</v>
      </c>
      <c r="E19" s="9" t="s">
        <v>13</v>
      </c>
      <c r="F19" s="20" t="n">
        <f aca="false">(F8+F12+F15+F16+F17)*F18</f>
        <v>57.5462868736051</v>
      </c>
      <c r="G19" s="15"/>
    </row>
    <row r="20" customFormat="false" ht="14.25" hidden="false" customHeight="false" outlineLevel="0" collapsed="false">
      <c r="A20" s="6" t="n">
        <v>15</v>
      </c>
      <c r="B20" s="7" t="s">
        <v>48</v>
      </c>
      <c r="C20" s="7" t="s">
        <v>49</v>
      </c>
      <c r="D20" s="7"/>
      <c r="E20" s="9" t="s">
        <v>13</v>
      </c>
      <c r="F20" s="9" t="n">
        <f aca="false">E21+F22</f>
        <v>1.35</v>
      </c>
      <c r="G20" s="15" t="s">
        <v>50</v>
      </c>
    </row>
    <row r="21" customFormat="false" ht="111" hidden="false" customHeight="true" outlineLevel="0" collapsed="false">
      <c r="A21" s="6" t="n">
        <v>16</v>
      </c>
      <c r="B21" s="11" t="s">
        <v>51</v>
      </c>
      <c r="C21" s="26" t="s">
        <v>52</v>
      </c>
      <c r="D21" s="11"/>
      <c r="E21" s="27" t="n">
        <v>1</v>
      </c>
      <c r="F21" s="9" t="s">
        <v>13</v>
      </c>
      <c r="G21" s="28" t="s">
        <v>53</v>
      </c>
    </row>
    <row r="22" customFormat="false" ht="32.25" hidden="false" customHeight="true" outlineLevel="0" collapsed="false">
      <c r="A22" s="6" t="n">
        <v>17</v>
      </c>
      <c r="B22" s="7" t="s">
        <v>54</v>
      </c>
      <c r="C22" s="29" t="s">
        <v>55</v>
      </c>
      <c r="D22" s="7"/>
      <c r="E22" s="9" t="s">
        <v>13</v>
      </c>
      <c r="F22" s="30" t="n">
        <f aca="false">SUM(E23:E27)</f>
        <v>0.35</v>
      </c>
      <c r="G22" s="31" t="s">
        <v>56</v>
      </c>
    </row>
    <row r="23" customFormat="false" ht="14.25" hidden="false" customHeight="false" outlineLevel="0" collapsed="false">
      <c r="A23" s="6" t="n">
        <v>18</v>
      </c>
      <c r="B23" s="26" t="s">
        <v>57</v>
      </c>
      <c r="C23" s="11" t="s">
        <v>26</v>
      </c>
      <c r="D23" s="11"/>
      <c r="E23" s="17" t="n">
        <v>0.05</v>
      </c>
      <c r="F23" s="9" t="s">
        <v>13</v>
      </c>
      <c r="G23" s="6" t="s">
        <v>58</v>
      </c>
    </row>
    <row r="24" customFormat="false" ht="14.25" hidden="false" customHeight="false" outlineLevel="0" collapsed="false">
      <c r="A24" s="6" t="n">
        <v>19</v>
      </c>
      <c r="B24" s="26" t="s">
        <v>59</v>
      </c>
      <c r="C24" s="11" t="s">
        <v>26</v>
      </c>
      <c r="D24" s="11"/>
      <c r="E24" s="27" t="n">
        <v>0.2</v>
      </c>
      <c r="F24" s="9" t="s">
        <v>13</v>
      </c>
      <c r="G24" s="6" t="s">
        <v>60</v>
      </c>
    </row>
    <row r="25" customFormat="false" ht="14.25" hidden="false" customHeight="false" outlineLevel="0" collapsed="false">
      <c r="A25" s="6" t="n">
        <v>20</v>
      </c>
      <c r="B25" s="26" t="s">
        <v>61</v>
      </c>
      <c r="C25" s="11" t="s">
        <v>26</v>
      </c>
      <c r="D25" s="11"/>
      <c r="E25" s="27" t="n">
        <v>0</v>
      </c>
      <c r="F25" s="9" t="s">
        <v>13</v>
      </c>
      <c r="G25" s="6" t="s">
        <v>62</v>
      </c>
    </row>
    <row r="26" customFormat="false" ht="14.25" hidden="false" customHeight="false" outlineLevel="0" collapsed="false">
      <c r="A26" s="6" t="n">
        <v>21</v>
      </c>
      <c r="B26" s="26" t="s">
        <v>63</v>
      </c>
      <c r="C26" s="11" t="s">
        <v>26</v>
      </c>
      <c r="D26" s="11"/>
      <c r="E26" s="27" t="n">
        <v>0.1</v>
      </c>
      <c r="F26" s="9" t="s">
        <v>13</v>
      </c>
      <c r="G26" s="6" t="s">
        <v>64</v>
      </c>
    </row>
    <row r="27" customFormat="false" ht="14.25" hidden="false" customHeight="false" outlineLevel="0" collapsed="false">
      <c r="A27" s="6" t="n">
        <v>22</v>
      </c>
      <c r="B27" s="26" t="s">
        <v>65</v>
      </c>
      <c r="C27" s="11" t="s">
        <v>26</v>
      </c>
      <c r="D27" s="11"/>
      <c r="E27" s="27" t="n">
        <v>0</v>
      </c>
      <c r="F27" s="9" t="s">
        <v>13</v>
      </c>
      <c r="G27" s="6" t="s">
        <v>58</v>
      </c>
    </row>
    <row r="28" customFormat="false" ht="49.25" hidden="false" customHeight="false" outlineLevel="0" collapsed="false">
      <c r="A28" s="6" t="n">
        <v>23</v>
      </c>
      <c r="B28" s="7" t="s">
        <v>66</v>
      </c>
      <c r="C28" s="7" t="s">
        <v>67</v>
      </c>
      <c r="D28" s="19" t="s">
        <v>20</v>
      </c>
      <c r="E28" s="9" t="s">
        <v>13</v>
      </c>
      <c r="F28" s="20" t="n">
        <f aca="false">(F8+F12+F15+F16+F17+F19)*F20</f>
        <v>334.930822641509</v>
      </c>
      <c r="G28" s="15"/>
    </row>
    <row r="29" customFormat="false" ht="37.3" hidden="false" customHeight="false" outlineLevel="0" collapsed="false">
      <c r="A29" s="6" t="n">
        <v>24</v>
      </c>
      <c r="B29" s="7" t="s">
        <v>68</v>
      </c>
      <c r="C29" s="7" t="s">
        <v>69</v>
      </c>
      <c r="D29" s="7" t="s">
        <v>16</v>
      </c>
      <c r="E29" s="9" t="s">
        <v>13</v>
      </c>
      <c r="F29" s="9" t="n">
        <f aca="false">E13*E10/E9</f>
        <v>480</v>
      </c>
      <c r="G29" s="15"/>
    </row>
    <row r="30" customFormat="false" ht="75.75" hidden="false" customHeight="true" outlineLevel="0" collapsed="false">
      <c r="A30" s="6" t="n">
        <v>25</v>
      </c>
      <c r="B30" s="11" t="s">
        <v>70</v>
      </c>
      <c r="C30" s="11" t="s">
        <v>71</v>
      </c>
      <c r="D30" s="11"/>
      <c r="E30" s="27" t="n">
        <v>1</v>
      </c>
      <c r="F30" s="9" t="s">
        <v>13</v>
      </c>
      <c r="G30" s="32" t="s">
        <v>72</v>
      </c>
    </row>
    <row r="31" customFormat="false" ht="25.35" hidden="false" customHeight="false" outlineLevel="0" collapsed="false">
      <c r="A31" s="6" t="n">
        <v>26</v>
      </c>
      <c r="B31" s="7" t="s">
        <v>73</v>
      </c>
      <c r="C31" s="7" t="s">
        <v>74</v>
      </c>
      <c r="D31" s="8" t="s">
        <v>12</v>
      </c>
      <c r="E31" s="9" t="s">
        <v>13</v>
      </c>
      <c r="F31" s="10" t="n">
        <f aca="false">F28*F29*E30*0.2</f>
        <v>32153.3589735849</v>
      </c>
      <c r="G31" s="15"/>
    </row>
    <row r="32" customFormat="false" ht="37.3" hidden="false" customHeight="false" outlineLevel="0" collapsed="false">
      <c r="A32" s="6" t="n">
        <v>27</v>
      </c>
      <c r="B32" s="7" t="s">
        <v>75</v>
      </c>
      <c r="C32" s="7" t="s">
        <v>76</v>
      </c>
      <c r="D32" s="8" t="s">
        <v>12</v>
      </c>
      <c r="E32" s="9" t="s">
        <v>13</v>
      </c>
      <c r="F32" s="10" t="n">
        <f aca="false">(F28*F29*E30+F31)*0.05</f>
        <v>9646.00769207546</v>
      </c>
      <c r="G32" s="15"/>
    </row>
    <row r="33" customFormat="false" ht="93" hidden="false" customHeight="true" outlineLevel="0" collapsed="false">
      <c r="A33" s="6" t="n">
        <v>28</v>
      </c>
      <c r="B33" s="11" t="s">
        <v>77</v>
      </c>
      <c r="C33" s="11" t="s">
        <v>78</v>
      </c>
      <c r="D33" s="33" t="s">
        <v>12</v>
      </c>
      <c r="E33" s="27" t="n">
        <v>0</v>
      </c>
      <c r="F33" s="9" t="s">
        <v>13</v>
      </c>
      <c r="G33" s="32" t="s">
        <v>79</v>
      </c>
    </row>
    <row r="34" customFormat="false" ht="25.35" hidden="false" customHeight="false" outlineLevel="0" collapsed="false">
      <c r="A34" s="6" t="n">
        <v>29</v>
      </c>
      <c r="B34" s="7" t="s">
        <v>80</v>
      </c>
      <c r="C34" s="7" t="s">
        <v>81</v>
      </c>
      <c r="D34" s="34" t="s">
        <v>12</v>
      </c>
      <c r="E34" s="9" t="s">
        <v>13</v>
      </c>
      <c r="F34" s="10" t="n">
        <f aca="false">(F28*F29*E30+F31+F32+E33)*22%</f>
        <v>44564.5555373886</v>
      </c>
      <c r="G34" s="35"/>
    </row>
    <row r="35" customFormat="false" ht="49.25" hidden="false" customHeight="false" outlineLevel="0" collapsed="false">
      <c r="A35" s="6" t="n">
        <v>30</v>
      </c>
      <c r="B35" s="26" t="s">
        <v>82</v>
      </c>
      <c r="C35" s="36" t="s">
        <v>83</v>
      </c>
      <c r="D35" s="16"/>
      <c r="E35" s="27" t="n">
        <v>1</v>
      </c>
      <c r="F35" s="9" t="s">
        <v>13</v>
      </c>
      <c r="G35" s="18" t="s">
        <v>84</v>
      </c>
    </row>
    <row r="36" customFormat="false" ht="37.3" hidden="false" customHeight="false" outlineLevel="0" collapsed="false">
      <c r="A36" s="6" t="n">
        <v>31</v>
      </c>
      <c r="B36" s="37" t="s">
        <v>85</v>
      </c>
      <c r="C36" s="38" t="s">
        <v>86</v>
      </c>
      <c r="D36" s="39" t="s">
        <v>12</v>
      </c>
      <c r="E36" s="9" t="s">
        <v>13</v>
      </c>
      <c r="F36" s="40" t="n">
        <f aca="false">(F28*F29*E30+F31+F32+E33)*E35+F34</f>
        <v>247130.717070973</v>
      </c>
      <c r="G36" s="41"/>
    </row>
    <row r="37" customFormat="false" ht="45.75" hidden="false" customHeight="true" outlineLevel="0" collapsed="false">
      <c r="A37" s="42" t="s">
        <v>87</v>
      </c>
      <c r="B37" s="42"/>
      <c r="C37" s="42"/>
      <c r="D37" s="42"/>
      <c r="E37" s="42"/>
      <c r="F37" s="42"/>
    </row>
    <row r="38" customFormat="false" ht="96.75" hidden="false" customHeight="true" outlineLevel="0" collapsed="false">
      <c r="A38" s="43" t="s">
        <v>88</v>
      </c>
      <c r="B38" s="43"/>
      <c r="C38" s="43"/>
      <c r="D38" s="43"/>
      <c r="E38" s="43"/>
      <c r="F38" s="43"/>
      <c r="G38" s="43"/>
    </row>
  </sheetData>
  <mergeCells count="4">
    <mergeCell ref="A2:G2"/>
    <mergeCell ref="A3:G3"/>
    <mergeCell ref="A37:F37"/>
    <mergeCell ref="A38:G38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4" activeCellId="0" sqref="H4"/>
    </sheetView>
  </sheetViews>
  <sheetFormatPr defaultColWidth="9.00390625" defaultRowHeight="14.25" zeroHeight="false" outlineLevelRow="0" outlineLevelCol="0"/>
  <cols>
    <col collapsed="false" customWidth="true" hidden="false" outlineLevel="0" max="1" min="1" style="1" width="3.42"/>
    <col collapsed="false" customWidth="true" hidden="false" outlineLevel="0" max="2" min="2" style="1" width="31.29"/>
    <col collapsed="false" customWidth="true" hidden="false" outlineLevel="0" max="3" min="3" style="1" width="16.14"/>
    <col collapsed="false" customWidth="true" hidden="false" outlineLevel="0" max="5" min="4" style="1" width="10.29"/>
    <col collapsed="false" customWidth="true" hidden="false" outlineLevel="0" max="6" min="6" style="1" width="12.71"/>
    <col collapsed="false" customWidth="true" hidden="false" outlineLevel="0" max="7" min="7" style="1" width="13"/>
    <col collapsed="false" customWidth="true" hidden="false" outlineLevel="0" max="8" min="8" style="1" width="12.86"/>
    <col collapsed="false" customWidth="true" hidden="false" outlineLevel="0" max="9" min="9" style="1" width="14.42"/>
    <col collapsed="false" customWidth="true" hidden="false" outlineLevel="0" max="10" min="10" style="1" width="13.29"/>
    <col collapsed="false" customWidth="true" hidden="false" outlineLevel="0" max="11" min="11" style="1" width="12.57"/>
    <col collapsed="false" customWidth="true" hidden="false" outlineLevel="0" max="12" min="12" style="1" width="27.76"/>
    <col collapsed="false" customWidth="true" hidden="false" outlineLevel="0" max="13" min="13" style="1" width="12.42"/>
    <col collapsed="false" customWidth="true" hidden="false" outlineLevel="0" max="14" min="14" style="1" width="11.14"/>
    <col collapsed="false" customWidth="true" hidden="false" outlineLevel="0" max="15" min="15" style="1" width="13.15"/>
    <col collapsed="false" customWidth="true" hidden="false" outlineLevel="0" max="16" min="16" style="1" width="14.57"/>
  </cols>
  <sheetData>
    <row r="1" customFormat="false" ht="14.25" hidden="false" customHeight="true" outlineLevel="0" collapsed="false">
      <c r="A1" s="44" t="s">
        <v>89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customFormat="false" ht="35.9" hidden="false" customHeight="true" outlineLevel="0" collapsed="false">
      <c r="A2" s="45" t="s">
        <v>90</v>
      </c>
      <c r="B2" s="45" t="s">
        <v>91</v>
      </c>
      <c r="C2" s="46" t="s">
        <v>92</v>
      </c>
      <c r="D2" s="45" t="s">
        <v>93</v>
      </c>
      <c r="E2" s="45" t="s">
        <v>94</v>
      </c>
      <c r="F2" s="45" t="s">
        <v>95</v>
      </c>
      <c r="G2" s="45"/>
      <c r="H2" s="45"/>
      <c r="I2" s="47" t="s">
        <v>96</v>
      </c>
      <c r="J2" s="47"/>
      <c r="K2" s="47"/>
      <c r="L2" s="48" t="s">
        <v>97</v>
      </c>
      <c r="M2" s="48"/>
      <c r="N2" s="48"/>
      <c r="O2" s="48"/>
      <c r="P2" s="48"/>
    </row>
    <row r="3" customFormat="false" ht="173.25" hidden="false" customHeight="true" outlineLevel="0" collapsed="false">
      <c r="A3" s="45"/>
      <c r="B3" s="45"/>
      <c r="C3" s="46"/>
      <c r="D3" s="45"/>
      <c r="E3" s="45"/>
      <c r="F3" s="48" t="s">
        <v>98</v>
      </c>
      <c r="G3" s="48" t="s">
        <v>99</v>
      </c>
      <c r="H3" s="48" t="s">
        <v>100</v>
      </c>
      <c r="I3" s="48" t="s">
        <v>101</v>
      </c>
      <c r="J3" s="48" t="s">
        <v>102</v>
      </c>
      <c r="K3" s="48" t="s">
        <v>103</v>
      </c>
      <c r="L3" s="48" t="s">
        <v>104</v>
      </c>
      <c r="M3" s="49" t="s">
        <v>105</v>
      </c>
      <c r="N3" s="49" t="s">
        <v>106</v>
      </c>
      <c r="O3" s="49" t="s">
        <v>107</v>
      </c>
      <c r="P3" s="49" t="s">
        <v>108</v>
      </c>
    </row>
    <row r="4" customFormat="false" ht="157.5" hidden="false" customHeight="true" outlineLevel="0" collapsed="false">
      <c r="A4" s="50" t="n">
        <v>1</v>
      </c>
      <c r="B4" s="51" t="s">
        <v>109</v>
      </c>
      <c r="C4" s="52" t="s">
        <v>110</v>
      </c>
      <c r="D4" s="52" t="s">
        <v>111</v>
      </c>
      <c r="E4" s="52" t="n">
        <v>480</v>
      </c>
      <c r="F4" s="53" t="n">
        <v>500</v>
      </c>
      <c r="G4" s="53" t="n">
        <v>437.5</v>
      </c>
      <c r="H4" s="53" t="n">
        <v>458.33</v>
      </c>
      <c r="I4" s="53" t="n">
        <f aca="false">AVERAGE(F4:H4)</f>
        <v>465.276666666667</v>
      </c>
      <c r="J4" s="54" t="n">
        <f aca="false">SQRT(SUM(POWER(F4-I4, 2), POWER(G4-I4, 2), POWER(H4-I4, 2))/(COLUMNS(F4:H4)-1))</f>
        <v>31.8238060786785</v>
      </c>
      <c r="K4" s="54" t="n">
        <f aca="false">J4/I4*100</f>
        <v>6.83975972976906</v>
      </c>
      <c r="L4" s="53" t="n">
        <f aca="false">E4/3*SUM(F4:H4)</f>
        <v>223332.8</v>
      </c>
      <c r="M4" s="53" t="n">
        <f aca="false">L4/E4</f>
        <v>465.276666666667</v>
      </c>
      <c r="N4" s="53" t="n">
        <f aca="false">M4*E4</f>
        <v>223332.8</v>
      </c>
      <c r="O4" s="53" t="n">
        <v>465.28</v>
      </c>
      <c r="P4" s="53" t="n">
        <f aca="false">O4*E4</f>
        <v>223334.4</v>
      </c>
    </row>
    <row r="5" customFormat="false" ht="21.75" hidden="false" customHeight="true" outlineLevel="0" collapsed="false">
      <c r="A5" s="55" t="s">
        <v>112</v>
      </c>
      <c r="B5" s="55"/>
      <c r="C5" s="55"/>
      <c r="D5" s="55"/>
      <c r="E5" s="55"/>
      <c r="F5" s="55"/>
      <c r="G5" s="55"/>
      <c r="H5" s="55"/>
      <c r="I5" s="56"/>
      <c r="J5" s="56"/>
      <c r="K5" s="56"/>
      <c r="L5" s="57"/>
      <c r="M5" s="58"/>
      <c r="N5" s="58"/>
      <c r="O5" s="58"/>
      <c r="P5" s="59" t="n">
        <f aca="false">SUM(P4)</f>
        <v>223334.4</v>
      </c>
    </row>
    <row r="6" customFormat="false" ht="29.25" hidden="false" customHeight="true" outlineLevel="0" collapsed="false">
      <c r="A6" s="60"/>
      <c r="B6" s="61"/>
      <c r="C6" s="61"/>
      <c r="D6" s="61"/>
      <c r="E6" s="61"/>
      <c r="F6" s="61"/>
      <c r="G6" s="61"/>
      <c r="H6" s="61"/>
      <c r="I6" s="56"/>
      <c r="J6" s="56"/>
      <c r="K6" s="56"/>
      <c r="L6" s="57"/>
      <c r="M6" s="58"/>
      <c r="N6" s="58"/>
      <c r="O6" s="58"/>
      <c r="P6" s="59"/>
    </row>
    <row r="7" customFormat="false" ht="26.75" hidden="false" customHeight="true" outlineLevel="0" collapsed="false">
      <c r="A7" s="62" t="s">
        <v>113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customFormat="false" ht="14.25" hidden="false" customHeight="true" outlineLevel="0" collapsed="false">
      <c r="A8" s="62" t="s">
        <v>114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</row>
    <row r="10" customFormat="false" ht="14.25" hidden="false" customHeight="false" outlineLevel="0" collapsed="false">
      <c r="B10" s="63"/>
      <c r="C10" s="63"/>
      <c r="E10" s="64" t="n">
        <v>1824</v>
      </c>
    </row>
    <row r="11" customFormat="false" ht="14.25" hidden="false" customHeight="false" outlineLevel="0" collapsed="false">
      <c r="B11" s="63"/>
      <c r="C11" s="63"/>
    </row>
    <row r="12" customFormat="false" ht="14.25" hidden="false" customHeight="false" outlineLevel="0" collapsed="false">
      <c r="C12" s="63"/>
    </row>
    <row r="13" customFormat="false" ht="14.25" hidden="false" customHeight="false" outlineLevel="0" collapsed="false">
      <c r="C13" s="63"/>
    </row>
    <row r="14" customFormat="false" ht="14.25" hidden="false" customHeight="false" outlineLevel="0" collapsed="false">
      <c r="C14" s="63"/>
    </row>
    <row r="15" customFormat="false" ht="14.25" hidden="false" customHeight="false" outlineLevel="0" collapsed="false">
      <c r="C15" s="63"/>
    </row>
    <row r="16" customFormat="false" ht="14.25" hidden="false" customHeight="false" outlineLevel="0" collapsed="false">
      <c r="C16" s="63"/>
    </row>
    <row r="17" customFormat="false" ht="14.25" hidden="false" customHeight="false" outlineLevel="0" collapsed="false">
      <c r="C17" s="63"/>
    </row>
    <row r="18" customFormat="false" ht="14.25" hidden="false" customHeight="false" outlineLevel="0" collapsed="false">
      <c r="C18" s="63"/>
    </row>
  </sheetData>
  <mergeCells count="12">
    <mergeCell ref="A1:P1"/>
    <mergeCell ref="A2:A3"/>
    <mergeCell ref="B2:B3"/>
    <mergeCell ref="C2:C3"/>
    <mergeCell ref="D2:D3"/>
    <mergeCell ref="E2:E3"/>
    <mergeCell ref="F2:H2"/>
    <mergeCell ref="I2:K2"/>
    <mergeCell ref="L2:P2"/>
    <mergeCell ref="A5:H5"/>
    <mergeCell ref="A7:P7"/>
    <mergeCell ref="A8:P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109</TotalTime>
  <Application>LibreOffice/24.2.6.2$Linux_X86_64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2025-10-01T13:19:02Z</dcterms:created>
  <dc:creator/>
  <dc:description/>
  <dc:language>ru-RU</dc:language>
  <cp:lastModifiedBy/>
  <dcterms:modified xsi:type="dcterms:W3CDTF">2026-08-28T15:24:06Z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