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6705"/>
  </bookViews>
  <sheets>
    <sheet name="Смета по ФСНБ 421+557прРИМ" sheetId="6" r:id="rId1"/>
    <sheet name="1.КС3" sheetId="9" r:id="rId2"/>
    <sheet name="Акт КС-2 по ФСНБ 421+557пр" sheetId="7" r:id="rId3"/>
    <sheet name="Source" sheetId="1" state="hidden" r:id="rId4"/>
    <sheet name="SourceObSm" sheetId="2" state="hidden" r:id="rId5"/>
    <sheet name="SmtRes" sheetId="3" state="hidden" r:id="rId6"/>
    <sheet name="EtalonRes" sheetId="4" state="hidden" r:id="rId7"/>
    <sheet name="SrcKA" sheetId="5" r:id="rId8"/>
  </sheets>
  <definedNames>
    <definedName name="_xlnm.Print_Titles" localSheetId="1">'1.КС3'!$30:$30</definedName>
    <definedName name="_xlnm.Print_Titles" localSheetId="2">'Акт КС-2 по ФСНБ 421+557пр'!$37:$37</definedName>
    <definedName name="_xlnm.Print_Titles" localSheetId="0">'Смета по ФСНБ 421+557прРИМ'!$51:$51</definedName>
    <definedName name="_xlnm.Print_Area" localSheetId="1">'1.КС3'!$A$1:$F$48</definedName>
    <definedName name="_xlnm.Print_Area" localSheetId="2">'Акт КС-2 по ФСНБ 421+557пр'!$A$1:$M$638</definedName>
    <definedName name="_xlnm.Print_Area" localSheetId="0">'Смета по ФСНБ 421+557прРИМ'!$A$1:$L$649</definedName>
  </definedNames>
  <calcPr calcId="145621" iterate="1"/>
</workbook>
</file>

<file path=xl/calcChain.xml><?xml version="1.0" encoding="utf-8"?>
<calcChain xmlns="http://schemas.openxmlformats.org/spreadsheetml/2006/main">
  <c r="BZ44" i="9" l="1"/>
  <c r="BY44" i="9"/>
  <c r="BZ41" i="9"/>
  <c r="BY41" i="9"/>
  <c r="F38" i="9"/>
  <c r="E38" i="9"/>
  <c r="D38" i="9"/>
  <c r="F37" i="9"/>
  <c r="E37" i="9"/>
  <c r="D37" i="9"/>
  <c r="F36" i="9"/>
  <c r="E36" i="9"/>
  <c r="D36" i="9"/>
  <c r="BT24" i="9"/>
  <c r="BW14" i="9"/>
  <c r="BS12" i="9"/>
  <c r="BS11" i="9"/>
  <c r="BR10" i="9"/>
  <c r="BR9" i="9"/>
  <c r="BR8" i="9"/>
  <c r="BR7" i="9"/>
  <c r="I635" i="7"/>
  <c r="I632" i="7"/>
  <c r="D635" i="7"/>
  <c r="D632" i="7"/>
  <c r="M626" i="7"/>
  <c r="M625" i="7"/>
  <c r="M619" i="7"/>
  <c r="M622" i="7"/>
  <c r="M621" i="7"/>
  <c r="M614" i="7"/>
  <c r="M610" i="7"/>
  <c r="M598" i="7"/>
  <c r="M597" i="7"/>
  <c r="M596" i="7"/>
  <c r="M595" i="7"/>
  <c r="M594" i="7"/>
  <c r="M593" i="7"/>
  <c r="M591" i="7" s="1"/>
  <c r="M590" i="7"/>
  <c r="M589" i="7"/>
  <c r="M587" i="7"/>
  <c r="M584" i="7"/>
  <c r="M579" i="7"/>
  <c r="M571" i="7"/>
  <c r="M574" i="7"/>
  <c r="M573" i="7"/>
  <c r="M566" i="7"/>
  <c r="M565" i="7"/>
  <c r="M561" i="7"/>
  <c r="M545" i="7"/>
  <c r="M541" i="7"/>
  <c r="M524" i="7"/>
  <c r="M523" i="7"/>
  <c r="M520" i="7"/>
  <c r="M518" i="7"/>
  <c r="M517" i="7"/>
  <c r="M515" i="7" s="1"/>
  <c r="M510" i="7"/>
  <c r="M506" i="7"/>
  <c r="AU496" i="7"/>
  <c r="AS496" i="7"/>
  <c r="AP496" i="7"/>
  <c r="BA496" i="7"/>
  <c r="AZ496" i="7"/>
  <c r="AE496" i="7"/>
  <c r="AD496" i="7"/>
  <c r="M495" i="7"/>
  <c r="L496" i="7" s="1"/>
  <c r="J496" i="7" s="1"/>
  <c r="K495" i="7"/>
  <c r="F495" i="7"/>
  <c r="H495" i="7"/>
  <c r="E495" i="7"/>
  <c r="D495" i="7"/>
  <c r="AU494" i="7"/>
  <c r="AS494" i="7"/>
  <c r="AP494" i="7"/>
  <c r="BA494" i="7"/>
  <c r="AZ494" i="7"/>
  <c r="AE494" i="7"/>
  <c r="AD494" i="7"/>
  <c r="M493" i="7"/>
  <c r="K493" i="7"/>
  <c r="F493" i="7"/>
  <c r="H493" i="7"/>
  <c r="E493" i="7"/>
  <c r="D493" i="7"/>
  <c r="AT492" i="7"/>
  <c r="AO492" i="7"/>
  <c r="AE492" i="7"/>
  <c r="AD492" i="7"/>
  <c r="H491" i="7"/>
  <c r="F491" i="7"/>
  <c r="H490" i="7"/>
  <c r="F490" i="7"/>
  <c r="M487" i="7"/>
  <c r="AW492" i="7" s="1"/>
  <c r="M486" i="7"/>
  <c r="M485" i="7" s="1"/>
  <c r="K486" i="7"/>
  <c r="H486" i="7"/>
  <c r="F484" i="7"/>
  <c r="H484" i="7"/>
  <c r="E484" i="7"/>
  <c r="D484" i="7"/>
  <c r="AE483" i="7"/>
  <c r="AD483" i="7"/>
  <c r="H482" i="7"/>
  <c r="G482" i="7"/>
  <c r="F482" i="7"/>
  <c r="H481" i="7"/>
  <c r="G481" i="7"/>
  <c r="F481" i="7"/>
  <c r="H478" i="7"/>
  <c r="F478" i="7"/>
  <c r="E478" i="7"/>
  <c r="D478" i="7"/>
  <c r="C478" i="7"/>
  <c r="M477" i="7"/>
  <c r="J477" i="7"/>
  <c r="K477" i="7" s="1"/>
  <c r="I477" i="7"/>
  <c r="H477" i="7"/>
  <c r="M476" i="7"/>
  <c r="K476" i="7"/>
  <c r="J476" i="7"/>
  <c r="I476" i="7"/>
  <c r="H476" i="7"/>
  <c r="M475" i="7"/>
  <c r="M474" i="7" s="1"/>
  <c r="AW483" i="7" s="1"/>
  <c r="J475" i="7"/>
  <c r="I475" i="7"/>
  <c r="K475" i="7" s="1"/>
  <c r="H475" i="7"/>
  <c r="M473" i="7"/>
  <c r="K473" i="7"/>
  <c r="H473" i="7"/>
  <c r="G473" i="7"/>
  <c r="F473" i="7"/>
  <c r="M472" i="7"/>
  <c r="J472" i="7"/>
  <c r="I472" i="7"/>
  <c r="K472" i="7" s="1"/>
  <c r="H472" i="7"/>
  <c r="G472" i="7"/>
  <c r="M471" i="7"/>
  <c r="M469" i="7" s="1"/>
  <c r="AT483" i="7" s="1"/>
  <c r="K471" i="7"/>
  <c r="H471" i="7"/>
  <c r="G471" i="7"/>
  <c r="F471" i="7"/>
  <c r="M470" i="7"/>
  <c r="M468" i="7" s="1"/>
  <c r="J470" i="7"/>
  <c r="I470" i="7"/>
  <c r="K470" i="7" s="1"/>
  <c r="H470" i="7"/>
  <c r="G470" i="7"/>
  <c r="M467" i="7"/>
  <c r="M466" i="7" s="1"/>
  <c r="AR483" i="7" s="1"/>
  <c r="M480" i="7" s="1"/>
  <c r="K467" i="7"/>
  <c r="H467" i="7"/>
  <c r="G467" i="7"/>
  <c r="F465" i="7"/>
  <c r="H465" i="7"/>
  <c r="E465" i="7"/>
  <c r="AR464" i="7"/>
  <c r="AE464" i="7"/>
  <c r="AD464" i="7"/>
  <c r="H463" i="7"/>
  <c r="G463" i="7"/>
  <c r="F463" i="7"/>
  <c r="H462" i="7"/>
  <c r="G462" i="7"/>
  <c r="F462" i="7"/>
  <c r="H459" i="7"/>
  <c r="F459" i="7"/>
  <c r="E459" i="7"/>
  <c r="D459" i="7"/>
  <c r="C459" i="7"/>
  <c r="M458" i="7"/>
  <c r="K458" i="7"/>
  <c r="J458" i="7"/>
  <c r="I458" i="7"/>
  <c r="H458" i="7"/>
  <c r="M457" i="7"/>
  <c r="K457" i="7"/>
  <c r="J457" i="7"/>
  <c r="I457" i="7"/>
  <c r="H457" i="7"/>
  <c r="M456" i="7"/>
  <c r="J456" i="7"/>
  <c r="I456" i="7"/>
  <c r="K456" i="7" s="1"/>
  <c r="H456" i="7"/>
  <c r="M454" i="7"/>
  <c r="K454" i="7"/>
  <c r="H454" i="7"/>
  <c r="G454" i="7"/>
  <c r="F454" i="7"/>
  <c r="M453" i="7"/>
  <c r="J453" i="7"/>
  <c r="I453" i="7"/>
  <c r="H453" i="7"/>
  <c r="G453" i="7"/>
  <c r="M452" i="7"/>
  <c r="K452" i="7"/>
  <c r="H452" i="7"/>
  <c r="G452" i="7"/>
  <c r="F452" i="7"/>
  <c r="M451" i="7"/>
  <c r="J451" i="7"/>
  <c r="I451" i="7"/>
  <c r="K451" i="7" s="1"/>
  <c r="H451" i="7"/>
  <c r="G451" i="7"/>
  <c r="M448" i="7"/>
  <c r="M447" i="7" s="1"/>
  <c r="K448" i="7"/>
  <c r="H448" i="7"/>
  <c r="G448" i="7"/>
  <c r="F446" i="7"/>
  <c r="H446" i="7"/>
  <c r="E446" i="7"/>
  <c r="M440" i="7"/>
  <c r="M439" i="7"/>
  <c r="M436" i="7"/>
  <c r="M434" i="7"/>
  <c r="M433" i="7"/>
  <c r="M431" i="7" s="1"/>
  <c r="M427" i="7"/>
  <c r="M426" i="7"/>
  <c r="M422" i="7"/>
  <c r="AE412" i="7"/>
  <c r="AD412" i="7"/>
  <c r="H411" i="7"/>
  <c r="F411" i="7"/>
  <c r="H410" i="7"/>
  <c r="F410" i="7"/>
  <c r="H407" i="7"/>
  <c r="F407" i="7"/>
  <c r="E407" i="7"/>
  <c r="D407" i="7"/>
  <c r="C407" i="7"/>
  <c r="M406" i="7"/>
  <c r="I406" i="7"/>
  <c r="H406" i="7"/>
  <c r="M405" i="7"/>
  <c r="I405" i="7"/>
  <c r="H405" i="7"/>
  <c r="M404" i="7"/>
  <c r="J404" i="7"/>
  <c r="I404" i="7"/>
  <c r="K404" i="7" s="1"/>
  <c r="H404" i="7"/>
  <c r="M403" i="7"/>
  <c r="J403" i="7"/>
  <c r="I403" i="7"/>
  <c r="H403" i="7"/>
  <c r="M402" i="7"/>
  <c r="K402" i="7"/>
  <c r="J402" i="7"/>
  <c r="I402" i="7"/>
  <c r="H402" i="7"/>
  <c r="M401" i="7"/>
  <c r="K401" i="7"/>
  <c r="J401" i="7"/>
  <c r="I401" i="7"/>
  <c r="H401" i="7"/>
  <c r="M399" i="7"/>
  <c r="K399" i="7"/>
  <c r="H399" i="7"/>
  <c r="F399" i="7"/>
  <c r="M398" i="7"/>
  <c r="K398" i="7"/>
  <c r="J398" i="7"/>
  <c r="I398" i="7"/>
  <c r="H398" i="7"/>
  <c r="M397" i="7"/>
  <c r="K397" i="7"/>
  <c r="H397" i="7"/>
  <c r="F397" i="7"/>
  <c r="M396" i="7"/>
  <c r="J396" i="7"/>
  <c r="I396" i="7"/>
  <c r="K396" i="7" s="1"/>
  <c r="H396" i="7"/>
  <c r="M393" i="7"/>
  <c r="M392" i="7" s="1"/>
  <c r="K393" i="7"/>
  <c r="H393" i="7"/>
  <c r="F391" i="7"/>
  <c r="H391" i="7"/>
  <c r="E391" i="7"/>
  <c r="D391" i="7"/>
  <c r="M385" i="7"/>
  <c r="M384" i="7"/>
  <c r="M381" i="7"/>
  <c r="M379" i="7"/>
  <c r="M378" i="7"/>
  <c r="M376" i="7" s="1"/>
  <c r="M372" i="7"/>
  <c r="M371" i="7"/>
  <c r="M367" i="7"/>
  <c r="AE357" i="7"/>
  <c r="AD357" i="7"/>
  <c r="H356" i="7"/>
  <c r="F356" i="7"/>
  <c r="H355" i="7"/>
  <c r="F355" i="7"/>
  <c r="M352" i="7"/>
  <c r="I352" i="7"/>
  <c r="H352" i="7"/>
  <c r="M351" i="7"/>
  <c r="M349" i="7" s="1"/>
  <c r="AW357" i="7" s="1"/>
  <c r="I351" i="7"/>
  <c r="H351" i="7"/>
  <c r="M350" i="7"/>
  <c r="K350" i="7"/>
  <c r="J350" i="7"/>
  <c r="I350" i="7"/>
  <c r="H350" i="7"/>
  <c r="M348" i="7"/>
  <c r="K348" i="7"/>
  <c r="H348" i="7"/>
  <c r="F348" i="7"/>
  <c r="M347" i="7"/>
  <c r="K347" i="7"/>
  <c r="J347" i="7"/>
  <c r="I347" i="7"/>
  <c r="H347" i="7"/>
  <c r="M346" i="7"/>
  <c r="M344" i="7" s="1"/>
  <c r="K346" i="7"/>
  <c r="H346" i="7"/>
  <c r="F346" i="7"/>
  <c r="M345" i="7"/>
  <c r="K345" i="7"/>
  <c r="H345" i="7"/>
  <c r="M342" i="7"/>
  <c r="M341" i="7" s="1"/>
  <c r="K342" i="7"/>
  <c r="H342" i="7"/>
  <c r="F340" i="7"/>
  <c r="H340" i="7"/>
  <c r="E340" i="7"/>
  <c r="D340" i="7"/>
  <c r="AT339" i="7"/>
  <c r="AE339" i="7"/>
  <c r="AD339" i="7"/>
  <c r="H338" i="7"/>
  <c r="F338" i="7"/>
  <c r="H337" i="7"/>
  <c r="F337" i="7"/>
  <c r="M334" i="7"/>
  <c r="AW339" i="7" s="1"/>
  <c r="M329" i="7"/>
  <c r="M333" i="7"/>
  <c r="K333" i="7"/>
  <c r="H333" i="7"/>
  <c r="G333" i="7"/>
  <c r="F333" i="7"/>
  <c r="M332" i="7"/>
  <c r="K332" i="7"/>
  <c r="J332" i="7"/>
  <c r="I332" i="7"/>
  <c r="H332" i="7"/>
  <c r="G332" i="7"/>
  <c r="M331" i="7"/>
  <c r="K331" i="7"/>
  <c r="H331" i="7"/>
  <c r="G331" i="7"/>
  <c r="F331" i="7"/>
  <c r="M330" i="7"/>
  <c r="K330" i="7"/>
  <c r="H330" i="7"/>
  <c r="G330" i="7"/>
  <c r="M327" i="7"/>
  <c r="M326" i="7" s="1"/>
  <c r="K327" i="7"/>
  <c r="H327" i="7"/>
  <c r="G327" i="7"/>
  <c r="F325" i="7"/>
  <c r="H325" i="7"/>
  <c r="E325" i="7"/>
  <c r="M319" i="7"/>
  <c r="M318" i="7"/>
  <c r="M315" i="7"/>
  <c r="M313" i="7"/>
  <c r="M312" i="7"/>
  <c r="M310" i="7" s="1"/>
  <c r="M306" i="7"/>
  <c r="M305" i="7"/>
  <c r="M301" i="7"/>
  <c r="AE291" i="7"/>
  <c r="AD291" i="7"/>
  <c r="H290" i="7"/>
  <c r="G290" i="7"/>
  <c r="F290" i="7"/>
  <c r="H289" i="7"/>
  <c r="G289" i="7"/>
  <c r="F289" i="7"/>
  <c r="H286" i="7"/>
  <c r="F286" i="7"/>
  <c r="E286" i="7"/>
  <c r="D286" i="7"/>
  <c r="C286" i="7"/>
  <c r="M283" i="7"/>
  <c r="AW291" i="7" s="1"/>
  <c r="M285" i="7"/>
  <c r="J285" i="7"/>
  <c r="I285" i="7"/>
  <c r="K285" i="7" s="1"/>
  <c r="H285" i="7"/>
  <c r="M284" i="7"/>
  <c r="J284" i="7"/>
  <c r="I284" i="7"/>
  <c r="K284" i="7" s="1"/>
  <c r="H284" i="7"/>
  <c r="M282" i="7"/>
  <c r="M280" i="7" s="1"/>
  <c r="AT291" i="7" s="1"/>
  <c r="K282" i="7"/>
  <c r="H282" i="7"/>
  <c r="G282" i="7"/>
  <c r="F282" i="7"/>
  <c r="M281" i="7"/>
  <c r="K281" i="7"/>
  <c r="J281" i="7"/>
  <c r="I281" i="7"/>
  <c r="H281" i="7"/>
  <c r="G281" i="7"/>
  <c r="M277" i="7"/>
  <c r="M278" i="7"/>
  <c r="K278" i="7"/>
  <c r="H278" i="7"/>
  <c r="G278" i="7"/>
  <c r="F276" i="7"/>
  <c r="H276" i="7"/>
  <c r="E276" i="7"/>
  <c r="AE275" i="7"/>
  <c r="AD275" i="7"/>
  <c r="H274" i="7"/>
  <c r="G274" i="7"/>
  <c r="F274" i="7"/>
  <c r="H273" i="7"/>
  <c r="G273" i="7"/>
  <c r="F273" i="7"/>
  <c r="H270" i="7"/>
  <c r="F270" i="7"/>
  <c r="E270" i="7"/>
  <c r="D270" i="7"/>
  <c r="C270" i="7"/>
  <c r="H269" i="7"/>
  <c r="F269" i="7"/>
  <c r="E269" i="7"/>
  <c r="D269" i="7"/>
  <c r="C269" i="7"/>
  <c r="M263" i="7"/>
  <c r="AW275" i="7" s="1"/>
  <c r="M268" i="7"/>
  <c r="I268" i="7"/>
  <c r="H268" i="7"/>
  <c r="M267" i="7"/>
  <c r="I267" i="7"/>
  <c r="H267" i="7"/>
  <c r="M266" i="7"/>
  <c r="I266" i="7"/>
  <c r="H266" i="7"/>
  <c r="M265" i="7"/>
  <c r="J265" i="7"/>
  <c r="K265" i="7" s="1"/>
  <c r="I265" i="7"/>
  <c r="H265" i="7"/>
  <c r="M264" i="7"/>
  <c r="K264" i="7"/>
  <c r="J264" i="7"/>
  <c r="I264" i="7"/>
  <c r="H264" i="7"/>
  <c r="M258" i="7"/>
  <c r="M262" i="7"/>
  <c r="K262" i="7"/>
  <c r="H262" i="7"/>
  <c r="G262" i="7"/>
  <c r="F262" i="7"/>
  <c r="M261" i="7"/>
  <c r="J261" i="7"/>
  <c r="I261" i="7"/>
  <c r="K261" i="7" s="1"/>
  <c r="H261" i="7"/>
  <c r="G261" i="7"/>
  <c r="M260" i="7"/>
  <c r="K260" i="7"/>
  <c r="H260" i="7"/>
  <c r="G260" i="7"/>
  <c r="F260" i="7"/>
  <c r="M259" i="7"/>
  <c r="K259" i="7"/>
  <c r="J259" i="7"/>
  <c r="I259" i="7"/>
  <c r="H259" i="7"/>
  <c r="G259" i="7"/>
  <c r="M256" i="7"/>
  <c r="M255" i="7" s="1"/>
  <c r="K256" i="7"/>
  <c r="H256" i="7"/>
  <c r="G256" i="7"/>
  <c r="F254" i="7"/>
  <c r="H254" i="7"/>
  <c r="E254" i="7"/>
  <c r="AE253" i="7"/>
  <c r="AD253" i="7"/>
  <c r="H252" i="7"/>
  <c r="G252" i="7"/>
  <c r="F252" i="7"/>
  <c r="H251" i="7"/>
  <c r="G251" i="7"/>
  <c r="F251" i="7"/>
  <c r="H248" i="7"/>
  <c r="F248" i="7"/>
  <c r="E248" i="7"/>
  <c r="D248" i="7"/>
  <c r="C248" i="7"/>
  <c r="H247" i="7"/>
  <c r="F247" i="7"/>
  <c r="E247" i="7"/>
  <c r="D247" i="7"/>
  <c r="C247" i="7"/>
  <c r="M246" i="7"/>
  <c r="I246" i="7"/>
  <c r="H246" i="7"/>
  <c r="M245" i="7"/>
  <c r="I245" i="7"/>
  <c r="H245" i="7"/>
  <c r="M244" i="7"/>
  <c r="I244" i="7"/>
  <c r="H244" i="7"/>
  <c r="M243" i="7"/>
  <c r="K243" i="7"/>
  <c r="J243" i="7"/>
  <c r="I243" i="7"/>
  <c r="H243" i="7"/>
  <c r="M242" i="7"/>
  <c r="J242" i="7"/>
  <c r="I242" i="7"/>
  <c r="K242" i="7" s="1"/>
  <c r="H242" i="7"/>
  <c r="M240" i="7"/>
  <c r="K240" i="7"/>
  <c r="H240" i="7"/>
  <c r="G240" i="7"/>
  <c r="F240" i="7"/>
  <c r="M239" i="7"/>
  <c r="J239" i="7"/>
  <c r="I239" i="7"/>
  <c r="H239" i="7"/>
  <c r="G239" i="7"/>
  <c r="M238" i="7"/>
  <c r="K238" i="7"/>
  <c r="H238" i="7"/>
  <c r="G238" i="7"/>
  <c r="F238" i="7"/>
  <c r="M237" i="7"/>
  <c r="J237" i="7"/>
  <c r="I237" i="7"/>
  <c r="K237" i="7" s="1"/>
  <c r="H237" i="7"/>
  <c r="G237" i="7"/>
  <c r="M234" i="7"/>
  <c r="M233" i="7" s="1"/>
  <c r="K234" i="7"/>
  <c r="H234" i="7"/>
  <c r="G234" i="7"/>
  <c r="F232" i="7"/>
  <c r="H232" i="7"/>
  <c r="E232" i="7"/>
  <c r="AE231" i="7"/>
  <c r="AD231" i="7"/>
  <c r="H230" i="7"/>
  <c r="G230" i="7"/>
  <c r="F230" i="7"/>
  <c r="H229" i="7"/>
  <c r="G229" i="7"/>
  <c r="F229" i="7"/>
  <c r="M226" i="7"/>
  <c r="I226" i="7"/>
  <c r="H226" i="7"/>
  <c r="M225" i="7"/>
  <c r="M223" i="7" s="1"/>
  <c r="AW231" i="7" s="1"/>
  <c r="J225" i="7"/>
  <c r="I225" i="7"/>
  <c r="K225" i="7" s="1"/>
  <c r="H225" i="7"/>
  <c r="M224" i="7"/>
  <c r="J224" i="7"/>
  <c r="I224" i="7"/>
  <c r="H224" i="7"/>
  <c r="M222" i="7"/>
  <c r="K222" i="7"/>
  <c r="H222" i="7"/>
  <c r="G222" i="7"/>
  <c r="F222" i="7"/>
  <c r="M221" i="7"/>
  <c r="K221" i="7"/>
  <c r="J221" i="7"/>
  <c r="I221" i="7"/>
  <c r="H221" i="7"/>
  <c r="G221" i="7"/>
  <c r="M220" i="7"/>
  <c r="M218" i="7" s="1"/>
  <c r="AT231" i="7" s="1"/>
  <c r="K220" i="7"/>
  <c r="H220" i="7"/>
  <c r="G220" i="7"/>
  <c r="F220" i="7"/>
  <c r="M219" i="7"/>
  <c r="J219" i="7"/>
  <c r="I219" i="7"/>
  <c r="K219" i="7" s="1"/>
  <c r="H219" i="7"/>
  <c r="G219" i="7"/>
  <c r="M216" i="7"/>
  <c r="M215" i="7" s="1"/>
  <c r="K216" i="7"/>
  <c r="H216" i="7"/>
  <c r="G216" i="7"/>
  <c r="F214" i="7"/>
  <c r="H214" i="7"/>
  <c r="E214" i="7"/>
  <c r="AE213" i="7"/>
  <c r="AD213" i="7"/>
  <c r="H212" i="7"/>
  <c r="G212" i="7"/>
  <c r="F212" i="7"/>
  <c r="H211" i="7"/>
  <c r="G211" i="7"/>
  <c r="F211" i="7"/>
  <c r="M208" i="7"/>
  <c r="I208" i="7"/>
  <c r="H208" i="7"/>
  <c r="M207" i="7"/>
  <c r="J207" i="7"/>
  <c r="I207" i="7"/>
  <c r="H207" i="7"/>
  <c r="M206" i="7"/>
  <c r="M205" i="7" s="1"/>
  <c r="AW213" i="7" s="1"/>
  <c r="K206" i="7"/>
  <c r="J206" i="7"/>
  <c r="I206" i="7"/>
  <c r="H206" i="7"/>
  <c r="M200" i="7"/>
  <c r="M204" i="7"/>
  <c r="K204" i="7"/>
  <c r="H204" i="7"/>
  <c r="G204" i="7"/>
  <c r="F204" i="7"/>
  <c r="M203" i="7"/>
  <c r="K203" i="7"/>
  <c r="J203" i="7"/>
  <c r="I203" i="7"/>
  <c r="H203" i="7"/>
  <c r="G203" i="7"/>
  <c r="M202" i="7"/>
  <c r="K202" i="7"/>
  <c r="H202" i="7"/>
  <c r="G202" i="7"/>
  <c r="F202" i="7"/>
  <c r="M201" i="7"/>
  <c r="K201" i="7"/>
  <c r="J201" i="7"/>
  <c r="I201" i="7"/>
  <c r="H201" i="7"/>
  <c r="G201" i="7"/>
  <c r="M197" i="7"/>
  <c r="AR213" i="7" s="1"/>
  <c r="M198" i="7"/>
  <c r="K198" i="7"/>
  <c r="H198" i="7"/>
  <c r="G198" i="7"/>
  <c r="F196" i="7"/>
  <c r="H196" i="7"/>
  <c r="E196" i="7"/>
  <c r="AE195" i="7"/>
  <c r="AD195" i="7"/>
  <c r="H194" i="7"/>
  <c r="G194" i="7"/>
  <c r="F194" i="7"/>
  <c r="H193" i="7"/>
  <c r="G193" i="7"/>
  <c r="F193" i="7"/>
  <c r="H190" i="7"/>
  <c r="F190" i="7"/>
  <c r="E190" i="7"/>
  <c r="D190" i="7"/>
  <c r="C190" i="7"/>
  <c r="M189" i="7"/>
  <c r="I189" i="7"/>
  <c r="H189" i="7"/>
  <c r="M188" i="7"/>
  <c r="M187" i="7" s="1"/>
  <c r="AW195" i="7" s="1"/>
  <c r="K188" i="7"/>
  <c r="J188" i="7"/>
  <c r="I188" i="7"/>
  <c r="H188" i="7"/>
  <c r="M186" i="7"/>
  <c r="M182" i="7" s="1"/>
  <c r="K186" i="7"/>
  <c r="H186" i="7"/>
  <c r="G186" i="7"/>
  <c r="F186" i="7"/>
  <c r="M185" i="7"/>
  <c r="J185" i="7"/>
  <c r="I185" i="7"/>
  <c r="K185" i="7" s="1"/>
  <c r="H185" i="7"/>
  <c r="G185" i="7"/>
  <c r="M184" i="7"/>
  <c r="K184" i="7"/>
  <c r="H184" i="7"/>
  <c r="G184" i="7"/>
  <c r="F184" i="7"/>
  <c r="M183" i="7"/>
  <c r="K183" i="7"/>
  <c r="J183" i="7"/>
  <c r="I183" i="7"/>
  <c r="H183" i="7"/>
  <c r="G183" i="7"/>
  <c r="M180" i="7"/>
  <c r="M179" i="7" s="1"/>
  <c r="K180" i="7"/>
  <c r="H180" i="7"/>
  <c r="G180" i="7"/>
  <c r="F178" i="7"/>
  <c r="H178" i="7"/>
  <c r="E178" i="7"/>
  <c r="AE177" i="7"/>
  <c r="AD177" i="7"/>
  <c r="H176" i="7"/>
  <c r="G176" i="7"/>
  <c r="F176" i="7"/>
  <c r="H175" i="7"/>
  <c r="G175" i="7"/>
  <c r="F175" i="7"/>
  <c r="H172" i="7"/>
  <c r="F172" i="7"/>
  <c r="E172" i="7"/>
  <c r="D172" i="7"/>
  <c r="C172" i="7"/>
  <c r="H171" i="7"/>
  <c r="F171" i="7"/>
  <c r="E171" i="7"/>
  <c r="D171" i="7"/>
  <c r="C171" i="7"/>
  <c r="M170" i="7"/>
  <c r="I170" i="7"/>
  <c r="H170" i="7"/>
  <c r="M169" i="7"/>
  <c r="M165" i="7" s="1"/>
  <c r="AW177" i="7" s="1"/>
  <c r="I169" i="7"/>
  <c r="H169" i="7"/>
  <c r="M168" i="7"/>
  <c r="I168" i="7"/>
  <c r="H168" i="7"/>
  <c r="M167" i="7"/>
  <c r="J167" i="7"/>
  <c r="I167" i="7"/>
  <c r="H167" i="7"/>
  <c r="M166" i="7"/>
  <c r="K166" i="7"/>
  <c r="J166" i="7"/>
  <c r="I166" i="7"/>
  <c r="H166" i="7"/>
  <c r="M160" i="7"/>
  <c r="M159" i="7" s="1"/>
  <c r="AO177" i="7" s="1"/>
  <c r="M164" i="7"/>
  <c r="K164" i="7"/>
  <c r="H164" i="7"/>
  <c r="G164" i="7"/>
  <c r="F164" i="7"/>
  <c r="M163" i="7"/>
  <c r="K163" i="7"/>
  <c r="J163" i="7"/>
  <c r="I163" i="7"/>
  <c r="H163" i="7"/>
  <c r="G163" i="7"/>
  <c r="M162" i="7"/>
  <c r="K162" i="7"/>
  <c r="H162" i="7"/>
  <c r="G162" i="7"/>
  <c r="F162" i="7"/>
  <c r="M161" i="7"/>
  <c r="J161" i="7"/>
  <c r="K161" i="7" s="1"/>
  <c r="I161" i="7"/>
  <c r="H161" i="7"/>
  <c r="G161" i="7"/>
  <c r="M157" i="7"/>
  <c r="AR177" i="7" s="1"/>
  <c r="M158" i="7"/>
  <c r="K158" i="7"/>
  <c r="H158" i="7"/>
  <c r="G158" i="7"/>
  <c r="F156" i="7"/>
  <c r="H156" i="7"/>
  <c r="E156" i="7"/>
  <c r="AE155" i="7"/>
  <c r="AD155" i="7"/>
  <c r="H154" i="7"/>
  <c r="F154" i="7"/>
  <c r="H153" i="7"/>
  <c r="F153" i="7"/>
  <c r="H150" i="7"/>
  <c r="F150" i="7"/>
  <c r="E150" i="7"/>
  <c r="D150" i="7"/>
  <c r="C150" i="7"/>
  <c r="M149" i="7"/>
  <c r="I149" i="7"/>
  <c r="H149" i="7"/>
  <c r="M148" i="7"/>
  <c r="M146" i="7" s="1"/>
  <c r="AW155" i="7" s="1"/>
  <c r="J148" i="7"/>
  <c r="I148" i="7"/>
  <c r="K148" i="7" s="1"/>
  <c r="H148" i="7"/>
  <c r="M147" i="7"/>
  <c r="J147" i="7"/>
  <c r="K147" i="7" s="1"/>
  <c r="I147" i="7"/>
  <c r="H147" i="7"/>
  <c r="M143" i="7"/>
  <c r="M145" i="7"/>
  <c r="K145" i="7"/>
  <c r="H145" i="7"/>
  <c r="F145" i="7"/>
  <c r="M144" i="7"/>
  <c r="J144" i="7"/>
  <c r="K144" i="7" s="1"/>
  <c r="I144" i="7"/>
  <c r="H144" i="7"/>
  <c r="M141" i="7"/>
  <c r="M140" i="7" s="1"/>
  <c r="K141" i="7"/>
  <c r="H141" i="7"/>
  <c r="F139" i="7"/>
  <c r="H139" i="7"/>
  <c r="E139" i="7"/>
  <c r="D139" i="7"/>
  <c r="AE138" i="7"/>
  <c r="AD138" i="7"/>
  <c r="H137" i="7"/>
  <c r="G137" i="7"/>
  <c r="F137" i="7"/>
  <c r="H136" i="7"/>
  <c r="G136" i="7"/>
  <c r="F136" i="7"/>
  <c r="H133" i="7"/>
  <c r="F133" i="7"/>
  <c r="E133" i="7"/>
  <c r="D133" i="7"/>
  <c r="C133" i="7"/>
  <c r="M132" i="7"/>
  <c r="I132" i="7"/>
  <c r="H132" i="7"/>
  <c r="M131" i="7"/>
  <c r="K131" i="7"/>
  <c r="J131" i="7"/>
  <c r="I131" i="7"/>
  <c r="H131" i="7"/>
  <c r="M125" i="7"/>
  <c r="M124" i="7" s="1"/>
  <c r="AO138" i="7" s="1"/>
  <c r="M129" i="7"/>
  <c r="K129" i="7"/>
  <c r="H129" i="7"/>
  <c r="G129" i="7"/>
  <c r="F129" i="7"/>
  <c r="M128" i="7"/>
  <c r="K128" i="7"/>
  <c r="J128" i="7"/>
  <c r="I128" i="7"/>
  <c r="H128" i="7"/>
  <c r="G128" i="7"/>
  <c r="M127" i="7"/>
  <c r="K127" i="7"/>
  <c r="H127" i="7"/>
  <c r="G127" i="7"/>
  <c r="F127" i="7"/>
  <c r="M126" i="7"/>
  <c r="J126" i="7"/>
  <c r="K126" i="7" s="1"/>
  <c r="I126" i="7"/>
  <c r="H126" i="7"/>
  <c r="G126" i="7"/>
  <c r="M122" i="7"/>
  <c r="AR138" i="7" s="1"/>
  <c r="M123" i="7"/>
  <c r="K123" i="7"/>
  <c r="H123" i="7"/>
  <c r="G123" i="7"/>
  <c r="F121" i="7"/>
  <c r="H121" i="7"/>
  <c r="E121" i="7"/>
  <c r="AW120" i="7"/>
  <c r="AT120" i="7"/>
  <c r="AO120" i="7"/>
  <c r="AE120" i="7"/>
  <c r="AD120" i="7"/>
  <c r="H119" i="7"/>
  <c r="F119" i="7"/>
  <c r="H118" i="7"/>
  <c r="F118" i="7"/>
  <c r="M114" i="7"/>
  <c r="M115" i="7"/>
  <c r="K115" i="7"/>
  <c r="H115" i="7"/>
  <c r="F113" i="7"/>
  <c r="H113" i="7"/>
  <c r="E113" i="7"/>
  <c r="D113" i="7"/>
  <c r="AW112" i="7"/>
  <c r="AT112" i="7"/>
  <c r="AO112" i="7"/>
  <c r="AE112" i="7"/>
  <c r="AD112" i="7"/>
  <c r="H111" i="7"/>
  <c r="F111" i="7"/>
  <c r="H110" i="7"/>
  <c r="F110" i="7"/>
  <c r="M106" i="7"/>
  <c r="M107" i="7"/>
  <c r="K107" i="7"/>
  <c r="H107" i="7"/>
  <c r="F105" i="7"/>
  <c r="H105" i="7"/>
  <c r="E105" i="7"/>
  <c r="D105" i="7"/>
  <c r="AE102" i="7"/>
  <c r="AD102" i="7"/>
  <c r="H101" i="7"/>
  <c r="G101" i="7"/>
  <c r="F101" i="7"/>
  <c r="H100" i="7"/>
  <c r="G100" i="7"/>
  <c r="F100" i="7"/>
  <c r="H97" i="7"/>
  <c r="F97" i="7"/>
  <c r="E97" i="7"/>
  <c r="D97" i="7"/>
  <c r="C97" i="7"/>
  <c r="M96" i="7"/>
  <c r="I96" i="7"/>
  <c r="H96" i="7"/>
  <c r="M95" i="7"/>
  <c r="M93" i="7" s="1"/>
  <c r="AW102" i="7" s="1"/>
  <c r="I95" i="7"/>
  <c r="H95" i="7"/>
  <c r="M94" i="7"/>
  <c r="K94" i="7"/>
  <c r="H94" i="7"/>
  <c r="M92" i="7"/>
  <c r="M90" i="7" s="1"/>
  <c r="AT102" i="7" s="1"/>
  <c r="K92" i="7"/>
  <c r="H92" i="7"/>
  <c r="G92" i="7"/>
  <c r="F92" i="7"/>
  <c r="M91" i="7"/>
  <c r="J91" i="7"/>
  <c r="I91" i="7"/>
  <c r="H91" i="7"/>
  <c r="G91" i="7"/>
  <c r="M87" i="7"/>
  <c r="M88" i="7"/>
  <c r="K88" i="7"/>
  <c r="H88" i="7"/>
  <c r="G88" i="7"/>
  <c r="F86" i="7"/>
  <c r="H86" i="7"/>
  <c r="E86" i="7"/>
  <c r="AW85" i="7"/>
  <c r="AT85" i="7"/>
  <c r="AE85" i="7"/>
  <c r="AD85" i="7"/>
  <c r="H84" i="7"/>
  <c r="F84" i="7"/>
  <c r="H83" i="7"/>
  <c r="F83" i="7"/>
  <c r="H80" i="7"/>
  <c r="G80" i="7"/>
  <c r="F80" i="7"/>
  <c r="E80" i="7"/>
  <c r="D80" i="7"/>
  <c r="C80" i="7"/>
  <c r="M79" i="7"/>
  <c r="M76" i="7"/>
  <c r="M75" i="7"/>
  <c r="AO85" i="7" s="1"/>
  <c r="M78" i="7"/>
  <c r="K78" i="7"/>
  <c r="H78" i="7"/>
  <c r="G78" i="7"/>
  <c r="F78" i="7"/>
  <c r="M77" i="7"/>
  <c r="J77" i="7"/>
  <c r="K77" i="7" s="1"/>
  <c r="I77" i="7"/>
  <c r="H77" i="7"/>
  <c r="G77" i="7"/>
  <c r="M73" i="7"/>
  <c r="M74" i="7"/>
  <c r="K74" i="7"/>
  <c r="H74" i="7"/>
  <c r="G74" i="7"/>
  <c r="F72" i="7"/>
  <c r="H72" i="7"/>
  <c r="E72" i="7"/>
  <c r="AE71" i="7"/>
  <c r="AD71" i="7"/>
  <c r="H70" i="7"/>
  <c r="G70" i="7"/>
  <c r="F70" i="7"/>
  <c r="H69" i="7"/>
  <c r="G69" i="7"/>
  <c r="F69" i="7"/>
  <c r="H66" i="7"/>
  <c r="F66" i="7"/>
  <c r="E66" i="7"/>
  <c r="D66" i="7"/>
  <c r="C66" i="7"/>
  <c r="M65" i="7"/>
  <c r="M58" i="7" s="1"/>
  <c r="AW71" i="7" s="1"/>
  <c r="J65" i="7"/>
  <c r="I65" i="7"/>
  <c r="K65" i="7" s="1"/>
  <c r="H65" i="7"/>
  <c r="M64" i="7"/>
  <c r="J64" i="7"/>
  <c r="I64" i="7"/>
  <c r="K64" i="7" s="1"/>
  <c r="H64" i="7"/>
  <c r="M63" i="7"/>
  <c r="J63" i="7"/>
  <c r="K63" i="7" s="1"/>
  <c r="I63" i="7"/>
  <c r="H63" i="7"/>
  <c r="M62" i="7"/>
  <c r="I62" i="7"/>
  <c r="H62" i="7"/>
  <c r="M61" i="7"/>
  <c r="J61" i="7"/>
  <c r="K61" i="7" s="1"/>
  <c r="I61" i="7"/>
  <c r="H61" i="7"/>
  <c r="M60" i="7"/>
  <c r="K60" i="7"/>
  <c r="J60" i="7"/>
  <c r="I60" i="7"/>
  <c r="H60" i="7"/>
  <c r="M59" i="7"/>
  <c r="K59" i="7"/>
  <c r="H59" i="7"/>
  <c r="M53" i="7"/>
  <c r="M57" i="7"/>
  <c r="K57" i="7"/>
  <c r="H57" i="7"/>
  <c r="G57" i="7"/>
  <c r="F57" i="7"/>
  <c r="M56" i="7"/>
  <c r="K56" i="7"/>
  <c r="J56" i="7"/>
  <c r="I56" i="7"/>
  <c r="H56" i="7"/>
  <c r="G56" i="7"/>
  <c r="M55" i="7"/>
  <c r="K55" i="7"/>
  <c r="H55" i="7"/>
  <c r="G55" i="7"/>
  <c r="F55" i="7"/>
  <c r="M54" i="7"/>
  <c r="K54" i="7"/>
  <c r="J54" i="7"/>
  <c r="I54" i="7"/>
  <c r="H54" i="7"/>
  <c r="G54" i="7"/>
  <c r="M50" i="7"/>
  <c r="M51" i="7"/>
  <c r="K51" i="7"/>
  <c r="H51" i="7"/>
  <c r="G51" i="7"/>
  <c r="F49" i="7"/>
  <c r="H49" i="7"/>
  <c r="E49" i="7"/>
  <c r="AT48" i="7"/>
  <c r="AO48" i="7"/>
  <c r="AE48" i="7"/>
  <c r="AD48" i="7"/>
  <c r="H47" i="7"/>
  <c r="F47" i="7"/>
  <c r="H46" i="7"/>
  <c r="F46" i="7"/>
  <c r="M43" i="7"/>
  <c r="M41" i="7"/>
  <c r="M42" i="7"/>
  <c r="K42" i="7"/>
  <c r="H42" i="7"/>
  <c r="F40" i="7"/>
  <c r="H40" i="7"/>
  <c r="E40" i="7"/>
  <c r="D40" i="7"/>
  <c r="J26" i="7"/>
  <c r="I26" i="7"/>
  <c r="H26" i="7"/>
  <c r="G26" i="7"/>
  <c r="K22" i="7"/>
  <c r="K21" i="7"/>
  <c r="K20" i="7"/>
  <c r="K19" i="7"/>
  <c r="K16" i="7"/>
  <c r="C17" i="7"/>
  <c r="K14" i="7"/>
  <c r="K12" i="7"/>
  <c r="C13" i="7"/>
  <c r="K10" i="7"/>
  <c r="C11" i="7"/>
  <c r="K8" i="7"/>
  <c r="C9" i="7"/>
  <c r="A1" i="7"/>
  <c r="H647" i="6"/>
  <c r="H644" i="6"/>
  <c r="C647" i="6"/>
  <c r="C644" i="6"/>
  <c r="L638" i="6"/>
  <c r="L637" i="6"/>
  <c r="L634" i="6"/>
  <c r="L633" i="6"/>
  <c r="L631" i="6" s="1"/>
  <c r="L626" i="6"/>
  <c r="L622" i="6"/>
  <c r="L610" i="6"/>
  <c r="L609" i="6"/>
  <c r="L608" i="6"/>
  <c r="L607" i="6"/>
  <c r="L606" i="6"/>
  <c r="L603" i="6" s="1"/>
  <c r="L605" i="6"/>
  <c r="L602" i="6"/>
  <c r="L601" i="6"/>
  <c r="L599" i="6"/>
  <c r="L596" i="6"/>
  <c r="L591" i="6"/>
  <c r="L583" i="6"/>
  <c r="L586" i="6"/>
  <c r="L585" i="6"/>
  <c r="L578" i="6"/>
  <c r="L577" i="6"/>
  <c r="L573" i="6"/>
  <c r="L557" i="6"/>
  <c r="L553" i="6"/>
  <c r="L536" i="6"/>
  <c r="L535" i="6"/>
  <c r="L532" i="6"/>
  <c r="L530" i="6"/>
  <c r="L529" i="6"/>
  <c r="L527" i="6" s="1"/>
  <c r="L522" i="6"/>
  <c r="L518" i="6"/>
  <c r="AU508" i="6"/>
  <c r="AS508" i="6"/>
  <c r="AP508" i="6"/>
  <c r="BA508" i="6"/>
  <c r="AZ508" i="6"/>
  <c r="AE508" i="6"/>
  <c r="AD508" i="6"/>
  <c r="L507" i="6"/>
  <c r="J507" i="6"/>
  <c r="E507" i="6"/>
  <c r="G507" i="6"/>
  <c r="D507" i="6"/>
  <c r="C507" i="6"/>
  <c r="AU506" i="6"/>
  <c r="AS506" i="6"/>
  <c r="AP506" i="6"/>
  <c r="BA506" i="6"/>
  <c r="AZ506" i="6"/>
  <c r="AE506" i="6"/>
  <c r="AD506" i="6"/>
  <c r="K506" i="6"/>
  <c r="I506" i="6"/>
  <c r="L505" i="6"/>
  <c r="BB506" i="6" s="1"/>
  <c r="J505" i="6"/>
  <c r="E505" i="6"/>
  <c r="G505" i="6"/>
  <c r="D505" i="6"/>
  <c r="C505" i="6"/>
  <c r="AT504" i="6"/>
  <c r="AO504" i="6"/>
  <c r="AE504" i="6"/>
  <c r="AD504" i="6"/>
  <c r="G503" i="6"/>
  <c r="E503" i="6"/>
  <c r="G502" i="6"/>
  <c r="E502" i="6"/>
  <c r="L499" i="6"/>
  <c r="AW504" i="6" s="1"/>
  <c r="L498" i="6"/>
  <c r="L497" i="6" s="1"/>
  <c r="J498" i="6"/>
  <c r="G498" i="6"/>
  <c r="E496" i="6"/>
  <c r="G496" i="6"/>
  <c r="D496" i="6"/>
  <c r="C496" i="6"/>
  <c r="AE495" i="6"/>
  <c r="AD495" i="6"/>
  <c r="G494" i="6"/>
  <c r="F494" i="6"/>
  <c r="E494" i="6"/>
  <c r="G493" i="6"/>
  <c r="F493" i="6"/>
  <c r="E493" i="6"/>
  <c r="G490" i="6"/>
  <c r="E490" i="6"/>
  <c r="D490" i="6"/>
  <c r="C490" i="6"/>
  <c r="B490" i="6"/>
  <c r="L489" i="6"/>
  <c r="J489" i="6"/>
  <c r="I489" i="6"/>
  <c r="H489" i="6"/>
  <c r="G489" i="6"/>
  <c r="L488" i="6"/>
  <c r="I488" i="6"/>
  <c r="H488" i="6"/>
  <c r="J488" i="6" s="1"/>
  <c r="G488" i="6"/>
  <c r="L487" i="6"/>
  <c r="I487" i="6"/>
  <c r="H487" i="6"/>
  <c r="J487" i="6" s="1"/>
  <c r="G487" i="6"/>
  <c r="L485" i="6"/>
  <c r="J485" i="6"/>
  <c r="G485" i="6"/>
  <c r="F485" i="6"/>
  <c r="E485" i="6"/>
  <c r="L484" i="6"/>
  <c r="I484" i="6"/>
  <c r="J484" i="6" s="1"/>
  <c r="H484" i="6"/>
  <c r="G484" i="6"/>
  <c r="F484" i="6"/>
  <c r="L483" i="6"/>
  <c r="L481" i="6" s="1"/>
  <c r="AT495" i="6" s="1"/>
  <c r="J483" i="6"/>
  <c r="G483" i="6"/>
  <c r="F483" i="6"/>
  <c r="E483" i="6"/>
  <c r="L482" i="6"/>
  <c r="I482" i="6"/>
  <c r="H482" i="6"/>
  <c r="G482" i="6"/>
  <c r="F482" i="6"/>
  <c r="L478" i="6"/>
  <c r="L479" i="6"/>
  <c r="J479" i="6"/>
  <c r="G479" i="6"/>
  <c r="F479" i="6"/>
  <c r="E477" i="6"/>
  <c r="G477" i="6"/>
  <c r="D477" i="6"/>
  <c r="AE476" i="6"/>
  <c r="AD476" i="6"/>
  <c r="G475" i="6"/>
  <c r="F475" i="6"/>
  <c r="E475" i="6"/>
  <c r="G474" i="6"/>
  <c r="F474" i="6"/>
  <c r="E474" i="6"/>
  <c r="G471" i="6"/>
  <c r="E471" i="6"/>
  <c r="D471" i="6"/>
  <c r="C471" i="6"/>
  <c r="B471" i="6"/>
  <c r="L470" i="6"/>
  <c r="J470" i="6"/>
  <c r="I470" i="6"/>
  <c r="H470" i="6"/>
  <c r="G470" i="6"/>
  <c r="L469" i="6"/>
  <c r="I469" i="6"/>
  <c r="H469" i="6"/>
  <c r="J469" i="6" s="1"/>
  <c r="G469" i="6"/>
  <c r="L468" i="6"/>
  <c r="L467" i="6" s="1"/>
  <c r="AW476" i="6" s="1"/>
  <c r="I468" i="6"/>
  <c r="H468" i="6"/>
  <c r="G468" i="6"/>
  <c r="L466" i="6"/>
  <c r="J466" i="6"/>
  <c r="G466" i="6"/>
  <c r="F466" i="6"/>
  <c r="E466" i="6"/>
  <c r="L465" i="6"/>
  <c r="I465" i="6"/>
  <c r="J465" i="6" s="1"/>
  <c r="H465" i="6"/>
  <c r="G465" i="6"/>
  <c r="F465" i="6"/>
  <c r="L464" i="6"/>
  <c r="L462" i="6" s="1"/>
  <c r="AT476" i="6" s="1"/>
  <c r="J464" i="6"/>
  <c r="G464" i="6"/>
  <c r="F464" i="6"/>
  <c r="E464" i="6"/>
  <c r="L463" i="6"/>
  <c r="I463" i="6"/>
  <c r="H463" i="6"/>
  <c r="J463" i="6" s="1"/>
  <c r="G463" i="6"/>
  <c r="F463" i="6"/>
  <c r="L460" i="6"/>
  <c r="L459" i="6" s="1"/>
  <c r="J460" i="6"/>
  <c r="G460" i="6"/>
  <c r="F460" i="6"/>
  <c r="E458" i="6"/>
  <c r="G458" i="6"/>
  <c r="D458" i="6"/>
  <c r="L452" i="6"/>
  <c r="L451" i="6"/>
  <c r="L448" i="6"/>
  <c r="L446" i="6"/>
  <c r="L443" i="6" s="1"/>
  <c r="L445" i="6"/>
  <c r="L439" i="6"/>
  <c r="L438" i="6"/>
  <c r="L434" i="6"/>
  <c r="L433" i="6"/>
  <c r="AR424" i="6"/>
  <c r="L428" i="6" s="1"/>
  <c r="AE424" i="6"/>
  <c r="AD424" i="6"/>
  <c r="G423" i="6"/>
  <c r="E423" i="6"/>
  <c r="G422" i="6"/>
  <c r="E422" i="6"/>
  <c r="G419" i="6"/>
  <c r="E419" i="6"/>
  <c r="D419" i="6"/>
  <c r="C419" i="6"/>
  <c r="B419" i="6"/>
  <c r="L418" i="6"/>
  <c r="H418" i="6"/>
  <c r="G418" i="6"/>
  <c r="L417" i="6"/>
  <c r="H417" i="6"/>
  <c r="G417" i="6"/>
  <c r="L416" i="6"/>
  <c r="I416" i="6"/>
  <c r="H416" i="6"/>
  <c r="J416" i="6" s="1"/>
  <c r="G416" i="6"/>
  <c r="L415" i="6"/>
  <c r="I415" i="6"/>
  <c r="J415" i="6" s="1"/>
  <c r="H415" i="6"/>
  <c r="G415" i="6"/>
  <c r="L414" i="6"/>
  <c r="J414" i="6"/>
  <c r="I414" i="6"/>
  <c r="H414" i="6"/>
  <c r="G414" i="6"/>
  <c r="L413" i="6"/>
  <c r="L412" i="6" s="1"/>
  <c r="AW424" i="6" s="1"/>
  <c r="L437" i="6" s="1"/>
  <c r="L435" i="6" s="1"/>
  <c r="I413" i="6"/>
  <c r="H413" i="6"/>
  <c r="J413" i="6" s="1"/>
  <c r="G413" i="6"/>
  <c r="L406" i="6"/>
  <c r="AO424" i="6" s="1"/>
  <c r="L431" i="6" s="1"/>
  <c r="L429" i="6" s="1"/>
  <c r="L411" i="6"/>
  <c r="J411" i="6"/>
  <c r="G411" i="6"/>
  <c r="E411" i="6"/>
  <c r="L410" i="6"/>
  <c r="I410" i="6"/>
  <c r="H410" i="6"/>
  <c r="J410" i="6" s="1"/>
  <c r="G410" i="6"/>
  <c r="L409" i="6"/>
  <c r="L407" i="6" s="1"/>
  <c r="AT424" i="6" s="1"/>
  <c r="J409" i="6"/>
  <c r="G409" i="6"/>
  <c r="E409" i="6"/>
  <c r="L408" i="6"/>
  <c r="I408" i="6"/>
  <c r="H408" i="6"/>
  <c r="J408" i="6" s="1"/>
  <c r="G408" i="6"/>
  <c r="L405" i="6"/>
  <c r="L404" i="6" s="1"/>
  <c r="J405" i="6"/>
  <c r="G405" i="6"/>
  <c r="E403" i="6"/>
  <c r="G403" i="6"/>
  <c r="D403" i="6"/>
  <c r="C403" i="6"/>
  <c r="L397" i="6"/>
  <c r="L396" i="6"/>
  <c r="L393" i="6"/>
  <c r="L391" i="6"/>
  <c r="L390" i="6"/>
  <c r="L384" i="6"/>
  <c r="L383" i="6"/>
  <c r="L379" i="6"/>
  <c r="AE369" i="6"/>
  <c r="AD369" i="6"/>
  <c r="G368" i="6"/>
  <c r="E368" i="6"/>
  <c r="G367" i="6"/>
  <c r="E367" i="6"/>
  <c r="L364" i="6"/>
  <c r="H364" i="6"/>
  <c r="G364" i="6"/>
  <c r="L363" i="6"/>
  <c r="L361" i="6" s="1"/>
  <c r="AW369" i="6" s="1"/>
  <c r="H363" i="6"/>
  <c r="G363" i="6"/>
  <c r="L362" i="6"/>
  <c r="J362" i="6"/>
  <c r="I362" i="6"/>
  <c r="H362" i="6"/>
  <c r="G362" i="6"/>
  <c r="L356" i="6"/>
  <c r="L360" i="6"/>
  <c r="J360" i="6"/>
  <c r="G360" i="6"/>
  <c r="E360" i="6"/>
  <c r="L359" i="6"/>
  <c r="J359" i="6"/>
  <c r="I359" i="6"/>
  <c r="H359" i="6"/>
  <c r="G359" i="6"/>
  <c r="L358" i="6"/>
  <c r="J358" i="6"/>
  <c r="G358" i="6"/>
  <c r="E358" i="6"/>
  <c r="L357" i="6"/>
  <c r="J357" i="6"/>
  <c r="G357" i="6"/>
  <c r="L354" i="6"/>
  <c r="L353" i="6" s="1"/>
  <c r="J354" i="6"/>
  <c r="G354" i="6"/>
  <c r="E352" i="6"/>
  <c r="G352" i="6"/>
  <c r="D352" i="6"/>
  <c r="C352" i="6"/>
  <c r="AE351" i="6"/>
  <c r="AD351" i="6"/>
  <c r="G350" i="6"/>
  <c r="E350" i="6"/>
  <c r="G349" i="6"/>
  <c r="E349" i="6"/>
  <c r="L346" i="6"/>
  <c r="AW351" i="6" s="1"/>
  <c r="L341" i="6"/>
  <c r="L340" i="6" s="1"/>
  <c r="AO351" i="6" s="1"/>
  <c r="L345" i="6"/>
  <c r="J345" i="6"/>
  <c r="G345" i="6"/>
  <c r="F345" i="6"/>
  <c r="E345" i="6"/>
  <c r="L344" i="6"/>
  <c r="I344" i="6"/>
  <c r="H344" i="6"/>
  <c r="J344" i="6" s="1"/>
  <c r="G344" i="6"/>
  <c r="F344" i="6"/>
  <c r="L343" i="6"/>
  <c r="J343" i="6"/>
  <c r="G343" i="6"/>
  <c r="F343" i="6"/>
  <c r="E343" i="6"/>
  <c r="L342" i="6"/>
  <c r="J342" i="6"/>
  <c r="G342" i="6"/>
  <c r="F342" i="6"/>
  <c r="L339" i="6"/>
  <c r="L338" i="6" s="1"/>
  <c r="J339" i="6"/>
  <c r="G339" i="6"/>
  <c r="F339" i="6"/>
  <c r="E337" i="6"/>
  <c r="G337" i="6"/>
  <c r="D337" i="6"/>
  <c r="L331" i="6"/>
  <c r="L330" i="6"/>
  <c r="L327" i="6"/>
  <c r="L322" i="6"/>
  <c r="L325" i="6"/>
  <c r="L324" i="6"/>
  <c r="L318" i="6"/>
  <c r="L317" i="6"/>
  <c r="L313" i="6"/>
  <c r="AE303" i="6"/>
  <c r="AD303" i="6"/>
  <c r="G302" i="6"/>
  <c r="F302" i="6"/>
  <c r="E302" i="6"/>
  <c r="G301" i="6"/>
  <c r="F301" i="6"/>
  <c r="E301" i="6"/>
  <c r="G298" i="6"/>
  <c r="E298" i="6"/>
  <c r="D298" i="6"/>
  <c r="C298" i="6"/>
  <c r="B298" i="6"/>
  <c r="L295" i="6"/>
  <c r="AW303" i="6" s="1"/>
  <c r="L297" i="6"/>
  <c r="I297" i="6"/>
  <c r="H297" i="6"/>
  <c r="J297" i="6" s="1"/>
  <c r="G297" i="6"/>
  <c r="L296" i="6"/>
  <c r="I296" i="6"/>
  <c r="H296" i="6"/>
  <c r="J296" i="6" s="1"/>
  <c r="G296" i="6"/>
  <c r="L292" i="6"/>
  <c r="AT303" i="6" s="1"/>
  <c r="L291" i="6"/>
  <c r="AO303" i="6" s="1"/>
  <c r="L294" i="6"/>
  <c r="J294" i="6"/>
  <c r="G294" i="6"/>
  <c r="F294" i="6"/>
  <c r="E294" i="6"/>
  <c r="L293" i="6"/>
  <c r="I293" i="6"/>
  <c r="J293" i="6" s="1"/>
  <c r="H293" i="6"/>
  <c r="G293" i="6"/>
  <c r="F293" i="6"/>
  <c r="L289" i="6"/>
  <c r="L290" i="6"/>
  <c r="J290" i="6"/>
  <c r="G290" i="6"/>
  <c r="F290" i="6"/>
  <c r="E288" i="6"/>
  <c r="G288" i="6"/>
  <c r="D288" i="6"/>
  <c r="AE287" i="6"/>
  <c r="AD287" i="6"/>
  <c r="G286" i="6"/>
  <c r="F286" i="6"/>
  <c r="E286" i="6"/>
  <c r="G285" i="6"/>
  <c r="F285" i="6"/>
  <c r="E285" i="6"/>
  <c r="G282" i="6"/>
  <c r="E282" i="6"/>
  <c r="D282" i="6"/>
  <c r="C282" i="6"/>
  <c r="B282" i="6"/>
  <c r="G281" i="6"/>
  <c r="E281" i="6"/>
  <c r="D281" i="6"/>
  <c r="C281" i="6"/>
  <c r="B281" i="6"/>
  <c r="L280" i="6"/>
  <c r="H280" i="6"/>
  <c r="G280" i="6"/>
  <c r="L279" i="6"/>
  <c r="L275" i="6" s="1"/>
  <c r="AW287" i="6" s="1"/>
  <c r="H279" i="6"/>
  <c r="G279" i="6"/>
  <c r="L278" i="6"/>
  <c r="H278" i="6"/>
  <c r="G278" i="6"/>
  <c r="L277" i="6"/>
  <c r="I277" i="6"/>
  <c r="J277" i="6" s="1"/>
  <c r="H277" i="6"/>
  <c r="G277" i="6"/>
  <c r="L276" i="6"/>
  <c r="J276" i="6"/>
  <c r="I276" i="6"/>
  <c r="H276" i="6"/>
  <c r="G276" i="6"/>
  <c r="L274" i="6"/>
  <c r="J274" i="6"/>
  <c r="G274" i="6"/>
  <c r="F274" i="6"/>
  <c r="E274" i="6"/>
  <c r="L273" i="6"/>
  <c r="I273" i="6"/>
  <c r="H273" i="6"/>
  <c r="G273" i="6"/>
  <c r="F273" i="6"/>
  <c r="L272" i="6"/>
  <c r="L270" i="6" s="1"/>
  <c r="J272" i="6"/>
  <c r="G272" i="6"/>
  <c r="F272" i="6"/>
  <c r="E272" i="6"/>
  <c r="L271" i="6"/>
  <c r="I271" i="6"/>
  <c r="H271" i="6"/>
  <c r="J271" i="6" s="1"/>
  <c r="G271" i="6"/>
  <c r="F271" i="6"/>
  <c r="L268" i="6"/>
  <c r="L267" i="6" s="1"/>
  <c r="J268" i="6"/>
  <c r="G268" i="6"/>
  <c r="F268" i="6"/>
  <c r="E266" i="6"/>
  <c r="G266" i="6"/>
  <c r="D266" i="6"/>
  <c r="AE265" i="6"/>
  <c r="AD265" i="6"/>
  <c r="G264" i="6"/>
  <c r="F264" i="6"/>
  <c r="E264" i="6"/>
  <c r="G263" i="6"/>
  <c r="F263" i="6"/>
  <c r="E263" i="6"/>
  <c r="G260" i="6"/>
  <c r="E260" i="6"/>
  <c r="D260" i="6"/>
  <c r="C260" i="6"/>
  <c r="B260" i="6"/>
  <c r="G259" i="6"/>
  <c r="E259" i="6"/>
  <c r="D259" i="6"/>
  <c r="C259" i="6"/>
  <c r="B259" i="6"/>
  <c r="L258" i="6"/>
  <c r="H258" i="6"/>
  <c r="G258" i="6"/>
  <c r="L257" i="6"/>
  <c r="H257" i="6"/>
  <c r="G257" i="6"/>
  <c r="L256" i="6"/>
  <c r="H256" i="6"/>
  <c r="G256" i="6"/>
  <c r="L255" i="6"/>
  <c r="I255" i="6"/>
  <c r="H255" i="6"/>
  <c r="J255" i="6" s="1"/>
  <c r="G255" i="6"/>
  <c r="L254" i="6"/>
  <c r="I254" i="6"/>
  <c r="H254" i="6"/>
  <c r="J254" i="6" s="1"/>
  <c r="G254" i="6"/>
  <c r="L252" i="6"/>
  <c r="J252" i="6"/>
  <c r="G252" i="6"/>
  <c r="F252" i="6"/>
  <c r="E252" i="6"/>
  <c r="L251" i="6"/>
  <c r="I251" i="6"/>
  <c r="H251" i="6"/>
  <c r="G251" i="6"/>
  <c r="F251" i="6"/>
  <c r="L250" i="6"/>
  <c r="J250" i="6"/>
  <c r="G250" i="6"/>
  <c r="F250" i="6"/>
  <c r="E250" i="6"/>
  <c r="L249" i="6"/>
  <c r="I249" i="6"/>
  <c r="H249" i="6"/>
  <c r="J249" i="6" s="1"/>
  <c r="G249" i="6"/>
  <c r="F249" i="6"/>
  <c r="L246" i="6"/>
  <c r="L245" i="6" s="1"/>
  <c r="J246" i="6"/>
  <c r="G246" i="6"/>
  <c r="F246" i="6"/>
  <c r="E244" i="6"/>
  <c r="G244" i="6"/>
  <c r="D244" i="6"/>
  <c r="AW243" i="6"/>
  <c r="AE243" i="6"/>
  <c r="AD243" i="6"/>
  <c r="G242" i="6"/>
  <c r="F242" i="6"/>
  <c r="E242" i="6"/>
  <c r="G241" i="6"/>
  <c r="F241" i="6"/>
  <c r="E241" i="6"/>
  <c r="L238" i="6"/>
  <c r="H238" i="6"/>
  <c r="G238" i="6"/>
  <c r="L237" i="6"/>
  <c r="L235" i="6" s="1"/>
  <c r="I237" i="6"/>
  <c r="H237" i="6"/>
  <c r="J237" i="6" s="1"/>
  <c r="G237" i="6"/>
  <c r="L236" i="6"/>
  <c r="I236" i="6"/>
  <c r="H236" i="6"/>
  <c r="J236" i="6" s="1"/>
  <c r="G236" i="6"/>
  <c r="L234" i="6"/>
  <c r="J234" i="6"/>
  <c r="G234" i="6"/>
  <c r="F234" i="6"/>
  <c r="E234" i="6"/>
  <c r="L233" i="6"/>
  <c r="J233" i="6"/>
  <c r="I233" i="6"/>
  <c r="H233" i="6"/>
  <c r="G233" i="6"/>
  <c r="F233" i="6"/>
  <c r="L232" i="6"/>
  <c r="L230" i="6" s="1"/>
  <c r="AT243" i="6" s="1"/>
  <c r="J232" i="6"/>
  <c r="G232" i="6"/>
  <c r="F232" i="6"/>
  <c r="E232" i="6"/>
  <c r="L231" i="6"/>
  <c r="I231" i="6"/>
  <c r="H231" i="6"/>
  <c r="G231" i="6"/>
  <c r="F231" i="6"/>
  <c r="L227" i="6"/>
  <c r="AR243" i="6" s="1"/>
  <c r="L240" i="6" s="1"/>
  <c r="L228" i="6"/>
  <c r="J228" i="6"/>
  <c r="G228" i="6"/>
  <c r="F228" i="6"/>
  <c r="E226" i="6"/>
  <c r="G226" i="6"/>
  <c r="D226" i="6"/>
  <c r="AO225" i="6"/>
  <c r="AE225" i="6"/>
  <c r="AD225" i="6"/>
  <c r="G224" i="6"/>
  <c r="F224" i="6"/>
  <c r="E224" i="6"/>
  <c r="G223" i="6"/>
  <c r="F223" i="6"/>
  <c r="E223" i="6"/>
  <c r="L220" i="6"/>
  <c r="H220" i="6"/>
  <c r="G220" i="6"/>
  <c r="L219" i="6"/>
  <c r="I219" i="6"/>
  <c r="H219" i="6"/>
  <c r="J219" i="6" s="1"/>
  <c r="G219" i="6"/>
  <c r="L218" i="6"/>
  <c r="L217" i="6" s="1"/>
  <c r="AW225" i="6" s="1"/>
  <c r="I218" i="6"/>
  <c r="J218" i="6" s="1"/>
  <c r="H218" i="6"/>
  <c r="G218" i="6"/>
  <c r="L212" i="6"/>
  <c r="L211" i="6" s="1"/>
  <c r="L216" i="6"/>
  <c r="J216" i="6"/>
  <c r="G216" i="6"/>
  <c r="F216" i="6"/>
  <c r="E216" i="6"/>
  <c r="L215" i="6"/>
  <c r="J215" i="6"/>
  <c r="I215" i="6"/>
  <c r="H215" i="6"/>
  <c r="G215" i="6"/>
  <c r="F215" i="6"/>
  <c r="L214" i="6"/>
  <c r="J214" i="6"/>
  <c r="G214" i="6"/>
  <c r="F214" i="6"/>
  <c r="E214" i="6"/>
  <c r="L213" i="6"/>
  <c r="I213" i="6"/>
  <c r="J213" i="6" s="1"/>
  <c r="H213" i="6"/>
  <c r="G213" i="6"/>
  <c r="F213" i="6"/>
  <c r="L209" i="6"/>
  <c r="L210" i="6"/>
  <c r="J210" i="6"/>
  <c r="G210" i="6"/>
  <c r="F210" i="6"/>
  <c r="E208" i="6"/>
  <c r="G208" i="6"/>
  <c r="D208" i="6"/>
  <c r="AR207" i="6"/>
  <c r="AE207" i="6"/>
  <c r="AD207" i="6"/>
  <c r="G206" i="6"/>
  <c r="F206" i="6"/>
  <c r="E206" i="6"/>
  <c r="G205" i="6"/>
  <c r="F205" i="6"/>
  <c r="E205" i="6"/>
  <c r="G202" i="6"/>
  <c r="E202" i="6"/>
  <c r="D202" i="6"/>
  <c r="C202" i="6"/>
  <c r="B202" i="6"/>
  <c r="L201" i="6"/>
  <c r="H201" i="6"/>
  <c r="G201" i="6"/>
  <c r="L200" i="6"/>
  <c r="J200" i="6"/>
  <c r="I200" i="6"/>
  <c r="H200" i="6"/>
  <c r="G200" i="6"/>
  <c r="L194" i="6"/>
  <c r="L198" i="6"/>
  <c r="J198" i="6"/>
  <c r="G198" i="6"/>
  <c r="F198" i="6"/>
  <c r="E198" i="6"/>
  <c r="L197" i="6"/>
  <c r="I197" i="6"/>
  <c r="H197" i="6"/>
  <c r="G197" i="6"/>
  <c r="F197" i="6"/>
  <c r="L196" i="6"/>
  <c r="J196" i="6"/>
  <c r="G196" i="6"/>
  <c r="F196" i="6"/>
  <c r="E196" i="6"/>
  <c r="L195" i="6"/>
  <c r="I195" i="6"/>
  <c r="H195" i="6"/>
  <c r="J195" i="6" s="1"/>
  <c r="G195" i="6"/>
  <c r="F195" i="6"/>
  <c r="L192" i="6"/>
  <c r="L191" i="6" s="1"/>
  <c r="J192" i="6"/>
  <c r="G192" i="6"/>
  <c r="F192" i="6"/>
  <c r="E190" i="6"/>
  <c r="G190" i="6"/>
  <c r="D190" i="6"/>
  <c r="AT189" i="6"/>
  <c r="AE189" i="6"/>
  <c r="AD189" i="6"/>
  <c r="G188" i="6"/>
  <c r="F188" i="6"/>
  <c r="E188" i="6"/>
  <c r="G187" i="6"/>
  <c r="F187" i="6"/>
  <c r="E187" i="6"/>
  <c r="G184" i="6"/>
  <c r="E184" i="6"/>
  <c r="D184" i="6"/>
  <c r="C184" i="6"/>
  <c r="B184" i="6"/>
  <c r="G183" i="6"/>
  <c r="E183" i="6"/>
  <c r="D183" i="6"/>
  <c r="C183" i="6"/>
  <c r="B183" i="6"/>
  <c r="L182" i="6"/>
  <c r="H182" i="6"/>
  <c r="G182" i="6"/>
  <c r="L181" i="6"/>
  <c r="H181" i="6"/>
  <c r="G181" i="6"/>
  <c r="L180" i="6"/>
  <c r="H180" i="6"/>
  <c r="G180" i="6"/>
  <c r="L179" i="6"/>
  <c r="I179" i="6"/>
  <c r="H179" i="6"/>
  <c r="J179" i="6" s="1"/>
  <c r="G179" i="6"/>
  <c r="L178" i="6"/>
  <c r="I178" i="6"/>
  <c r="H178" i="6"/>
  <c r="J178" i="6" s="1"/>
  <c r="G178" i="6"/>
  <c r="L176" i="6"/>
  <c r="J176" i="6"/>
  <c r="G176" i="6"/>
  <c r="F176" i="6"/>
  <c r="E176" i="6"/>
  <c r="L175" i="6"/>
  <c r="I175" i="6"/>
  <c r="J175" i="6" s="1"/>
  <c r="H175" i="6"/>
  <c r="G175" i="6"/>
  <c r="F175" i="6"/>
  <c r="L174" i="6"/>
  <c r="L172" i="6" s="1"/>
  <c r="L171" i="6" s="1"/>
  <c r="AO189" i="6" s="1"/>
  <c r="J174" i="6"/>
  <c r="G174" i="6"/>
  <c r="F174" i="6"/>
  <c r="E174" i="6"/>
  <c r="L173" i="6"/>
  <c r="I173" i="6"/>
  <c r="H173" i="6"/>
  <c r="G173" i="6"/>
  <c r="F173" i="6"/>
  <c r="L169" i="6"/>
  <c r="L170" i="6"/>
  <c r="J170" i="6"/>
  <c r="G170" i="6"/>
  <c r="F170" i="6"/>
  <c r="E168" i="6"/>
  <c r="G168" i="6"/>
  <c r="D168" i="6"/>
  <c r="AT167" i="6"/>
  <c r="AE167" i="6"/>
  <c r="AD167" i="6"/>
  <c r="G166" i="6"/>
  <c r="E166" i="6"/>
  <c r="G165" i="6"/>
  <c r="E165" i="6"/>
  <c r="G162" i="6"/>
  <c r="E162" i="6"/>
  <c r="D162" i="6"/>
  <c r="C162" i="6"/>
  <c r="B162" i="6"/>
  <c r="L161" i="6"/>
  <c r="H161" i="6"/>
  <c r="G161" i="6"/>
  <c r="L160" i="6"/>
  <c r="L158" i="6" s="1"/>
  <c r="AW167" i="6" s="1"/>
  <c r="I160" i="6"/>
  <c r="H160" i="6"/>
  <c r="J160" i="6" s="1"/>
  <c r="G160" i="6"/>
  <c r="L159" i="6"/>
  <c r="I159" i="6"/>
  <c r="H159" i="6"/>
  <c r="G159" i="6"/>
  <c r="L155" i="6"/>
  <c r="L154" i="6"/>
  <c r="AO167" i="6" s="1"/>
  <c r="L157" i="6"/>
  <c r="J157" i="6"/>
  <c r="G157" i="6"/>
  <c r="E157" i="6"/>
  <c r="L156" i="6"/>
  <c r="I156" i="6"/>
  <c r="H156" i="6"/>
  <c r="G156" i="6"/>
  <c r="L153" i="6"/>
  <c r="L152" i="6" s="1"/>
  <c r="J153" i="6"/>
  <c r="G153" i="6"/>
  <c r="E151" i="6"/>
  <c r="G151" i="6"/>
  <c r="D151" i="6"/>
  <c r="C151" i="6"/>
  <c r="AE150" i="6"/>
  <c r="AD150" i="6"/>
  <c r="G149" i="6"/>
  <c r="F149" i="6"/>
  <c r="E149" i="6"/>
  <c r="G148" i="6"/>
  <c r="F148" i="6"/>
  <c r="E148" i="6"/>
  <c r="G145" i="6"/>
  <c r="E145" i="6"/>
  <c r="D145" i="6"/>
  <c r="C145" i="6"/>
  <c r="B145" i="6"/>
  <c r="L144" i="6"/>
  <c r="H144" i="6"/>
  <c r="G144" i="6"/>
  <c r="L143" i="6"/>
  <c r="L142" i="6" s="1"/>
  <c r="AW150" i="6" s="1"/>
  <c r="I143" i="6"/>
  <c r="H143" i="6"/>
  <c r="G143" i="6"/>
  <c r="L141" i="6"/>
  <c r="J141" i="6"/>
  <c r="G141" i="6"/>
  <c r="F141" i="6"/>
  <c r="E141" i="6"/>
  <c r="L140" i="6"/>
  <c r="J140" i="6"/>
  <c r="I140" i="6"/>
  <c r="H140" i="6"/>
  <c r="G140" i="6"/>
  <c r="F140" i="6"/>
  <c r="L139" i="6"/>
  <c r="L137" i="6" s="1"/>
  <c r="AT150" i="6" s="1"/>
  <c r="J139" i="6"/>
  <c r="G139" i="6"/>
  <c r="F139" i="6"/>
  <c r="E139" i="6"/>
  <c r="L138" i="6"/>
  <c r="I138" i="6"/>
  <c r="H138" i="6"/>
  <c r="J138" i="6" s="1"/>
  <c r="G138" i="6"/>
  <c r="F138" i="6"/>
  <c r="L135" i="6"/>
  <c r="L134" i="6" s="1"/>
  <c r="J135" i="6"/>
  <c r="G135" i="6"/>
  <c r="F135" i="6"/>
  <c r="E133" i="6"/>
  <c r="G133" i="6"/>
  <c r="D133" i="6"/>
  <c r="AW132" i="6"/>
  <c r="AT132" i="6"/>
  <c r="AO132" i="6"/>
  <c r="AE132" i="6"/>
  <c r="AD132" i="6"/>
  <c r="G131" i="6"/>
  <c r="E131" i="6"/>
  <c r="G130" i="6"/>
  <c r="E130" i="6"/>
  <c r="L127" i="6"/>
  <c r="L126" i="6" s="1"/>
  <c r="J127" i="6"/>
  <c r="G127" i="6"/>
  <c r="E125" i="6"/>
  <c r="G125" i="6"/>
  <c r="D125" i="6"/>
  <c r="C125" i="6"/>
  <c r="AW124" i="6"/>
  <c r="AT124" i="6"/>
  <c r="AO124" i="6"/>
  <c r="AE124" i="6"/>
  <c r="AD124" i="6"/>
  <c r="G123" i="6"/>
  <c r="E123" i="6"/>
  <c r="G122" i="6"/>
  <c r="E122" i="6"/>
  <c r="L118" i="6"/>
  <c r="L119" i="6"/>
  <c r="J119" i="6"/>
  <c r="G119" i="6"/>
  <c r="E117" i="6"/>
  <c r="G117" i="6"/>
  <c r="D117" i="6"/>
  <c r="C117" i="6"/>
  <c r="AE114" i="6"/>
  <c r="AD114" i="6"/>
  <c r="G113" i="6"/>
  <c r="F113" i="6"/>
  <c r="E113" i="6"/>
  <c r="G112" i="6"/>
  <c r="F112" i="6"/>
  <c r="E112" i="6"/>
  <c r="G109" i="6"/>
  <c r="E109" i="6"/>
  <c r="D109" i="6"/>
  <c r="C109" i="6"/>
  <c r="B109" i="6"/>
  <c r="L108" i="6"/>
  <c r="H108" i="6"/>
  <c r="G108" i="6"/>
  <c r="L107" i="6"/>
  <c r="H107" i="6"/>
  <c r="G107" i="6"/>
  <c r="L106" i="6"/>
  <c r="J106" i="6"/>
  <c r="G106" i="6"/>
  <c r="L102" i="6"/>
  <c r="L101" i="6" s="1"/>
  <c r="AO114" i="6" s="1"/>
  <c r="L104" i="6"/>
  <c r="J104" i="6"/>
  <c r="G104" i="6"/>
  <c r="F104" i="6"/>
  <c r="E104" i="6"/>
  <c r="L103" i="6"/>
  <c r="I103" i="6"/>
  <c r="H103" i="6"/>
  <c r="G103" i="6"/>
  <c r="F103" i="6"/>
  <c r="L99" i="6"/>
  <c r="AR114" i="6" s="1"/>
  <c r="L100" i="6"/>
  <c r="J100" i="6"/>
  <c r="G100" i="6"/>
  <c r="F100" i="6"/>
  <c r="E98" i="6"/>
  <c r="G98" i="6"/>
  <c r="D98" i="6"/>
  <c r="AT97" i="6"/>
  <c r="AE97" i="6"/>
  <c r="AD97" i="6"/>
  <c r="G96" i="6"/>
  <c r="E96" i="6"/>
  <c r="G95" i="6"/>
  <c r="E95" i="6"/>
  <c r="G92" i="6"/>
  <c r="F92" i="6"/>
  <c r="E92" i="6"/>
  <c r="D92" i="6"/>
  <c r="C92" i="6"/>
  <c r="B92" i="6"/>
  <c r="L91" i="6"/>
  <c r="AW97" i="6" s="1"/>
  <c r="L87" i="6"/>
  <c r="AO97" i="6" s="1"/>
  <c r="L90" i="6"/>
  <c r="L88" i="6" s="1"/>
  <c r="J90" i="6"/>
  <c r="G90" i="6"/>
  <c r="F90" i="6"/>
  <c r="E90" i="6"/>
  <c r="L89" i="6"/>
  <c r="J89" i="6"/>
  <c r="I89" i="6"/>
  <c r="H89" i="6"/>
  <c r="G89" i="6"/>
  <c r="F89" i="6"/>
  <c r="L85" i="6"/>
  <c r="L86" i="6"/>
  <c r="J86" i="6"/>
  <c r="G86" i="6"/>
  <c r="F86" i="6"/>
  <c r="E84" i="6"/>
  <c r="G84" i="6"/>
  <c r="D84" i="6"/>
  <c r="AE83" i="6"/>
  <c r="AD83" i="6"/>
  <c r="G82" i="6"/>
  <c r="F82" i="6"/>
  <c r="E82" i="6"/>
  <c r="G81" i="6"/>
  <c r="F81" i="6"/>
  <c r="E81" i="6"/>
  <c r="G78" i="6"/>
  <c r="E78" i="6"/>
  <c r="D78" i="6"/>
  <c r="C78" i="6"/>
  <c r="B78" i="6"/>
  <c r="L77" i="6"/>
  <c r="J77" i="6"/>
  <c r="I77" i="6"/>
  <c r="H77" i="6"/>
  <c r="G77" i="6"/>
  <c r="L76" i="6"/>
  <c r="I76" i="6"/>
  <c r="H76" i="6"/>
  <c r="G76" i="6"/>
  <c r="L75" i="6"/>
  <c r="J75" i="6"/>
  <c r="I75" i="6"/>
  <c r="H75" i="6"/>
  <c r="G75" i="6"/>
  <c r="L74" i="6"/>
  <c r="H74" i="6"/>
  <c r="G74" i="6"/>
  <c r="L73" i="6"/>
  <c r="J73" i="6"/>
  <c r="I73" i="6"/>
  <c r="H73" i="6"/>
  <c r="G73" i="6"/>
  <c r="L72" i="6"/>
  <c r="J72" i="6"/>
  <c r="I72" i="6"/>
  <c r="H72" i="6"/>
  <c r="G72" i="6"/>
  <c r="L71" i="6"/>
  <c r="L70" i="6" s="1"/>
  <c r="AW83" i="6" s="1"/>
  <c r="J71" i="6"/>
  <c r="G71" i="6"/>
  <c r="L65" i="6"/>
  <c r="AT83" i="6" s="1"/>
  <c r="L69" i="6"/>
  <c r="J69" i="6"/>
  <c r="G69" i="6"/>
  <c r="F69" i="6"/>
  <c r="E69" i="6"/>
  <c r="L68" i="6"/>
  <c r="J68" i="6"/>
  <c r="I68" i="6"/>
  <c r="H68" i="6"/>
  <c r="G68" i="6"/>
  <c r="F68" i="6"/>
  <c r="L67" i="6"/>
  <c r="J67" i="6"/>
  <c r="G67" i="6"/>
  <c r="F67" i="6"/>
  <c r="E67" i="6"/>
  <c r="L66" i="6"/>
  <c r="J66" i="6"/>
  <c r="I66" i="6"/>
  <c r="H66" i="6"/>
  <c r="G66" i="6"/>
  <c r="F66" i="6"/>
  <c r="L63" i="6"/>
  <c r="L62" i="6" s="1"/>
  <c r="J63" i="6"/>
  <c r="G63" i="6"/>
  <c r="F63" i="6"/>
  <c r="E61" i="6"/>
  <c r="G61" i="6"/>
  <c r="D61" i="6"/>
  <c r="AW60" i="6"/>
  <c r="AT60" i="6"/>
  <c r="AO60" i="6"/>
  <c r="AE60" i="6"/>
  <c r="AD60" i="6"/>
  <c r="G59" i="6"/>
  <c r="E59" i="6"/>
  <c r="G58" i="6"/>
  <c r="E58" i="6"/>
  <c r="L55" i="6"/>
  <c r="L54" i="6"/>
  <c r="L53" i="6" s="1"/>
  <c r="J54" i="6"/>
  <c r="G54" i="6"/>
  <c r="E52" i="6"/>
  <c r="G52" i="6"/>
  <c r="D52" i="6"/>
  <c r="C52" i="6"/>
  <c r="A27" i="6"/>
  <c r="A25" i="6"/>
  <c r="F16" i="6"/>
  <c r="F14" i="6"/>
  <c r="F6" i="6"/>
  <c r="F4" i="6"/>
  <c r="A1" i="6"/>
  <c r="AR231" i="7" l="1"/>
  <c r="M228" i="7" s="1"/>
  <c r="AR155" i="7"/>
  <c r="M152" i="7" s="1"/>
  <c r="AO483" i="7"/>
  <c r="M479" i="7"/>
  <c r="M135" i="7"/>
  <c r="M44" i="7"/>
  <c r="AW48" i="7"/>
  <c r="AR85" i="7"/>
  <c r="M82" i="7" s="1"/>
  <c r="M81" i="7"/>
  <c r="AR120" i="7"/>
  <c r="M117" i="7" s="1"/>
  <c r="M130" i="7"/>
  <c r="AW138" i="7" s="1"/>
  <c r="M304" i="7" s="1"/>
  <c r="M302" i="7" s="1"/>
  <c r="AT155" i="7"/>
  <c r="M142" i="7"/>
  <c r="AO155" i="7" s="1"/>
  <c r="AR195" i="7"/>
  <c r="M335" i="7"/>
  <c r="AR339" i="7"/>
  <c r="AR112" i="7"/>
  <c r="M116" i="7"/>
  <c r="M173" i="7"/>
  <c r="AT195" i="7"/>
  <c r="M181" i="7"/>
  <c r="M191" i="7" s="1"/>
  <c r="M199" i="7"/>
  <c r="AO213" i="7" s="1"/>
  <c r="AT213" i="7"/>
  <c r="M210" i="7" s="1"/>
  <c r="AR253" i="7"/>
  <c r="AT275" i="7"/>
  <c r="M257" i="7"/>
  <c r="AO275" i="7" s="1"/>
  <c r="M343" i="7"/>
  <c r="AT357" i="7"/>
  <c r="M560" i="7" s="1"/>
  <c r="M98" i="7"/>
  <c r="AR102" i="7"/>
  <c r="M99" i="7" s="1"/>
  <c r="M67" i="7"/>
  <c r="AR71" i="7"/>
  <c r="M68" i="7" s="1"/>
  <c r="AT71" i="7"/>
  <c r="M52" i="7"/>
  <c r="K91" i="7"/>
  <c r="M89" i="7"/>
  <c r="AO102" i="7" s="1"/>
  <c r="M108" i="7"/>
  <c r="AT138" i="7"/>
  <c r="K167" i="7"/>
  <c r="AT177" i="7"/>
  <c r="M174" i="7" s="1"/>
  <c r="M209" i="7"/>
  <c r="M395" i="7"/>
  <c r="AR48" i="7"/>
  <c r="K224" i="7"/>
  <c r="K239" i="7"/>
  <c r="M271" i="7"/>
  <c r="AR275" i="7"/>
  <c r="M272" i="7" s="1"/>
  <c r="M287" i="7"/>
  <c r="AR291" i="7"/>
  <c r="M288" i="7" s="1"/>
  <c r="M279" i="7"/>
  <c r="M328" i="7"/>
  <c r="AO339" i="7" s="1"/>
  <c r="K403" i="7"/>
  <c r="K453" i="7"/>
  <c r="AR492" i="7"/>
  <c r="M489" i="7" s="1"/>
  <c r="AN496" i="7"/>
  <c r="BB496" i="7"/>
  <c r="M582" i="7"/>
  <c r="AR357" i="7"/>
  <c r="M353" i="7"/>
  <c r="K207" i="7"/>
  <c r="M217" i="7"/>
  <c r="AO231" i="7" s="1"/>
  <c r="M236" i="7"/>
  <c r="M241" i="7"/>
  <c r="AW253" i="7" s="1"/>
  <c r="M564" i="7"/>
  <c r="M562" i="7" s="1"/>
  <c r="M370" i="7"/>
  <c r="M368" i="7" s="1"/>
  <c r="M366" i="7"/>
  <c r="AR412" i="7"/>
  <c r="M400" i="7"/>
  <c r="AW412" i="7" s="1"/>
  <c r="M425" i="7" s="1"/>
  <c r="M423" i="7" s="1"/>
  <c r="M450" i="7"/>
  <c r="M455" i="7"/>
  <c r="AW464" i="7" s="1"/>
  <c r="M509" i="7" s="1"/>
  <c r="M507" i="7" s="1"/>
  <c r="M488" i="7"/>
  <c r="BB494" i="7"/>
  <c r="AN494" i="7"/>
  <c r="L494" i="7"/>
  <c r="J494" i="7" s="1"/>
  <c r="M585" i="7"/>
  <c r="L576" i="6"/>
  <c r="L574" i="6" s="1"/>
  <c r="L382" i="6"/>
  <c r="L380" i="6" s="1"/>
  <c r="AR60" i="6"/>
  <c r="L56" i="6"/>
  <c r="AR83" i="6"/>
  <c r="L80" i="6" s="1"/>
  <c r="AR132" i="6"/>
  <c r="L129" i="6" s="1"/>
  <c r="L128" i="6"/>
  <c r="L146" i="6"/>
  <c r="AR150" i="6"/>
  <c r="L147" i="6" s="1"/>
  <c r="AT287" i="6"/>
  <c r="L269" i="6"/>
  <c r="AO287" i="6" s="1"/>
  <c r="L570" i="6"/>
  <c r="AT114" i="6"/>
  <c r="L376" i="6"/>
  <c r="L199" i="6"/>
  <c r="AW207" i="6" s="1"/>
  <c r="L64" i="6"/>
  <c r="AO83" i="6" s="1"/>
  <c r="L105" i="6"/>
  <c r="AW114" i="6" s="1"/>
  <c r="L625" i="6" s="1"/>
  <c r="L623" i="6" s="1"/>
  <c r="J143" i="6"/>
  <c r="J159" i="6"/>
  <c r="J173" i="6"/>
  <c r="L177" i="6"/>
  <c r="AW189" i="6" s="1"/>
  <c r="L316" i="6" s="1"/>
  <c r="L314" i="6" s="1"/>
  <c r="AT225" i="6"/>
  <c r="L229" i="6"/>
  <c r="AO243" i="6" s="1"/>
  <c r="J251" i="6"/>
  <c r="AR265" i="6"/>
  <c r="AT351" i="6"/>
  <c r="L461" i="6"/>
  <c r="AO476" i="6" s="1"/>
  <c r="AR495" i="6"/>
  <c r="L492" i="6" s="1"/>
  <c r="AT207" i="6"/>
  <c r="L204" i="6" s="1"/>
  <c r="L193" i="6"/>
  <c r="AO207" i="6" s="1"/>
  <c r="L283" i="6"/>
  <c r="L500" i="6"/>
  <c r="AR504" i="6"/>
  <c r="L501" i="6" s="1"/>
  <c r="AR167" i="6"/>
  <c r="L164" i="6" s="1"/>
  <c r="L163" i="6"/>
  <c r="L299" i="6"/>
  <c r="AR303" i="6"/>
  <c r="L300" i="6" s="1"/>
  <c r="AT369" i="6"/>
  <c r="L355" i="6"/>
  <c r="AO369" i="6" s="1"/>
  <c r="AR476" i="6"/>
  <c r="J76" i="6"/>
  <c r="L93" i="6"/>
  <c r="AR97" i="6"/>
  <c r="L94" i="6" s="1"/>
  <c r="J103" i="6"/>
  <c r="L110" i="6"/>
  <c r="AR124" i="6"/>
  <c r="L120" i="6"/>
  <c r="L136" i="6"/>
  <c r="AO150" i="6" s="1"/>
  <c r="J156" i="6"/>
  <c r="AR189" i="6"/>
  <c r="L186" i="6" s="1"/>
  <c r="AR225" i="6"/>
  <c r="L222" i="6" s="1"/>
  <c r="L221" i="6"/>
  <c r="J231" i="6"/>
  <c r="L239" i="6"/>
  <c r="L248" i="6"/>
  <c r="AR287" i="6"/>
  <c r="L284" i="6" s="1"/>
  <c r="AR351" i="6"/>
  <c r="L347" i="6"/>
  <c r="AR369" i="6"/>
  <c r="L366" i="6" s="1"/>
  <c r="L365" i="6"/>
  <c r="L517" i="6"/>
  <c r="L253" i="6"/>
  <c r="AW265" i="6" s="1"/>
  <c r="L426" i="6"/>
  <c r="L480" i="6"/>
  <c r="AO495" i="6" s="1"/>
  <c r="L597" i="6"/>
  <c r="L594" i="6" s="1"/>
  <c r="J197" i="6"/>
  <c r="J273" i="6"/>
  <c r="L388" i="6"/>
  <c r="L420" i="6"/>
  <c r="L421" i="6"/>
  <c r="L440" i="6"/>
  <c r="J468" i="6"/>
  <c r="J482" i="6"/>
  <c r="L486" i="6"/>
  <c r="AW495" i="6" s="1"/>
  <c r="L521" i="6" s="1"/>
  <c r="L519" i="6" s="1"/>
  <c r="BB508" i="6"/>
  <c r="L627" i="6" s="1"/>
  <c r="AN508" i="6"/>
  <c r="K508" i="6"/>
  <c r="I508" i="6" s="1"/>
  <c r="AN506" i="6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" i="3"/>
  <c r="Y1" i="3"/>
  <c r="CX1" i="3" s="1"/>
  <c r="CY1" i="3"/>
  <c r="CZ1" i="3"/>
  <c r="DB1" i="3" s="1"/>
  <c r="DA1" i="3"/>
  <c r="DC1" i="3"/>
  <c r="A2" i="3"/>
  <c r="Y2" i="3"/>
  <c r="CX2" i="3"/>
  <c r="DI2" i="3" s="1"/>
  <c r="CY2" i="3"/>
  <c r="CZ2" i="3"/>
  <c r="DA2" i="3"/>
  <c r="DB2" i="3"/>
  <c r="DC2" i="3"/>
  <c r="DH2" i="3"/>
  <c r="A3" i="3"/>
  <c r="Y3" i="3"/>
  <c r="CX3" i="3" s="1"/>
  <c r="CY3" i="3"/>
  <c r="CZ3" i="3"/>
  <c r="DA3" i="3"/>
  <c r="DB3" i="3"/>
  <c r="DC3" i="3"/>
  <c r="A4" i="3"/>
  <c r="Y4" i="3"/>
  <c r="CX4" i="3" s="1"/>
  <c r="CY4" i="3"/>
  <c r="CZ4" i="3"/>
  <c r="DB4" i="3" s="1"/>
  <c r="DA4" i="3"/>
  <c r="DC4" i="3"/>
  <c r="A5" i="3"/>
  <c r="Y5" i="3"/>
  <c r="CX5" i="3" s="1"/>
  <c r="CY5" i="3"/>
  <c r="CZ5" i="3"/>
  <c r="DB5" i="3" s="1"/>
  <c r="DA5" i="3"/>
  <c r="DC5" i="3"/>
  <c r="A6" i="3"/>
  <c r="Y6" i="3"/>
  <c r="CX6" i="3"/>
  <c r="DF6" i="3" s="1"/>
  <c r="CY6" i="3"/>
  <c r="CZ6" i="3"/>
  <c r="DA6" i="3"/>
  <c r="DB6" i="3"/>
  <c r="DC6" i="3"/>
  <c r="DH6" i="3"/>
  <c r="DI6" i="3"/>
  <c r="A7" i="3"/>
  <c r="Y7" i="3"/>
  <c r="CX7" i="3" s="1"/>
  <c r="CY7" i="3"/>
  <c r="CZ7" i="3"/>
  <c r="DA7" i="3"/>
  <c r="DB7" i="3"/>
  <c r="DC7" i="3"/>
  <c r="A8" i="3"/>
  <c r="Y8" i="3"/>
  <c r="CX8" i="3" s="1"/>
  <c r="CY8" i="3"/>
  <c r="CZ8" i="3"/>
  <c r="DB8" i="3" s="1"/>
  <c r="DA8" i="3"/>
  <c r="DC8" i="3"/>
  <c r="A9" i="3"/>
  <c r="Y9" i="3"/>
  <c r="CX9" i="3"/>
  <c r="DG9" i="3" s="1"/>
  <c r="CY9" i="3"/>
  <c r="CZ9" i="3"/>
  <c r="DB9" i="3" s="1"/>
  <c r="DA9" i="3"/>
  <c r="DC9" i="3"/>
  <c r="DF9" i="3"/>
  <c r="DH9" i="3"/>
  <c r="DI9" i="3"/>
  <c r="DJ9" i="3"/>
  <c r="A10" i="3"/>
  <c r="Y10" i="3"/>
  <c r="CX10" i="3"/>
  <c r="DI10" i="3" s="1"/>
  <c r="CY10" i="3"/>
  <c r="CZ10" i="3"/>
  <c r="DA10" i="3"/>
  <c r="DB10" i="3"/>
  <c r="DC10" i="3"/>
  <c r="DH10" i="3"/>
  <c r="A11" i="3"/>
  <c r="Y11" i="3"/>
  <c r="CX11" i="3" s="1"/>
  <c r="CY11" i="3"/>
  <c r="CZ11" i="3"/>
  <c r="DA11" i="3"/>
  <c r="DB11" i="3"/>
  <c r="DC11" i="3"/>
  <c r="A12" i="3"/>
  <c r="Y12" i="3"/>
  <c r="CX12" i="3" s="1"/>
  <c r="CY12" i="3"/>
  <c r="CZ12" i="3"/>
  <c r="DB12" i="3" s="1"/>
  <c r="DA12" i="3"/>
  <c r="DC12" i="3"/>
  <c r="A13" i="3"/>
  <c r="Y13" i="3"/>
  <c r="CX13" i="3"/>
  <c r="DG13" i="3" s="1"/>
  <c r="CY13" i="3"/>
  <c r="CZ13" i="3"/>
  <c r="DB13" i="3" s="1"/>
  <c r="DA13" i="3"/>
  <c r="DC13" i="3"/>
  <c r="DF13" i="3"/>
  <c r="DH13" i="3"/>
  <c r="DI13" i="3"/>
  <c r="DJ13" i="3"/>
  <c r="A14" i="3"/>
  <c r="Y14" i="3"/>
  <c r="CX14" i="3"/>
  <c r="DF14" i="3" s="1"/>
  <c r="CY14" i="3"/>
  <c r="CZ14" i="3"/>
  <c r="DA14" i="3"/>
  <c r="DB14" i="3"/>
  <c r="DC14" i="3"/>
  <c r="DH14" i="3"/>
  <c r="DI14" i="3"/>
  <c r="DJ14" i="3" s="1"/>
  <c r="A15" i="3"/>
  <c r="Y15" i="3"/>
  <c r="CX15" i="3" s="1"/>
  <c r="CY15" i="3"/>
  <c r="CZ15" i="3"/>
  <c r="DA15" i="3"/>
  <c r="DB15" i="3"/>
  <c r="DC15" i="3"/>
  <c r="A16" i="3"/>
  <c r="Y16" i="3"/>
  <c r="CX16" i="3" s="1"/>
  <c r="CY16" i="3"/>
  <c r="CZ16" i="3"/>
  <c r="DB16" i="3" s="1"/>
  <c r="DA16" i="3"/>
  <c r="DC16" i="3"/>
  <c r="A17" i="3"/>
  <c r="Y17" i="3"/>
  <c r="CX17" i="3"/>
  <c r="DG17" i="3" s="1"/>
  <c r="CY17" i="3"/>
  <c r="CZ17" i="3"/>
  <c r="DB17" i="3" s="1"/>
  <c r="DA17" i="3"/>
  <c r="DC17" i="3"/>
  <c r="DF17" i="3"/>
  <c r="DH17" i="3"/>
  <c r="DI17" i="3"/>
  <c r="DJ17" i="3"/>
  <c r="A18" i="3"/>
  <c r="Y18" i="3"/>
  <c r="CX18" i="3"/>
  <c r="DF18" i="3" s="1"/>
  <c r="DJ18" i="3" s="1"/>
  <c r="CY18" i="3"/>
  <c r="CZ18" i="3"/>
  <c r="DA18" i="3"/>
  <c r="DB18" i="3"/>
  <c r="DC18" i="3"/>
  <c r="DH18" i="3"/>
  <c r="DI18" i="3"/>
  <c r="A19" i="3"/>
  <c r="Y19" i="3"/>
  <c r="CX19" i="3" s="1"/>
  <c r="CY19" i="3"/>
  <c r="CZ19" i="3"/>
  <c r="DA19" i="3"/>
  <c r="DB19" i="3"/>
  <c r="DC19" i="3"/>
  <c r="A20" i="3"/>
  <c r="Y20" i="3"/>
  <c r="CX20" i="3" s="1"/>
  <c r="CY20" i="3"/>
  <c r="CZ20" i="3"/>
  <c r="DB20" i="3" s="1"/>
  <c r="DA20" i="3"/>
  <c r="DC20" i="3"/>
  <c r="A21" i="3"/>
  <c r="Y21" i="3"/>
  <c r="CX21" i="3"/>
  <c r="DG21" i="3" s="1"/>
  <c r="CY21" i="3"/>
  <c r="CZ21" i="3"/>
  <c r="DB21" i="3" s="1"/>
  <c r="DA21" i="3"/>
  <c r="DC21" i="3"/>
  <c r="DF21" i="3"/>
  <c r="DH21" i="3"/>
  <c r="DI21" i="3"/>
  <c r="DJ21" i="3"/>
  <c r="A22" i="3"/>
  <c r="Y22" i="3"/>
  <c r="CX22" i="3"/>
  <c r="DF22" i="3" s="1"/>
  <c r="CY22" i="3"/>
  <c r="CZ22" i="3"/>
  <c r="DA22" i="3"/>
  <c r="DB22" i="3"/>
  <c r="DC22" i="3"/>
  <c r="DH22" i="3"/>
  <c r="DI22" i="3"/>
  <c r="A23" i="3"/>
  <c r="Y23" i="3"/>
  <c r="CX23" i="3" s="1"/>
  <c r="CY23" i="3"/>
  <c r="CZ23" i="3"/>
  <c r="DA23" i="3"/>
  <c r="DB23" i="3"/>
  <c r="DC23" i="3"/>
  <c r="A24" i="3"/>
  <c r="Y24" i="3"/>
  <c r="CX24" i="3" s="1"/>
  <c r="CY24" i="3"/>
  <c r="CZ24" i="3"/>
  <c r="DB24" i="3" s="1"/>
  <c r="DA24" i="3"/>
  <c r="DC24" i="3"/>
  <c r="A25" i="3"/>
  <c r="Y25" i="3"/>
  <c r="CX25" i="3"/>
  <c r="DG25" i="3" s="1"/>
  <c r="CY25" i="3"/>
  <c r="CZ25" i="3"/>
  <c r="DB25" i="3" s="1"/>
  <c r="DA25" i="3"/>
  <c r="DC25" i="3"/>
  <c r="DF25" i="3"/>
  <c r="DH25" i="3"/>
  <c r="DI25" i="3"/>
  <c r="DJ25" i="3"/>
  <c r="A26" i="3"/>
  <c r="Y26" i="3"/>
  <c r="CX26" i="3"/>
  <c r="DF26" i="3" s="1"/>
  <c r="CY26" i="3"/>
  <c r="CZ26" i="3"/>
  <c r="DA26" i="3"/>
  <c r="DB26" i="3"/>
  <c r="DC26" i="3"/>
  <c r="DH26" i="3"/>
  <c r="DI26" i="3"/>
  <c r="DJ26" i="3" s="1"/>
  <c r="A27" i="3"/>
  <c r="Y27" i="3"/>
  <c r="CX27" i="3"/>
  <c r="DI27" i="3" s="1"/>
  <c r="DJ27" i="3" s="1"/>
  <c r="CY27" i="3"/>
  <c r="CZ27" i="3"/>
  <c r="DA27" i="3"/>
  <c r="DB27" i="3"/>
  <c r="DC27" i="3"/>
  <c r="DH27" i="3"/>
  <c r="A28" i="3"/>
  <c r="Y28" i="3"/>
  <c r="CX28" i="3" s="1"/>
  <c r="CY28" i="3"/>
  <c r="CZ28" i="3"/>
  <c r="DB28" i="3" s="1"/>
  <c r="DA28" i="3"/>
  <c r="DC28" i="3"/>
  <c r="A29" i="3"/>
  <c r="Y29" i="3"/>
  <c r="CX29" i="3"/>
  <c r="DG29" i="3" s="1"/>
  <c r="CY29" i="3"/>
  <c r="CZ29" i="3"/>
  <c r="DB29" i="3" s="1"/>
  <c r="DA29" i="3"/>
  <c r="DC29" i="3"/>
  <c r="DF29" i="3"/>
  <c r="DH29" i="3"/>
  <c r="DI29" i="3"/>
  <c r="DJ29" i="3"/>
  <c r="A30" i="3"/>
  <c r="Y30" i="3"/>
  <c r="CX30" i="3"/>
  <c r="DF30" i="3" s="1"/>
  <c r="CY30" i="3"/>
  <c r="CZ30" i="3"/>
  <c r="DA30" i="3"/>
  <c r="DB30" i="3"/>
  <c r="DC30" i="3"/>
  <c r="DH30" i="3"/>
  <c r="DI30" i="3"/>
  <c r="A31" i="3"/>
  <c r="Y31" i="3"/>
  <c r="CX31" i="3"/>
  <c r="DI31" i="3" s="1"/>
  <c r="CY31" i="3"/>
  <c r="CZ31" i="3"/>
  <c r="DA31" i="3"/>
  <c r="DB31" i="3"/>
  <c r="DC31" i="3"/>
  <c r="DH31" i="3"/>
  <c r="A32" i="3"/>
  <c r="Y32" i="3"/>
  <c r="CX32" i="3" s="1"/>
  <c r="CY32" i="3"/>
  <c r="CZ32" i="3"/>
  <c r="DB32" i="3" s="1"/>
  <c r="DA32" i="3"/>
  <c r="DC32" i="3"/>
  <c r="A33" i="3"/>
  <c r="Y33" i="3"/>
  <c r="CX33" i="3"/>
  <c r="DG33" i="3" s="1"/>
  <c r="CY33" i="3"/>
  <c r="CZ33" i="3"/>
  <c r="DB33" i="3" s="1"/>
  <c r="DA33" i="3"/>
  <c r="DC33" i="3"/>
  <c r="DF33" i="3"/>
  <c r="DH33" i="3"/>
  <c r="DI33" i="3"/>
  <c r="DJ33" i="3"/>
  <c r="A34" i="3"/>
  <c r="Y34" i="3"/>
  <c r="CX34" i="3"/>
  <c r="DF34" i="3" s="1"/>
  <c r="CY34" i="3"/>
  <c r="CZ34" i="3"/>
  <c r="DA34" i="3"/>
  <c r="DB34" i="3"/>
  <c r="DC34" i="3"/>
  <c r="DH34" i="3"/>
  <c r="DI34" i="3"/>
  <c r="DJ34" i="3" s="1"/>
  <c r="A35" i="3"/>
  <c r="Y35" i="3"/>
  <c r="CX35" i="3" s="1"/>
  <c r="CY35" i="3"/>
  <c r="CZ35" i="3"/>
  <c r="DA35" i="3"/>
  <c r="DB35" i="3"/>
  <c r="DC35" i="3"/>
  <c r="A36" i="3"/>
  <c r="Y36" i="3"/>
  <c r="CX36" i="3" s="1"/>
  <c r="CY36" i="3"/>
  <c r="CZ36" i="3"/>
  <c r="DB36" i="3" s="1"/>
  <c r="DA36" i="3"/>
  <c r="DC36" i="3"/>
  <c r="DF36" i="3"/>
  <c r="DG36" i="3"/>
  <c r="A37" i="3"/>
  <c r="Y37" i="3"/>
  <c r="CX37" i="3"/>
  <c r="DG37" i="3" s="1"/>
  <c r="CY37" i="3"/>
  <c r="CZ37" i="3"/>
  <c r="DB37" i="3" s="1"/>
  <c r="DA37" i="3"/>
  <c r="DC37" i="3"/>
  <c r="DF37" i="3"/>
  <c r="DH37" i="3"/>
  <c r="DI37" i="3"/>
  <c r="DJ37" i="3"/>
  <c r="A38" i="3"/>
  <c r="Y38" i="3"/>
  <c r="CX38" i="3"/>
  <c r="DH38" i="3" s="1"/>
  <c r="CY38" i="3"/>
  <c r="CZ38" i="3"/>
  <c r="DA38" i="3"/>
  <c r="DB38" i="3"/>
  <c r="DC38" i="3"/>
  <c r="A39" i="3"/>
  <c r="Y39" i="3"/>
  <c r="CX39" i="3" s="1"/>
  <c r="CY39" i="3"/>
  <c r="CZ39" i="3"/>
  <c r="DA39" i="3"/>
  <c r="DB39" i="3"/>
  <c r="DC39" i="3"/>
  <c r="A40" i="3"/>
  <c r="Y40" i="3"/>
  <c r="CX40" i="3" s="1"/>
  <c r="CY40" i="3"/>
  <c r="CZ40" i="3"/>
  <c r="DB40" i="3" s="1"/>
  <c r="DA40" i="3"/>
  <c r="DC40" i="3"/>
  <c r="DF40" i="3"/>
  <c r="DG40" i="3"/>
  <c r="A41" i="3"/>
  <c r="Y41" i="3"/>
  <c r="CX41" i="3"/>
  <c r="DG41" i="3" s="1"/>
  <c r="CY41" i="3"/>
  <c r="CZ41" i="3"/>
  <c r="DB41" i="3" s="1"/>
  <c r="DA41" i="3"/>
  <c r="DC41" i="3"/>
  <c r="DF41" i="3"/>
  <c r="DH41" i="3"/>
  <c r="DI41" i="3"/>
  <c r="DJ41" i="3" s="1"/>
  <c r="A42" i="3"/>
  <c r="Y42" i="3"/>
  <c r="CX42" i="3"/>
  <c r="DH42" i="3" s="1"/>
  <c r="CY42" i="3"/>
  <c r="CZ42" i="3"/>
  <c r="DA42" i="3"/>
  <c r="DB42" i="3"/>
  <c r="DC42" i="3"/>
  <c r="A43" i="3"/>
  <c r="Y43" i="3"/>
  <c r="CX43" i="3" s="1"/>
  <c r="CY43" i="3"/>
  <c r="CZ43" i="3"/>
  <c r="DA43" i="3"/>
  <c r="DB43" i="3"/>
  <c r="DC43" i="3"/>
  <c r="A44" i="3"/>
  <c r="Y44" i="3"/>
  <c r="CX44" i="3" s="1"/>
  <c r="CY44" i="3"/>
  <c r="CZ44" i="3"/>
  <c r="DB44" i="3" s="1"/>
  <c r="DA44" i="3"/>
  <c r="DC44" i="3"/>
  <c r="DF44" i="3"/>
  <c r="DJ44" i="3" s="1"/>
  <c r="DG44" i="3"/>
  <c r="A45" i="3"/>
  <c r="Y45" i="3"/>
  <c r="CX45" i="3"/>
  <c r="DG45" i="3" s="1"/>
  <c r="CY45" i="3"/>
  <c r="CZ45" i="3"/>
  <c r="DB45" i="3" s="1"/>
  <c r="DA45" i="3"/>
  <c r="DC45" i="3"/>
  <c r="DF45" i="3"/>
  <c r="DH45" i="3"/>
  <c r="DI45" i="3"/>
  <c r="DJ45" i="3"/>
  <c r="A46" i="3"/>
  <c r="Y46" i="3"/>
  <c r="CX46" i="3"/>
  <c r="CY46" i="3"/>
  <c r="CZ46" i="3"/>
  <c r="DA46" i="3"/>
  <c r="DB46" i="3"/>
  <c r="DC46" i="3"/>
  <c r="A47" i="3"/>
  <c r="Y47" i="3"/>
  <c r="CX47" i="3" s="1"/>
  <c r="CY47" i="3"/>
  <c r="CZ47" i="3"/>
  <c r="DA47" i="3"/>
  <c r="DB47" i="3"/>
  <c r="DC47" i="3"/>
  <c r="DG47" i="3"/>
  <c r="DH47" i="3"/>
  <c r="A48" i="3"/>
  <c r="Y48" i="3"/>
  <c r="CX48" i="3" s="1"/>
  <c r="CY48" i="3"/>
  <c r="CZ48" i="3"/>
  <c r="DB48" i="3" s="1"/>
  <c r="DA48" i="3"/>
  <c r="DC48" i="3"/>
  <c r="DF48" i="3"/>
  <c r="DJ48" i="3" s="1"/>
  <c r="DG48" i="3"/>
  <c r="A49" i="3"/>
  <c r="Y49" i="3"/>
  <c r="CX49" i="3"/>
  <c r="DG49" i="3" s="1"/>
  <c r="CY49" i="3"/>
  <c r="CZ49" i="3"/>
  <c r="DA49" i="3"/>
  <c r="DB49" i="3"/>
  <c r="DC49" i="3"/>
  <c r="DF49" i="3"/>
  <c r="DH49" i="3"/>
  <c r="DI49" i="3"/>
  <c r="DJ49" i="3" s="1"/>
  <c r="A50" i="3"/>
  <c r="Y50" i="3"/>
  <c r="CX50" i="3"/>
  <c r="DG50" i="3" s="1"/>
  <c r="CY50" i="3"/>
  <c r="CZ50" i="3"/>
  <c r="DA50" i="3"/>
  <c r="DB50" i="3"/>
  <c r="DC50" i="3"/>
  <c r="A51" i="3"/>
  <c r="Y51" i="3"/>
  <c r="CX51" i="3" s="1"/>
  <c r="DG51" i="3" s="1"/>
  <c r="CY51" i="3"/>
  <c r="CZ51" i="3"/>
  <c r="DB51" i="3" s="1"/>
  <c r="DA51" i="3"/>
  <c r="DC51" i="3"/>
  <c r="DF51" i="3"/>
  <c r="A52" i="3"/>
  <c r="Y52" i="3"/>
  <c r="CX52" i="3"/>
  <c r="DG52" i="3" s="1"/>
  <c r="CY52" i="3"/>
  <c r="CZ52" i="3"/>
  <c r="DB52" i="3" s="1"/>
  <c r="DA52" i="3"/>
  <c r="DC52" i="3"/>
  <c r="DF52" i="3"/>
  <c r="DH52" i="3"/>
  <c r="DI52" i="3"/>
  <c r="DJ52" i="3"/>
  <c r="A53" i="3"/>
  <c r="Y53" i="3"/>
  <c r="CX53" i="3"/>
  <c r="CY53" i="3"/>
  <c r="CZ53" i="3"/>
  <c r="DA53" i="3"/>
  <c r="DB53" i="3"/>
  <c r="DC53" i="3"/>
  <c r="DH53" i="3"/>
  <c r="A54" i="3"/>
  <c r="Y54" i="3"/>
  <c r="CX54" i="3"/>
  <c r="DG54" i="3" s="1"/>
  <c r="CY54" i="3"/>
  <c r="CZ54" i="3"/>
  <c r="DA54" i="3"/>
  <c r="DB54" i="3"/>
  <c r="DC54" i="3"/>
  <c r="A55" i="3"/>
  <c r="Y55" i="3"/>
  <c r="CX55" i="3" s="1"/>
  <c r="DH55" i="3" s="1"/>
  <c r="CY55" i="3"/>
  <c r="CZ55" i="3"/>
  <c r="DB55" i="3" s="1"/>
  <c r="DA55" i="3"/>
  <c r="DC55" i="3"/>
  <c r="DG55" i="3"/>
  <c r="A56" i="3"/>
  <c r="Y56" i="3"/>
  <c r="CX56" i="3"/>
  <c r="DG56" i="3" s="1"/>
  <c r="CY56" i="3"/>
  <c r="CZ56" i="3"/>
  <c r="DA56" i="3"/>
  <c r="DB56" i="3"/>
  <c r="DC56" i="3"/>
  <c r="DH56" i="3"/>
  <c r="DI56" i="3"/>
  <c r="DJ56" i="3"/>
  <c r="A57" i="3"/>
  <c r="Y57" i="3"/>
  <c r="CX57" i="3" s="1"/>
  <c r="CY57" i="3"/>
  <c r="CZ57" i="3"/>
  <c r="DA57" i="3"/>
  <c r="DB57" i="3"/>
  <c r="DC57" i="3"/>
  <c r="A58" i="3"/>
  <c r="Y58" i="3"/>
  <c r="CX58" i="3"/>
  <c r="DI58" i="3" s="1"/>
  <c r="CY58" i="3"/>
  <c r="CZ58" i="3"/>
  <c r="DA58" i="3"/>
  <c r="DB58" i="3"/>
  <c r="DC58" i="3"/>
  <c r="DH58" i="3"/>
  <c r="A59" i="3"/>
  <c r="Y59" i="3"/>
  <c r="CX59" i="3" s="1"/>
  <c r="DH59" i="3" s="1"/>
  <c r="CY59" i="3"/>
  <c r="CZ59" i="3"/>
  <c r="DB59" i="3" s="1"/>
  <c r="DA59" i="3"/>
  <c r="DC59" i="3"/>
  <c r="DF59" i="3"/>
  <c r="DJ59" i="3" s="1"/>
  <c r="DG59" i="3"/>
  <c r="DI59" i="3"/>
  <c r="A60" i="3"/>
  <c r="Y60" i="3"/>
  <c r="CX60" i="3"/>
  <c r="DG60" i="3" s="1"/>
  <c r="CY60" i="3"/>
  <c r="CZ60" i="3"/>
  <c r="DB60" i="3" s="1"/>
  <c r="DA60" i="3"/>
  <c r="DC60" i="3"/>
  <c r="DF60" i="3"/>
  <c r="DJ60" i="3" s="1"/>
  <c r="DI60" i="3"/>
  <c r="A61" i="3"/>
  <c r="Y61" i="3"/>
  <c r="CX61" i="3"/>
  <c r="DF61" i="3" s="1"/>
  <c r="DJ61" i="3" s="1"/>
  <c r="CY61" i="3"/>
  <c r="CZ61" i="3"/>
  <c r="DA61" i="3"/>
  <c r="DB61" i="3"/>
  <c r="DC61" i="3"/>
  <c r="DG61" i="3"/>
  <c r="DI61" i="3"/>
  <c r="A62" i="3"/>
  <c r="Y62" i="3"/>
  <c r="CX62" i="3" s="1"/>
  <c r="CY62" i="3"/>
  <c r="CZ62" i="3"/>
  <c r="DA62" i="3"/>
  <c r="DB62" i="3"/>
  <c r="DC62" i="3"/>
  <c r="A63" i="3"/>
  <c r="Y63" i="3"/>
  <c r="CX63" i="3" s="1"/>
  <c r="DH63" i="3" s="1"/>
  <c r="CY63" i="3"/>
  <c r="CZ63" i="3"/>
  <c r="DB63" i="3" s="1"/>
  <c r="DA63" i="3"/>
  <c r="DC63" i="3"/>
  <c r="A64" i="3"/>
  <c r="Y64" i="3"/>
  <c r="CX64" i="3"/>
  <c r="DG64" i="3" s="1"/>
  <c r="CY64" i="3"/>
  <c r="CZ64" i="3"/>
  <c r="DB64" i="3" s="1"/>
  <c r="DA64" i="3"/>
  <c r="DC64" i="3"/>
  <c r="DF64" i="3"/>
  <c r="DH64" i="3"/>
  <c r="DI64" i="3"/>
  <c r="DJ64" i="3"/>
  <c r="A65" i="3"/>
  <c r="Y65" i="3"/>
  <c r="CX65" i="3" s="1"/>
  <c r="CY65" i="3"/>
  <c r="CZ65" i="3"/>
  <c r="DA65" i="3"/>
  <c r="DB65" i="3"/>
  <c r="DC65" i="3"/>
  <c r="A66" i="3"/>
  <c r="Y66" i="3"/>
  <c r="CX66" i="3"/>
  <c r="DI66" i="3" s="1"/>
  <c r="CY66" i="3"/>
  <c r="CZ66" i="3"/>
  <c r="DB66" i="3" s="1"/>
  <c r="DA66" i="3"/>
  <c r="DC66" i="3"/>
  <c r="DF66" i="3"/>
  <c r="DJ66" i="3" s="1"/>
  <c r="DH66" i="3"/>
  <c r="A67" i="3"/>
  <c r="Y67" i="3"/>
  <c r="CX67" i="3" s="1"/>
  <c r="DH67" i="3" s="1"/>
  <c r="CY67" i="3"/>
  <c r="CZ67" i="3"/>
  <c r="DB67" i="3" s="1"/>
  <c r="DA67" i="3"/>
  <c r="DC67" i="3"/>
  <c r="DF67" i="3"/>
  <c r="DJ67" i="3" s="1"/>
  <c r="DI67" i="3"/>
  <c r="A68" i="3"/>
  <c r="Y68" i="3"/>
  <c r="CX68" i="3"/>
  <c r="DG68" i="3" s="1"/>
  <c r="CY68" i="3"/>
  <c r="CZ68" i="3"/>
  <c r="DA68" i="3"/>
  <c r="DB68" i="3"/>
  <c r="DC68" i="3"/>
  <c r="DI68" i="3"/>
  <c r="A69" i="3"/>
  <c r="Y69" i="3"/>
  <c r="CX69" i="3"/>
  <c r="DF69" i="3" s="1"/>
  <c r="CY69" i="3"/>
  <c r="CZ69" i="3"/>
  <c r="DA69" i="3"/>
  <c r="DB69" i="3"/>
  <c r="DC69" i="3"/>
  <c r="DI69" i="3"/>
  <c r="DJ69" i="3" s="1"/>
  <c r="A70" i="3"/>
  <c r="Y70" i="3"/>
  <c r="CX70" i="3" s="1"/>
  <c r="CY70" i="3"/>
  <c r="CZ70" i="3"/>
  <c r="DB70" i="3" s="1"/>
  <c r="DA70" i="3"/>
  <c r="DC70" i="3"/>
  <c r="A71" i="3"/>
  <c r="Y71" i="3"/>
  <c r="CX71" i="3" s="1"/>
  <c r="DH71" i="3" s="1"/>
  <c r="CY71" i="3"/>
  <c r="CZ71" i="3"/>
  <c r="DB71" i="3" s="1"/>
  <c r="DA71" i="3"/>
  <c r="DC71" i="3"/>
  <c r="DG71" i="3"/>
  <c r="DJ71" i="3" s="1"/>
  <c r="A72" i="3"/>
  <c r="Y72" i="3"/>
  <c r="CX72" i="3"/>
  <c r="DG72" i="3" s="1"/>
  <c r="CY72" i="3"/>
  <c r="CZ72" i="3"/>
  <c r="DA72" i="3"/>
  <c r="DB72" i="3"/>
  <c r="DC72" i="3"/>
  <c r="DH72" i="3"/>
  <c r="DJ72" i="3" s="1"/>
  <c r="DI72" i="3"/>
  <c r="A73" i="3"/>
  <c r="Y73" i="3"/>
  <c r="CX73" i="3" s="1"/>
  <c r="CY73" i="3"/>
  <c r="CZ73" i="3"/>
  <c r="DA73" i="3"/>
  <c r="DB73" i="3"/>
  <c r="DC73" i="3"/>
  <c r="A74" i="3"/>
  <c r="Y74" i="3"/>
  <c r="CX74" i="3"/>
  <c r="DI74" i="3" s="1"/>
  <c r="CY74" i="3"/>
  <c r="CZ74" i="3"/>
  <c r="DA74" i="3"/>
  <c r="DB74" i="3"/>
  <c r="DC74" i="3"/>
  <c r="DH74" i="3"/>
  <c r="A75" i="3"/>
  <c r="Y75" i="3"/>
  <c r="CX75" i="3" s="1"/>
  <c r="DH75" i="3" s="1"/>
  <c r="CY75" i="3"/>
  <c r="CZ75" i="3"/>
  <c r="DB75" i="3" s="1"/>
  <c r="DA75" i="3"/>
  <c r="DC75" i="3"/>
  <c r="DF75" i="3"/>
  <c r="DJ75" i="3" s="1"/>
  <c r="DG75" i="3"/>
  <c r="DI75" i="3"/>
  <c r="A76" i="3"/>
  <c r="Y76" i="3"/>
  <c r="CX76" i="3"/>
  <c r="DG76" i="3" s="1"/>
  <c r="CY76" i="3"/>
  <c r="CZ76" i="3"/>
  <c r="DB76" i="3" s="1"/>
  <c r="DA76" i="3"/>
  <c r="DC76" i="3"/>
  <c r="DF76" i="3"/>
  <c r="DJ76" i="3" s="1"/>
  <c r="DI76" i="3"/>
  <c r="A77" i="3"/>
  <c r="Y77" i="3"/>
  <c r="CX77" i="3"/>
  <c r="DF77" i="3" s="1"/>
  <c r="DJ77" i="3" s="1"/>
  <c r="CY77" i="3"/>
  <c r="CZ77" i="3"/>
  <c r="DA77" i="3"/>
  <c r="DB77" i="3"/>
  <c r="DC77" i="3"/>
  <c r="DG77" i="3"/>
  <c r="DI77" i="3"/>
  <c r="A78" i="3"/>
  <c r="Y78" i="3"/>
  <c r="CX78" i="3" s="1"/>
  <c r="CY78" i="3"/>
  <c r="CZ78" i="3"/>
  <c r="DA78" i="3"/>
  <c r="DB78" i="3"/>
  <c r="DC78" i="3"/>
  <c r="A79" i="3"/>
  <c r="Y79" i="3"/>
  <c r="CX79" i="3" s="1"/>
  <c r="DH79" i="3" s="1"/>
  <c r="CY79" i="3"/>
  <c r="CZ79" i="3"/>
  <c r="DB79" i="3" s="1"/>
  <c r="DA79" i="3"/>
  <c r="DC79" i="3"/>
  <c r="A80" i="3"/>
  <c r="Y80" i="3"/>
  <c r="CX80" i="3"/>
  <c r="DG80" i="3" s="1"/>
  <c r="CY80" i="3"/>
  <c r="CZ80" i="3"/>
  <c r="DB80" i="3" s="1"/>
  <c r="DA80" i="3"/>
  <c r="DC80" i="3"/>
  <c r="DF80" i="3"/>
  <c r="DH80" i="3"/>
  <c r="DI80" i="3"/>
  <c r="DJ80" i="3"/>
  <c r="A81" i="3"/>
  <c r="Y81" i="3"/>
  <c r="CX81" i="3" s="1"/>
  <c r="CY81" i="3"/>
  <c r="CZ81" i="3"/>
  <c r="DA81" i="3"/>
  <c r="DB81" i="3"/>
  <c r="DC81" i="3"/>
  <c r="A82" i="3"/>
  <c r="Y82" i="3"/>
  <c r="CX82" i="3"/>
  <c r="DI82" i="3" s="1"/>
  <c r="CY82" i="3"/>
  <c r="CZ82" i="3"/>
  <c r="DB82" i="3" s="1"/>
  <c r="DA82" i="3"/>
  <c r="DC82" i="3"/>
  <c r="DF82" i="3"/>
  <c r="DJ82" i="3" s="1"/>
  <c r="DH82" i="3"/>
  <c r="A83" i="3"/>
  <c r="Y83" i="3"/>
  <c r="CX83" i="3" s="1"/>
  <c r="DH83" i="3" s="1"/>
  <c r="CY83" i="3"/>
  <c r="CZ83" i="3"/>
  <c r="DB83" i="3" s="1"/>
  <c r="DA83" i="3"/>
  <c r="DC83" i="3"/>
  <c r="DF83" i="3"/>
  <c r="DJ83" i="3" s="1"/>
  <c r="DI83" i="3"/>
  <c r="A84" i="3"/>
  <c r="Y84" i="3"/>
  <c r="CX84" i="3"/>
  <c r="DG84" i="3" s="1"/>
  <c r="CY84" i="3"/>
  <c r="CZ84" i="3"/>
  <c r="DA84" i="3"/>
  <c r="DB84" i="3"/>
  <c r="DC84" i="3"/>
  <c r="DI84" i="3"/>
  <c r="A85" i="3"/>
  <c r="Y85" i="3"/>
  <c r="CX85" i="3"/>
  <c r="DF85" i="3" s="1"/>
  <c r="DJ85" i="3" s="1"/>
  <c r="CY85" i="3"/>
  <c r="CZ85" i="3"/>
  <c r="DA85" i="3"/>
  <c r="DB85" i="3"/>
  <c r="DC85" i="3"/>
  <c r="DI85" i="3"/>
  <c r="A86" i="3"/>
  <c r="Y86" i="3"/>
  <c r="CX86" i="3" s="1"/>
  <c r="CY86" i="3"/>
  <c r="CZ86" i="3"/>
  <c r="DB86" i="3" s="1"/>
  <c r="DA86" i="3"/>
  <c r="DC86" i="3"/>
  <c r="A87" i="3"/>
  <c r="Y87" i="3"/>
  <c r="CX87" i="3" s="1"/>
  <c r="DH87" i="3" s="1"/>
  <c r="CY87" i="3"/>
  <c r="CZ87" i="3"/>
  <c r="DB87" i="3" s="1"/>
  <c r="DA87" i="3"/>
  <c r="DC87" i="3"/>
  <c r="DG87" i="3"/>
  <c r="A88" i="3"/>
  <c r="Y88" i="3"/>
  <c r="CX88" i="3"/>
  <c r="DG88" i="3" s="1"/>
  <c r="CY88" i="3"/>
  <c r="CZ88" i="3"/>
  <c r="DA88" i="3"/>
  <c r="DB88" i="3"/>
  <c r="DC88" i="3"/>
  <c r="DH88" i="3"/>
  <c r="DI88" i="3"/>
  <c r="DJ88" i="3"/>
  <c r="A89" i="3"/>
  <c r="Y89" i="3"/>
  <c r="CX89" i="3" s="1"/>
  <c r="CY89" i="3"/>
  <c r="CZ89" i="3"/>
  <c r="DA89" i="3"/>
  <c r="DB89" i="3"/>
  <c r="DC89" i="3"/>
  <c r="A90" i="3"/>
  <c r="Y90" i="3"/>
  <c r="CX90" i="3"/>
  <c r="DI90" i="3" s="1"/>
  <c r="CY90" i="3"/>
  <c r="CZ90" i="3"/>
  <c r="DA90" i="3"/>
  <c r="DB90" i="3"/>
  <c r="DC90" i="3"/>
  <c r="DH90" i="3"/>
  <c r="A91" i="3"/>
  <c r="Y91" i="3"/>
  <c r="CX91" i="3"/>
  <c r="DI91" i="3" s="1"/>
  <c r="CY91" i="3"/>
  <c r="CZ91" i="3"/>
  <c r="DA91" i="3"/>
  <c r="DB91" i="3"/>
  <c r="DC91" i="3"/>
  <c r="DH91" i="3"/>
  <c r="A92" i="3"/>
  <c r="Y92" i="3"/>
  <c r="CX92" i="3" s="1"/>
  <c r="CY92" i="3"/>
  <c r="CZ92" i="3"/>
  <c r="DA92" i="3"/>
  <c r="DB92" i="3"/>
  <c r="DC92" i="3"/>
  <c r="A93" i="3"/>
  <c r="Y93" i="3"/>
  <c r="CX93" i="3"/>
  <c r="DG93" i="3" s="1"/>
  <c r="CY93" i="3"/>
  <c r="CZ93" i="3"/>
  <c r="DB93" i="3" s="1"/>
  <c r="DA93" i="3"/>
  <c r="DC93" i="3"/>
  <c r="DF93" i="3"/>
  <c r="DH93" i="3"/>
  <c r="A94" i="3"/>
  <c r="Y94" i="3"/>
  <c r="CX94" i="3" s="1"/>
  <c r="CY94" i="3"/>
  <c r="CZ94" i="3"/>
  <c r="DB94" i="3" s="1"/>
  <c r="DA94" i="3"/>
  <c r="DC94" i="3"/>
  <c r="A95" i="3"/>
  <c r="Y95" i="3"/>
  <c r="CX95" i="3"/>
  <c r="DI95" i="3" s="1"/>
  <c r="CY95" i="3"/>
  <c r="CZ95" i="3"/>
  <c r="DA95" i="3"/>
  <c r="DB95" i="3"/>
  <c r="DC95" i="3"/>
  <c r="DH95" i="3"/>
  <c r="A96" i="3"/>
  <c r="Y96" i="3"/>
  <c r="CX96" i="3" s="1"/>
  <c r="CY96" i="3"/>
  <c r="CZ96" i="3"/>
  <c r="DA96" i="3"/>
  <c r="DB96" i="3"/>
  <c r="DC96" i="3"/>
  <c r="A97" i="3"/>
  <c r="Y97" i="3"/>
  <c r="CX97" i="3"/>
  <c r="DG97" i="3" s="1"/>
  <c r="CY97" i="3"/>
  <c r="CZ97" i="3"/>
  <c r="DB97" i="3" s="1"/>
  <c r="DA97" i="3"/>
  <c r="DC97" i="3"/>
  <c r="DF97" i="3"/>
  <c r="DH97" i="3"/>
  <c r="DJ97" i="3"/>
  <c r="A98" i="3"/>
  <c r="Y98" i="3"/>
  <c r="CX98" i="3" s="1"/>
  <c r="CY98" i="3"/>
  <c r="CZ98" i="3"/>
  <c r="DB98" i="3" s="1"/>
  <c r="DA98" i="3"/>
  <c r="DC98" i="3"/>
  <c r="A99" i="3"/>
  <c r="Y99" i="3"/>
  <c r="CX99" i="3"/>
  <c r="DI99" i="3" s="1"/>
  <c r="DJ99" i="3" s="1"/>
  <c r="CY99" i="3"/>
  <c r="CZ99" i="3"/>
  <c r="DA99" i="3"/>
  <c r="DB99" i="3"/>
  <c r="DC99" i="3"/>
  <c r="DH99" i="3"/>
  <c r="A100" i="3"/>
  <c r="Y100" i="3"/>
  <c r="CX100" i="3" s="1"/>
  <c r="CY100" i="3"/>
  <c r="CZ100" i="3"/>
  <c r="DA100" i="3"/>
  <c r="DB100" i="3"/>
  <c r="DC100" i="3"/>
  <c r="A101" i="3"/>
  <c r="Y101" i="3"/>
  <c r="CX101" i="3"/>
  <c r="DG101" i="3" s="1"/>
  <c r="DJ101" i="3" s="1"/>
  <c r="CY101" i="3"/>
  <c r="CZ101" i="3"/>
  <c r="DB101" i="3" s="1"/>
  <c r="DA101" i="3"/>
  <c r="DC101" i="3"/>
  <c r="DF101" i="3"/>
  <c r="DH101" i="3"/>
  <c r="A102" i="3"/>
  <c r="Y102" i="3"/>
  <c r="CX102" i="3" s="1"/>
  <c r="CY102" i="3"/>
  <c r="CZ102" i="3"/>
  <c r="DB102" i="3" s="1"/>
  <c r="DA102" i="3"/>
  <c r="DC102" i="3"/>
  <c r="A103" i="3"/>
  <c r="Y103" i="3"/>
  <c r="CX103" i="3"/>
  <c r="DI103" i="3" s="1"/>
  <c r="CY103" i="3"/>
  <c r="CZ103" i="3"/>
  <c r="DA103" i="3"/>
  <c r="DB103" i="3"/>
  <c r="DC103" i="3"/>
  <c r="DH103" i="3"/>
  <c r="A104" i="3"/>
  <c r="Y104" i="3"/>
  <c r="CX104" i="3" s="1"/>
  <c r="CY104" i="3"/>
  <c r="CZ104" i="3"/>
  <c r="DA104" i="3"/>
  <c r="DB104" i="3"/>
  <c r="DC104" i="3"/>
  <c r="A105" i="3"/>
  <c r="Y105" i="3"/>
  <c r="CX105" i="3"/>
  <c r="DG105" i="3" s="1"/>
  <c r="CY105" i="3"/>
  <c r="CZ105" i="3"/>
  <c r="DB105" i="3" s="1"/>
  <c r="DA105" i="3"/>
  <c r="DC105" i="3"/>
  <c r="DF105" i="3"/>
  <c r="DH105" i="3"/>
  <c r="DJ105" i="3"/>
  <c r="A106" i="3"/>
  <c r="Y106" i="3"/>
  <c r="CX106" i="3" s="1"/>
  <c r="CY106" i="3"/>
  <c r="CZ106" i="3"/>
  <c r="DB106" i="3" s="1"/>
  <c r="DA106" i="3"/>
  <c r="DC106" i="3"/>
  <c r="DI106" i="3"/>
  <c r="DJ106" i="3" s="1"/>
  <c r="A107" i="3"/>
  <c r="Y107" i="3"/>
  <c r="CX107" i="3"/>
  <c r="CY107" i="3"/>
  <c r="CZ107" i="3"/>
  <c r="DA107" i="3"/>
  <c r="DB107" i="3"/>
  <c r="DC107" i="3"/>
  <c r="DH107" i="3"/>
  <c r="A108" i="3"/>
  <c r="Y108" i="3"/>
  <c r="CX108" i="3" s="1"/>
  <c r="CY108" i="3"/>
  <c r="CZ108" i="3"/>
  <c r="DA108" i="3"/>
  <c r="DB108" i="3"/>
  <c r="DC108" i="3"/>
  <c r="DG108" i="3"/>
  <c r="A109" i="3"/>
  <c r="Y109" i="3"/>
  <c r="CX109" i="3"/>
  <c r="DG109" i="3" s="1"/>
  <c r="DJ109" i="3" s="1"/>
  <c r="CY109" i="3"/>
  <c r="CZ109" i="3"/>
  <c r="DB109" i="3" s="1"/>
  <c r="DA109" i="3"/>
  <c r="DC109" i="3"/>
  <c r="DF109" i="3"/>
  <c r="DH109" i="3"/>
  <c r="A110" i="3"/>
  <c r="Y110" i="3"/>
  <c r="CX110" i="3" s="1"/>
  <c r="DI110" i="3" s="1"/>
  <c r="CY110" i="3"/>
  <c r="CZ110" i="3"/>
  <c r="DB110" i="3" s="1"/>
  <c r="DA110" i="3"/>
  <c r="DC110" i="3"/>
  <c r="A111" i="3"/>
  <c r="Y111" i="3"/>
  <c r="CX111" i="3"/>
  <c r="DH111" i="3" s="1"/>
  <c r="CY111" i="3"/>
  <c r="CZ111" i="3"/>
  <c r="DA111" i="3"/>
  <c r="DB111" i="3"/>
  <c r="DC111" i="3"/>
  <c r="A112" i="3"/>
  <c r="Y112" i="3"/>
  <c r="CX112" i="3" s="1"/>
  <c r="DG112" i="3" s="1"/>
  <c r="CY112" i="3"/>
  <c r="CZ112" i="3"/>
  <c r="DA112" i="3"/>
  <c r="DB112" i="3"/>
  <c r="DC112" i="3"/>
  <c r="A113" i="3"/>
  <c r="Y113" i="3"/>
  <c r="CX113" i="3"/>
  <c r="DG113" i="3" s="1"/>
  <c r="CY113" i="3"/>
  <c r="CZ113" i="3"/>
  <c r="DB113" i="3" s="1"/>
  <c r="DA113" i="3"/>
  <c r="DC113" i="3"/>
  <c r="DF113" i="3"/>
  <c r="DH113" i="3"/>
  <c r="DJ113" i="3"/>
  <c r="A114" i="3"/>
  <c r="Y114" i="3"/>
  <c r="CX114" i="3" s="1"/>
  <c r="CY114" i="3"/>
  <c r="CZ114" i="3"/>
  <c r="DB114" i="3" s="1"/>
  <c r="DA114" i="3"/>
  <c r="DC114" i="3"/>
  <c r="DI114" i="3"/>
  <c r="A115" i="3"/>
  <c r="Y115" i="3"/>
  <c r="CX115" i="3"/>
  <c r="CY115" i="3"/>
  <c r="CZ115" i="3"/>
  <c r="DA115" i="3"/>
  <c r="DB115" i="3"/>
  <c r="DC115" i="3"/>
  <c r="DH115" i="3"/>
  <c r="A116" i="3"/>
  <c r="Y116" i="3"/>
  <c r="CX116" i="3" s="1"/>
  <c r="CY116" i="3"/>
  <c r="CZ116" i="3"/>
  <c r="DA116" i="3"/>
  <c r="DB116" i="3"/>
  <c r="DC116" i="3"/>
  <c r="DG116" i="3"/>
  <c r="A117" i="3"/>
  <c r="Y117" i="3"/>
  <c r="CX117" i="3"/>
  <c r="DG117" i="3" s="1"/>
  <c r="CY117" i="3"/>
  <c r="CZ117" i="3"/>
  <c r="DB117" i="3" s="1"/>
  <c r="DA117" i="3"/>
  <c r="DC117" i="3"/>
  <c r="DF117" i="3"/>
  <c r="DH117" i="3"/>
  <c r="A118" i="3"/>
  <c r="Y118" i="3"/>
  <c r="CX118" i="3" s="1"/>
  <c r="DI118" i="3" s="1"/>
  <c r="CY118" i="3"/>
  <c r="CZ118" i="3"/>
  <c r="DB118" i="3" s="1"/>
  <c r="DA118" i="3"/>
  <c r="DC118" i="3"/>
  <c r="A119" i="3"/>
  <c r="Y119" i="3"/>
  <c r="CX119" i="3"/>
  <c r="DH119" i="3" s="1"/>
  <c r="CY119" i="3"/>
  <c r="CZ119" i="3"/>
  <c r="DA119" i="3"/>
  <c r="DB119" i="3"/>
  <c r="DC119" i="3"/>
  <c r="A120" i="3"/>
  <c r="Y120" i="3"/>
  <c r="CX120" i="3" s="1"/>
  <c r="DG120" i="3" s="1"/>
  <c r="CY120" i="3"/>
  <c r="CZ120" i="3"/>
  <c r="DA120" i="3"/>
  <c r="DB120" i="3"/>
  <c r="DC120" i="3"/>
  <c r="A121" i="3"/>
  <c r="Y121" i="3"/>
  <c r="CX121" i="3"/>
  <c r="DG121" i="3" s="1"/>
  <c r="CY121" i="3"/>
  <c r="CZ121" i="3"/>
  <c r="DB121" i="3" s="1"/>
  <c r="DA121" i="3"/>
  <c r="DC121" i="3"/>
  <c r="DF121" i="3"/>
  <c r="DH121" i="3"/>
  <c r="DJ121" i="3"/>
  <c r="A122" i="3"/>
  <c r="Y122" i="3"/>
  <c r="CX122" i="3" s="1"/>
  <c r="CY122" i="3"/>
  <c r="CZ122" i="3"/>
  <c r="DB122" i="3" s="1"/>
  <c r="DA122" i="3"/>
  <c r="DC122" i="3"/>
  <c r="DI122" i="3"/>
  <c r="A123" i="3"/>
  <c r="Y123" i="3"/>
  <c r="CX123" i="3"/>
  <c r="CY123" i="3"/>
  <c r="CZ123" i="3"/>
  <c r="DA123" i="3"/>
  <c r="DB123" i="3"/>
  <c r="DC123" i="3"/>
  <c r="DH123" i="3"/>
  <c r="A124" i="3"/>
  <c r="Y124" i="3"/>
  <c r="CX124" i="3" s="1"/>
  <c r="CY124" i="3"/>
  <c r="CZ124" i="3"/>
  <c r="DA124" i="3"/>
  <c r="DB124" i="3"/>
  <c r="DC124" i="3"/>
  <c r="DG124" i="3"/>
  <c r="A125" i="3"/>
  <c r="Y125" i="3"/>
  <c r="CX125" i="3"/>
  <c r="DG125" i="3" s="1"/>
  <c r="CY125" i="3"/>
  <c r="CZ125" i="3"/>
  <c r="DB125" i="3" s="1"/>
  <c r="DA125" i="3"/>
  <c r="DC125" i="3"/>
  <c r="DF125" i="3"/>
  <c r="DH125" i="3"/>
  <c r="A126" i="3"/>
  <c r="Y126" i="3"/>
  <c r="CX126" i="3" s="1"/>
  <c r="DI126" i="3" s="1"/>
  <c r="CY126" i="3"/>
  <c r="CZ126" i="3"/>
  <c r="DB126" i="3" s="1"/>
  <c r="DA126" i="3"/>
  <c r="DC126" i="3"/>
  <c r="A127" i="3"/>
  <c r="Y127" i="3"/>
  <c r="CX127" i="3"/>
  <c r="DH127" i="3" s="1"/>
  <c r="CY127" i="3"/>
  <c r="CZ127" i="3"/>
  <c r="DA127" i="3"/>
  <c r="DB127" i="3"/>
  <c r="DC127" i="3"/>
  <c r="A128" i="3"/>
  <c r="Y128" i="3"/>
  <c r="CX128" i="3" s="1"/>
  <c r="DG128" i="3" s="1"/>
  <c r="CY128" i="3"/>
  <c r="CZ128" i="3"/>
  <c r="DA128" i="3"/>
  <c r="DB128" i="3"/>
  <c r="DC128" i="3"/>
  <c r="A129" i="3"/>
  <c r="Y129" i="3"/>
  <c r="CX129" i="3"/>
  <c r="DG129" i="3" s="1"/>
  <c r="CY129" i="3"/>
  <c r="CZ129" i="3"/>
  <c r="DB129" i="3" s="1"/>
  <c r="DA129" i="3"/>
  <c r="DC129" i="3"/>
  <c r="DF129" i="3"/>
  <c r="DH129" i="3"/>
  <c r="DJ129" i="3"/>
  <c r="A130" i="3"/>
  <c r="Y130" i="3"/>
  <c r="CX130" i="3" s="1"/>
  <c r="CY130" i="3"/>
  <c r="CZ130" i="3"/>
  <c r="DB130" i="3" s="1"/>
  <c r="DA130" i="3"/>
  <c r="DC130" i="3"/>
  <c r="DI130" i="3"/>
  <c r="A131" i="3"/>
  <c r="Y131" i="3"/>
  <c r="CX131" i="3"/>
  <c r="CY131" i="3"/>
  <c r="CZ131" i="3"/>
  <c r="DA131" i="3"/>
  <c r="DB131" i="3"/>
  <c r="DC131" i="3"/>
  <c r="DH131" i="3"/>
  <c r="A132" i="3"/>
  <c r="Y132" i="3"/>
  <c r="CX132" i="3" s="1"/>
  <c r="CY132" i="3"/>
  <c r="CZ132" i="3"/>
  <c r="DA132" i="3"/>
  <c r="DB132" i="3"/>
  <c r="DC132" i="3"/>
  <c r="DG132" i="3"/>
  <c r="A133" i="3"/>
  <c r="Y133" i="3"/>
  <c r="CX133" i="3"/>
  <c r="DG133" i="3" s="1"/>
  <c r="CY133" i="3"/>
  <c r="CZ133" i="3"/>
  <c r="DB133" i="3" s="1"/>
  <c r="DA133" i="3"/>
  <c r="DC133" i="3"/>
  <c r="DF133" i="3"/>
  <c r="DJ133" i="3" s="1"/>
  <c r="DH133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AC24" i="1"/>
  <c r="AD24" i="1"/>
  <c r="AE24" i="1"/>
  <c r="AF24" i="1"/>
  <c r="AG24" i="1"/>
  <c r="CU24" i="1" s="1"/>
  <c r="T24" i="1" s="1"/>
  <c r="AH24" i="1"/>
  <c r="CV24" i="1" s="1"/>
  <c r="U24" i="1" s="1"/>
  <c r="AI24" i="1"/>
  <c r="AJ24" i="1"/>
  <c r="CQ24" i="1"/>
  <c r="CR24" i="1"/>
  <c r="CS24" i="1"/>
  <c r="CT24" i="1"/>
  <c r="CW24" i="1"/>
  <c r="V24" i="1" s="1"/>
  <c r="CX24" i="1"/>
  <c r="W24" i="1" s="1"/>
  <c r="FR24" i="1"/>
  <c r="GL24" i="1"/>
  <c r="GO24" i="1"/>
  <c r="GP24" i="1"/>
  <c r="GV24" i="1"/>
  <c r="GX24" i="1"/>
  <c r="HC24" i="1"/>
  <c r="C25" i="1"/>
  <c r="D25" i="1"/>
  <c r="AC25" i="1"/>
  <c r="AD25" i="1"/>
  <c r="AE25" i="1"/>
  <c r="AF25" i="1"/>
  <c r="AG25" i="1"/>
  <c r="CU25" i="1" s="1"/>
  <c r="T25" i="1" s="1"/>
  <c r="AH25" i="1"/>
  <c r="CV25" i="1" s="1"/>
  <c r="U25" i="1" s="1"/>
  <c r="AI25" i="1"/>
  <c r="CW25" i="1" s="1"/>
  <c r="V25" i="1" s="1"/>
  <c r="AJ25" i="1"/>
  <c r="CQ25" i="1"/>
  <c r="CR25" i="1"/>
  <c r="CS25" i="1"/>
  <c r="CT25" i="1"/>
  <c r="CX25" i="1"/>
  <c r="W25" i="1" s="1"/>
  <c r="FR25" i="1"/>
  <c r="GL25" i="1"/>
  <c r="GO25" i="1"/>
  <c r="GP25" i="1"/>
  <c r="GV25" i="1"/>
  <c r="HC25" i="1" s="1"/>
  <c r="GX25" i="1" s="1"/>
  <c r="C26" i="1"/>
  <c r="D26" i="1"/>
  <c r="AC26" i="1"/>
  <c r="AD26" i="1"/>
  <c r="AE26" i="1"/>
  <c r="AF26" i="1"/>
  <c r="AG26" i="1"/>
  <c r="CU26" i="1" s="1"/>
  <c r="T26" i="1" s="1"/>
  <c r="AH26" i="1"/>
  <c r="CV26" i="1" s="1"/>
  <c r="U26" i="1" s="1"/>
  <c r="AI26" i="1"/>
  <c r="CW26" i="1" s="1"/>
  <c r="V26" i="1" s="1"/>
  <c r="AJ26" i="1"/>
  <c r="CQ26" i="1"/>
  <c r="CR26" i="1"/>
  <c r="CS26" i="1"/>
  <c r="CT26" i="1"/>
  <c r="CX26" i="1"/>
  <c r="W26" i="1" s="1"/>
  <c r="FR26" i="1"/>
  <c r="GL26" i="1"/>
  <c r="GO26" i="1"/>
  <c r="GP26" i="1"/>
  <c r="GV26" i="1"/>
  <c r="GX26" i="1"/>
  <c r="HC26" i="1"/>
  <c r="C27" i="1"/>
  <c r="D27" i="1"/>
  <c r="AC27" i="1"/>
  <c r="AD27" i="1"/>
  <c r="AE27" i="1"/>
  <c r="AF27" i="1"/>
  <c r="AG27" i="1"/>
  <c r="CU27" i="1" s="1"/>
  <c r="T27" i="1" s="1"/>
  <c r="AH27" i="1"/>
  <c r="CV27" i="1" s="1"/>
  <c r="U27" i="1" s="1"/>
  <c r="AI27" i="1"/>
  <c r="CW27" i="1" s="1"/>
  <c r="V27" i="1" s="1"/>
  <c r="AI188" i="1" s="1"/>
  <c r="AI22" i="1" s="1"/>
  <c r="AJ27" i="1"/>
  <c r="CQ27" i="1"/>
  <c r="CR27" i="1"/>
  <c r="CS27" i="1"/>
  <c r="CT27" i="1"/>
  <c r="CX27" i="1"/>
  <c r="W27" i="1" s="1"/>
  <c r="FR27" i="1"/>
  <c r="GL27" i="1"/>
  <c r="GO27" i="1"/>
  <c r="GP27" i="1"/>
  <c r="GV27" i="1"/>
  <c r="HC27" i="1" s="1"/>
  <c r="GX27" i="1" s="1"/>
  <c r="D29" i="1"/>
  <c r="E31" i="1"/>
  <c r="Z31" i="1"/>
  <c r="AA31" i="1"/>
  <c r="AM31" i="1"/>
  <c r="AN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C33" i="1"/>
  <c r="D33" i="1"/>
  <c r="P33" i="1"/>
  <c r="R33" i="1"/>
  <c r="S33" i="1"/>
  <c r="T33" i="1"/>
  <c r="AC33" i="1"/>
  <c r="AD33" i="1"/>
  <c r="AE33" i="1"/>
  <c r="AF33" i="1"/>
  <c r="AG33" i="1"/>
  <c r="AH33" i="1"/>
  <c r="CV33" i="1" s="1"/>
  <c r="U33" i="1" s="1"/>
  <c r="AI33" i="1"/>
  <c r="AJ33" i="1"/>
  <c r="CX33" i="1" s="1"/>
  <c r="W33" i="1" s="1"/>
  <c r="CQ33" i="1"/>
  <c r="CR33" i="1"/>
  <c r="CS33" i="1"/>
  <c r="CT33" i="1"/>
  <c r="CU33" i="1"/>
  <c r="CW33" i="1"/>
  <c r="V33" i="1" s="1"/>
  <c r="FR33" i="1"/>
  <c r="GL33" i="1"/>
  <c r="GO33" i="1"/>
  <c r="GP33" i="1"/>
  <c r="GV33" i="1"/>
  <c r="HC33" i="1" s="1"/>
  <c r="GX33" i="1" s="1"/>
  <c r="C34" i="1"/>
  <c r="D34" i="1"/>
  <c r="R34" i="1"/>
  <c r="S34" i="1"/>
  <c r="AC34" i="1"/>
  <c r="AD34" i="1"/>
  <c r="AE34" i="1"/>
  <c r="AF34" i="1"/>
  <c r="AB34" i="1" s="1"/>
  <c r="AG34" i="1"/>
  <c r="AH34" i="1"/>
  <c r="CV34" i="1" s="1"/>
  <c r="U34" i="1" s="1"/>
  <c r="AI34" i="1"/>
  <c r="AJ34" i="1"/>
  <c r="CX34" i="1" s="1"/>
  <c r="W34" i="1" s="1"/>
  <c r="CQ34" i="1"/>
  <c r="CR34" i="1"/>
  <c r="CS34" i="1"/>
  <c r="CT34" i="1"/>
  <c r="CU34" i="1"/>
  <c r="T34" i="1" s="1"/>
  <c r="CW34" i="1"/>
  <c r="V34" i="1" s="1"/>
  <c r="FR34" i="1"/>
  <c r="GL34" i="1"/>
  <c r="GO34" i="1"/>
  <c r="GP34" i="1"/>
  <c r="GV34" i="1"/>
  <c r="HC34" i="1"/>
  <c r="GX34" i="1" s="1"/>
  <c r="C35" i="1"/>
  <c r="D35" i="1"/>
  <c r="T35" i="1"/>
  <c r="AC35" i="1"/>
  <c r="AD35" i="1"/>
  <c r="AE35" i="1"/>
  <c r="AF35" i="1"/>
  <c r="AG35" i="1"/>
  <c r="AH35" i="1"/>
  <c r="CV35" i="1" s="1"/>
  <c r="U35" i="1" s="1"/>
  <c r="AI35" i="1"/>
  <c r="CW35" i="1" s="1"/>
  <c r="V35" i="1" s="1"/>
  <c r="AJ35" i="1"/>
  <c r="CX35" i="1" s="1"/>
  <c r="W35" i="1" s="1"/>
  <c r="CQ35" i="1"/>
  <c r="CR35" i="1"/>
  <c r="CS35" i="1"/>
  <c r="CT35" i="1"/>
  <c r="CU35" i="1"/>
  <c r="FR35" i="1"/>
  <c r="GL35" i="1"/>
  <c r="GO35" i="1"/>
  <c r="GP35" i="1"/>
  <c r="GV35" i="1"/>
  <c r="HC35" i="1" s="1"/>
  <c r="GX35" i="1" s="1"/>
  <c r="C36" i="1"/>
  <c r="D36" i="1"/>
  <c r="AC36" i="1"/>
  <c r="AD36" i="1"/>
  <c r="AE36" i="1"/>
  <c r="AF36" i="1"/>
  <c r="AG36" i="1"/>
  <c r="AH36" i="1"/>
  <c r="CV36" i="1" s="1"/>
  <c r="U36" i="1" s="1"/>
  <c r="AI36" i="1"/>
  <c r="CW36" i="1" s="1"/>
  <c r="V36" i="1" s="1"/>
  <c r="AJ36" i="1"/>
  <c r="CX36" i="1" s="1"/>
  <c r="W36" i="1" s="1"/>
  <c r="CQ36" i="1"/>
  <c r="CR36" i="1"/>
  <c r="CS36" i="1"/>
  <c r="CT36" i="1"/>
  <c r="CU36" i="1"/>
  <c r="T36" i="1" s="1"/>
  <c r="FR36" i="1"/>
  <c r="GL36" i="1"/>
  <c r="GO36" i="1"/>
  <c r="GP36" i="1"/>
  <c r="GV36" i="1"/>
  <c r="HC36" i="1"/>
  <c r="GX36" i="1" s="1"/>
  <c r="C37" i="1"/>
  <c r="D37" i="1"/>
  <c r="AC37" i="1"/>
  <c r="AD37" i="1"/>
  <c r="AE37" i="1"/>
  <c r="AF37" i="1"/>
  <c r="AG37" i="1"/>
  <c r="AH37" i="1"/>
  <c r="CV37" i="1" s="1"/>
  <c r="U37" i="1" s="1"/>
  <c r="AI37" i="1"/>
  <c r="CW37" i="1" s="1"/>
  <c r="V37" i="1" s="1"/>
  <c r="AJ37" i="1"/>
  <c r="CX37" i="1" s="1"/>
  <c r="W37" i="1" s="1"/>
  <c r="CQ37" i="1"/>
  <c r="CR37" i="1"/>
  <c r="CS37" i="1"/>
  <c r="CT37" i="1"/>
  <c r="CU37" i="1"/>
  <c r="T37" i="1" s="1"/>
  <c r="FR37" i="1"/>
  <c r="GL37" i="1"/>
  <c r="GO37" i="1"/>
  <c r="GP37" i="1"/>
  <c r="GV37" i="1"/>
  <c r="HC37" i="1" s="1"/>
  <c r="GX37" i="1" s="1"/>
  <c r="C38" i="1"/>
  <c r="D38" i="1"/>
  <c r="AC38" i="1"/>
  <c r="AD38" i="1"/>
  <c r="AE38" i="1"/>
  <c r="AF38" i="1"/>
  <c r="AG38" i="1"/>
  <c r="AH38" i="1"/>
  <c r="CV38" i="1" s="1"/>
  <c r="U38" i="1" s="1"/>
  <c r="AI38" i="1"/>
  <c r="CW38" i="1" s="1"/>
  <c r="V38" i="1" s="1"/>
  <c r="AJ38" i="1"/>
  <c r="CX38" i="1" s="1"/>
  <c r="W38" i="1" s="1"/>
  <c r="CQ38" i="1"/>
  <c r="CR38" i="1"/>
  <c r="CS38" i="1"/>
  <c r="CT38" i="1"/>
  <c r="CU38" i="1"/>
  <c r="T38" i="1" s="1"/>
  <c r="FR38" i="1"/>
  <c r="GL38" i="1"/>
  <c r="GO38" i="1"/>
  <c r="GP38" i="1"/>
  <c r="GV38" i="1"/>
  <c r="HC38" i="1" s="1"/>
  <c r="GX38" i="1" s="1"/>
  <c r="C39" i="1"/>
  <c r="D39" i="1"/>
  <c r="T39" i="1"/>
  <c r="AC39" i="1"/>
  <c r="AD39" i="1"/>
  <c r="AE39" i="1"/>
  <c r="AF39" i="1"/>
  <c r="AG39" i="1"/>
  <c r="AH39" i="1"/>
  <c r="CV39" i="1" s="1"/>
  <c r="U39" i="1" s="1"/>
  <c r="AI39" i="1"/>
  <c r="CW39" i="1" s="1"/>
  <c r="V39" i="1" s="1"/>
  <c r="AJ39" i="1"/>
  <c r="CQ39" i="1"/>
  <c r="CR39" i="1"/>
  <c r="CS39" i="1"/>
  <c r="CT39" i="1"/>
  <c r="CU39" i="1"/>
  <c r="CX39" i="1"/>
  <c r="W39" i="1" s="1"/>
  <c r="FR39" i="1"/>
  <c r="GL39" i="1"/>
  <c r="GO39" i="1"/>
  <c r="GP39" i="1"/>
  <c r="GV39" i="1"/>
  <c r="HC39" i="1"/>
  <c r="GX39" i="1" s="1"/>
  <c r="C40" i="1"/>
  <c r="D40" i="1"/>
  <c r="AC40" i="1"/>
  <c r="AD40" i="1"/>
  <c r="AE40" i="1"/>
  <c r="AF40" i="1"/>
  <c r="AG40" i="1"/>
  <c r="AH40" i="1"/>
  <c r="AI40" i="1"/>
  <c r="AJ40" i="1"/>
  <c r="CQ40" i="1"/>
  <c r="CR40" i="1"/>
  <c r="CS40" i="1"/>
  <c r="CT40" i="1"/>
  <c r="CU40" i="1"/>
  <c r="T40" i="1" s="1"/>
  <c r="CV40" i="1"/>
  <c r="U40" i="1" s="1"/>
  <c r="CW40" i="1"/>
  <c r="V40" i="1" s="1"/>
  <c r="CX40" i="1"/>
  <c r="W40" i="1" s="1"/>
  <c r="FR40" i="1"/>
  <c r="GL40" i="1"/>
  <c r="GO40" i="1"/>
  <c r="GP40" i="1"/>
  <c r="GV40" i="1"/>
  <c r="HC40" i="1" s="1"/>
  <c r="GX40" i="1" s="1"/>
  <c r="C41" i="1"/>
  <c r="D41" i="1"/>
  <c r="AC41" i="1"/>
  <c r="AD41" i="1"/>
  <c r="AE41" i="1"/>
  <c r="AF41" i="1"/>
  <c r="AG41" i="1"/>
  <c r="CU41" i="1" s="1"/>
  <c r="T41" i="1" s="1"/>
  <c r="AH41" i="1"/>
  <c r="CV41" i="1" s="1"/>
  <c r="U41" i="1" s="1"/>
  <c r="AI41" i="1"/>
  <c r="CW41" i="1" s="1"/>
  <c r="V41" i="1" s="1"/>
  <c r="AJ41" i="1"/>
  <c r="CX41" i="1" s="1"/>
  <c r="W41" i="1" s="1"/>
  <c r="CQ41" i="1"/>
  <c r="CR41" i="1"/>
  <c r="CS41" i="1"/>
  <c r="CT41" i="1"/>
  <c r="FR41" i="1"/>
  <c r="GL41" i="1"/>
  <c r="GO41" i="1"/>
  <c r="GP41" i="1"/>
  <c r="GV41" i="1"/>
  <c r="HC41" i="1"/>
  <c r="GX41" i="1" s="1"/>
  <c r="C42" i="1"/>
  <c r="D42" i="1"/>
  <c r="AC42" i="1"/>
  <c r="AD42" i="1"/>
  <c r="AE42" i="1"/>
  <c r="AF42" i="1"/>
  <c r="AG42" i="1"/>
  <c r="AH42" i="1"/>
  <c r="CV42" i="1" s="1"/>
  <c r="U42" i="1" s="1"/>
  <c r="AI42" i="1"/>
  <c r="CW42" i="1" s="1"/>
  <c r="V42" i="1" s="1"/>
  <c r="AJ42" i="1"/>
  <c r="CQ42" i="1"/>
  <c r="CR42" i="1"/>
  <c r="CS42" i="1"/>
  <c r="CT42" i="1"/>
  <c r="CU42" i="1"/>
  <c r="T42" i="1" s="1"/>
  <c r="CX42" i="1"/>
  <c r="W42" i="1" s="1"/>
  <c r="FR42" i="1"/>
  <c r="GL42" i="1"/>
  <c r="GO42" i="1"/>
  <c r="GP42" i="1"/>
  <c r="GV42" i="1"/>
  <c r="HC42" i="1" s="1"/>
  <c r="GX42" i="1" s="1"/>
  <c r="C43" i="1"/>
  <c r="D43" i="1"/>
  <c r="AC43" i="1"/>
  <c r="AD43" i="1"/>
  <c r="AE43" i="1"/>
  <c r="AF43" i="1"/>
  <c r="AG43" i="1"/>
  <c r="CU43" i="1" s="1"/>
  <c r="T43" i="1" s="1"/>
  <c r="AH43" i="1"/>
  <c r="CV43" i="1" s="1"/>
  <c r="U43" i="1" s="1"/>
  <c r="AI43" i="1"/>
  <c r="CW43" i="1" s="1"/>
  <c r="V43" i="1" s="1"/>
  <c r="AJ43" i="1"/>
  <c r="CX43" i="1" s="1"/>
  <c r="W43" i="1" s="1"/>
  <c r="CQ43" i="1"/>
  <c r="CR43" i="1"/>
  <c r="CS43" i="1"/>
  <c r="CT43" i="1"/>
  <c r="FR43" i="1"/>
  <c r="GL43" i="1"/>
  <c r="GO43" i="1"/>
  <c r="GP43" i="1"/>
  <c r="GV43" i="1"/>
  <c r="HC43" i="1"/>
  <c r="GX43" i="1" s="1"/>
  <c r="B45" i="1"/>
  <c r="B31" i="1" s="1"/>
  <c r="C45" i="1"/>
  <c r="C31" i="1" s="1"/>
  <c r="D45" i="1"/>
  <c r="D31" i="1" s="1"/>
  <c r="F45" i="1"/>
  <c r="F31" i="1" s="1"/>
  <c r="G45" i="1"/>
  <c r="G31" i="1" s="1"/>
  <c r="BX45" i="1"/>
  <c r="BX31" i="1" s="1"/>
  <c r="CK45" i="1"/>
  <c r="CK31" i="1" s="1"/>
  <c r="CL45" i="1"/>
  <c r="CL31" i="1" s="1"/>
  <c r="CM45" i="1"/>
  <c r="CM31" i="1" s="1"/>
  <c r="D75" i="1"/>
  <c r="B77" i="1"/>
  <c r="E77" i="1"/>
  <c r="F77" i="1"/>
  <c r="Z77" i="1"/>
  <c r="AA77" i="1"/>
  <c r="AM77" i="1"/>
  <c r="AN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CK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FK77" i="1"/>
  <c r="FL77" i="1"/>
  <c r="FM77" i="1"/>
  <c r="FN77" i="1"/>
  <c r="FO77" i="1"/>
  <c r="FP77" i="1"/>
  <c r="FQ77" i="1"/>
  <c r="FR77" i="1"/>
  <c r="FS77" i="1"/>
  <c r="FT77" i="1"/>
  <c r="FU77" i="1"/>
  <c r="FV77" i="1"/>
  <c r="FW77" i="1"/>
  <c r="FX77" i="1"/>
  <c r="FY77" i="1"/>
  <c r="FZ77" i="1"/>
  <c r="GA77" i="1"/>
  <c r="GB77" i="1"/>
  <c r="GC77" i="1"/>
  <c r="GD77" i="1"/>
  <c r="GE77" i="1"/>
  <c r="GF77" i="1"/>
  <c r="GG77" i="1"/>
  <c r="GH77" i="1"/>
  <c r="GI77" i="1"/>
  <c r="GJ77" i="1"/>
  <c r="GK77" i="1"/>
  <c r="GL77" i="1"/>
  <c r="GM77" i="1"/>
  <c r="GN77" i="1"/>
  <c r="GO77" i="1"/>
  <c r="GP77" i="1"/>
  <c r="GQ77" i="1"/>
  <c r="GR77" i="1"/>
  <c r="GS77" i="1"/>
  <c r="GT77" i="1"/>
  <c r="GU77" i="1"/>
  <c r="GV77" i="1"/>
  <c r="GW77" i="1"/>
  <c r="GX77" i="1"/>
  <c r="C79" i="1"/>
  <c r="D79" i="1"/>
  <c r="AC79" i="1"/>
  <c r="AD79" i="1"/>
  <c r="AE79" i="1"/>
  <c r="AF79" i="1"/>
  <c r="AG79" i="1"/>
  <c r="CU79" i="1" s="1"/>
  <c r="T79" i="1" s="1"/>
  <c r="AH79" i="1"/>
  <c r="CV79" i="1" s="1"/>
  <c r="U79" i="1" s="1"/>
  <c r="AI79" i="1"/>
  <c r="CW79" i="1" s="1"/>
  <c r="V79" i="1" s="1"/>
  <c r="AJ79" i="1"/>
  <c r="CQ79" i="1"/>
  <c r="CR79" i="1"/>
  <c r="CS79" i="1"/>
  <c r="CT79" i="1"/>
  <c r="CX79" i="1"/>
  <c r="W79" i="1" s="1"/>
  <c r="FR79" i="1"/>
  <c r="GL79" i="1"/>
  <c r="GN79" i="1"/>
  <c r="GP79" i="1"/>
  <c r="GV79" i="1"/>
  <c r="HC79" i="1"/>
  <c r="GX79" i="1" s="1"/>
  <c r="C80" i="1"/>
  <c r="D80" i="1"/>
  <c r="AC80" i="1"/>
  <c r="AD80" i="1"/>
  <c r="AE80" i="1"/>
  <c r="AF80" i="1"/>
  <c r="AG80" i="1"/>
  <c r="AH80" i="1"/>
  <c r="AI80" i="1"/>
  <c r="CW80" i="1" s="1"/>
  <c r="V80" i="1" s="1"/>
  <c r="AJ80" i="1"/>
  <c r="CX80" i="1" s="1"/>
  <c r="W80" i="1" s="1"/>
  <c r="CQ80" i="1"/>
  <c r="CR80" i="1"/>
  <c r="CS80" i="1"/>
  <c r="CT80" i="1"/>
  <c r="CU80" i="1"/>
  <c r="T80" i="1" s="1"/>
  <c r="CV80" i="1"/>
  <c r="U80" i="1" s="1"/>
  <c r="FR80" i="1"/>
  <c r="GL80" i="1"/>
  <c r="GN80" i="1"/>
  <c r="GP80" i="1"/>
  <c r="GV80" i="1"/>
  <c r="HC80" i="1" s="1"/>
  <c r="GX80" i="1" s="1"/>
  <c r="B82" i="1"/>
  <c r="C82" i="1"/>
  <c r="C77" i="1" s="1"/>
  <c r="D82" i="1"/>
  <c r="D77" i="1" s="1"/>
  <c r="F82" i="1"/>
  <c r="G82" i="1"/>
  <c r="G77" i="1" s="1"/>
  <c r="BX82" i="1"/>
  <c r="BX77" i="1" s="1"/>
  <c r="CK82" i="1"/>
  <c r="BB82" i="1" s="1"/>
  <c r="CL82" i="1"/>
  <c r="BC82" i="1" s="1"/>
  <c r="CM82" i="1"/>
  <c r="BD82" i="1" s="1"/>
  <c r="D112" i="1"/>
  <c r="E114" i="1"/>
  <c r="Z114" i="1"/>
  <c r="AA114" i="1"/>
  <c r="AM114" i="1"/>
  <c r="AN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CN114" i="1"/>
  <c r="CO114" i="1"/>
  <c r="CP114" i="1"/>
  <c r="CQ114" i="1"/>
  <c r="CR114" i="1"/>
  <c r="CS114" i="1"/>
  <c r="CT114" i="1"/>
  <c r="CU114" i="1"/>
  <c r="CV114" i="1"/>
  <c r="CW114" i="1"/>
  <c r="CX114" i="1"/>
  <c r="CY114" i="1"/>
  <c r="CZ114" i="1"/>
  <c r="DA114" i="1"/>
  <c r="DB114" i="1"/>
  <c r="DC114" i="1"/>
  <c r="DD114" i="1"/>
  <c r="DE114" i="1"/>
  <c r="DF114" i="1"/>
  <c r="DG114" i="1"/>
  <c r="DH114" i="1"/>
  <c r="DI114" i="1"/>
  <c r="DJ114" i="1"/>
  <c r="DK114" i="1"/>
  <c r="DL114" i="1"/>
  <c r="DM114" i="1"/>
  <c r="DN114" i="1"/>
  <c r="DO114" i="1"/>
  <c r="DP114" i="1"/>
  <c r="DQ114" i="1"/>
  <c r="DR114" i="1"/>
  <c r="DS114" i="1"/>
  <c r="DT114" i="1"/>
  <c r="DU114" i="1"/>
  <c r="DV114" i="1"/>
  <c r="DW114" i="1"/>
  <c r="DX114" i="1"/>
  <c r="DY114" i="1"/>
  <c r="DZ114" i="1"/>
  <c r="EA114" i="1"/>
  <c r="EB114" i="1"/>
  <c r="EC114" i="1"/>
  <c r="ED114" i="1"/>
  <c r="EE114" i="1"/>
  <c r="EF114" i="1"/>
  <c r="EG114" i="1"/>
  <c r="EH114" i="1"/>
  <c r="EI114" i="1"/>
  <c r="EJ114" i="1"/>
  <c r="EK114" i="1"/>
  <c r="EL114" i="1"/>
  <c r="EM114" i="1"/>
  <c r="EN114" i="1"/>
  <c r="EO114" i="1"/>
  <c r="EP114" i="1"/>
  <c r="EQ114" i="1"/>
  <c r="ER114" i="1"/>
  <c r="ES114" i="1"/>
  <c r="ET114" i="1"/>
  <c r="EU114" i="1"/>
  <c r="EV114" i="1"/>
  <c r="EW114" i="1"/>
  <c r="EX114" i="1"/>
  <c r="EY114" i="1"/>
  <c r="EZ114" i="1"/>
  <c r="FA114" i="1"/>
  <c r="FB114" i="1"/>
  <c r="FC114" i="1"/>
  <c r="FD114" i="1"/>
  <c r="FE114" i="1"/>
  <c r="FF114" i="1"/>
  <c r="FG114" i="1"/>
  <c r="FH114" i="1"/>
  <c r="FI114" i="1"/>
  <c r="FJ114" i="1"/>
  <c r="FK114" i="1"/>
  <c r="FL114" i="1"/>
  <c r="FM114" i="1"/>
  <c r="FN114" i="1"/>
  <c r="FO114" i="1"/>
  <c r="FP114" i="1"/>
  <c r="FQ114" i="1"/>
  <c r="FR114" i="1"/>
  <c r="FS114" i="1"/>
  <c r="FT114" i="1"/>
  <c r="FU114" i="1"/>
  <c r="FV114" i="1"/>
  <c r="FW114" i="1"/>
  <c r="FX114" i="1"/>
  <c r="FY114" i="1"/>
  <c r="FZ114" i="1"/>
  <c r="GA114" i="1"/>
  <c r="GB114" i="1"/>
  <c r="GC114" i="1"/>
  <c r="GD114" i="1"/>
  <c r="GE114" i="1"/>
  <c r="GF114" i="1"/>
  <c r="GG114" i="1"/>
  <c r="GH114" i="1"/>
  <c r="GI114" i="1"/>
  <c r="GJ114" i="1"/>
  <c r="GK114" i="1"/>
  <c r="GL114" i="1"/>
  <c r="GM114" i="1"/>
  <c r="GN114" i="1"/>
  <c r="GO114" i="1"/>
  <c r="GP114" i="1"/>
  <c r="GQ114" i="1"/>
  <c r="GR114" i="1"/>
  <c r="GS114" i="1"/>
  <c r="GT114" i="1"/>
  <c r="GU114" i="1"/>
  <c r="GV114" i="1"/>
  <c r="GW114" i="1"/>
  <c r="GX114" i="1"/>
  <c r="C116" i="1"/>
  <c r="D116" i="1"/>
  <c r="AC116" i="1"/>
  <c r="AD116" i="1"/>
  <c r="AE116" i="1"/>
  <c r="AF116" i="1"/>
  <c r="AG116" i="1"/>
  <c r="CU116" i="1" s="1"/>
  <c r="T116" i="1" s="1"/>
  <c r="AG118" i="1" s="1"/>
  <c r="AH116" i="1"/>
  <c r="CV116" i="1" s="1"/>
  <c r="U116" i="1" s="1"/>
  <c r="AI116" i="1"/>
  <c r="CW116" i="1" s="1"/>
  <c r="V116" i="1" s="1"/>
  <c r="AJ116" i="1"/>
  <c r="CX116" i="1" s="1"/>
  <c r="W116" i="1" s="1"/>
  <c r="AJ118" i="1" s="1"/>
  <c r="CQ116" i="1"/>
  <c r="CR116" i="1"/>
  <c r="CS116" i="1"/>
  <c r="CT116" i="1"/>
  <c r="FR116" i="1"/>
  <c r="BY118" i="1" s="1"/>
  <c r="GL116" i="1"/>
  <c r="BZ118" i="1" s="1"/>
  <c r="GO116" i="1"/>
  <c r="CC118" i="1" s="1"/>
  <c r="GP116" i="1"/>
  <c r="CD118" i="1" s="1"/>
  <c r="GV116" i="1"/>
  <c r="HC116" i="1"/>
  <c r="GX116" i="1" s="1"/>
  <c r="CJ118" i="1" s="1"/>
  <c r="B118" i="1"/>
  <c r="B114" i="1" s="1"/>
  <c r="C118" i="1"/>
  <c r="C114" i="1" s="1"/>
  <c r="D118" i="1"/>
  <c r="D114" i="1" s="1"/>
  <c r="F118" i="1"/>
  <c r="F114" i="1" s="1"/>
  <c r="G118" i="1"/>
  <c r="G114" i="1" s="1"/>
  <c r="BX118" i="1"/>
  <c r="CK118" i="1"/>
  <c r="CK114" i="1" s="1"/>
  <c r="CL118" i="1"/>
  <c r="CL114" i="1" s="1"/>
  <c r="CM118" i="1"/>
  <c r="CM114" i="1" s="1"/>
  <c r="D148" i="1"/>
  <c r="E150" i="1"/>
  <c r="Z150" i="1"/>
  <c r="AA150" i="1"/>
  <c r="AM150" i="1"/>
  <c r="AN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DB150" i="1"/>
  <c r="DC150" i="1"/>
  <c r="DD150" i="1"/>
  <c r="DE150" i="1"/>
  <c r="DF150" i="1"/>
  <c r="DG150" i="1"/>
  <c r="DH150" i="1"/>
  <c r="DI150" i="1"/>
  <c r="DJ150" i="1"/>
  <c r="DK150" i="1"/>
  <c r="DL150" i="1"/>
  <c r="DM150" i="1"/>
  <c r="DN150" i="1"/>
  <c r="DO150" i="1"/>
  <c r="DP150" i="1"/>
  <c r="DQ150" i="1"/>
  <c r="DR150" i="1"/>
  <c r="DS150" i="1"/>
  <c r="DT150" i="1"/>
  <c r="DU150" i="1"/>
  <c r="DV150" i="1"/>
  <c r="DW150" i="1"/>
  <c r="DX150" i="1"/>
  <c r="DY150" i="1"/>
  <c r="DZ150" i="1"/>
  <c r="EA150" i="1"/>
  <c r="EB150" i="1"/>
  <c r="EC150" i="1"/>
  <c r="ED150" i="1"/>
  <c r="EE150" i="1"/>
  <c r="EF150" i="1"/>
  <c r="EG150" i="1"/>
  <c r="EH150" i="1"/>
  <c r="EI150" i="1"/>
  <c r="EJ150" i="1"/>
  <c r="EK150" i="1"/>
  <c r="EL150" i="1"/>
  <c r="EM150" i="1"/>
  <c r="EN150" i="1"/>
  <c r="EO150" i="1"/>
  <c r="EP150" i="1"/>
  <c r="EQ150" i="1"/>
  <c r="ER150" i="1"/>
  <c r="ES150" i="1"/>
  <c r="ET150" i="1"/>
  <c r="EU150" i="1"/>
  <c r="EV150" i="1"/>
  <c r="EW150" i="1"/>
  <c r="EX150" i="1"/>
  <c r="EY150" i="1"/>
  <c r="EZ150" i="1"/>
  <c r="FA150" i="1"/>
  <c r="FB150" i="1"/>
  <c r="FC150" i="1"/>
  <c r="FD150" i="1"/>
  <c r="FE150" i="1"/>
  <c r="FF150" i="1"/>
  <c r="FG150" i="1"/>
  <c r="FH150" i="1"/>
  <c r="FI150" i="1"/>
  <c r="FJ150" i="1"/>
  <c r="FK150" i="1"/>
  <c r="FL150" i="1"/>
  <c r="FM150" i="1"/>
  <c r="FN150" i="1"/>
  <c r="FO150" i="1"/>
  <c r="FP150" i="1"/>
  <c r="FQ150" i="1"/>
  <c r="FR150" i="1"/>
  <c r="FS150" i="1"/>
  <c r="FT150" i="1"/>
  <c r="FU150" i="1"/>
  <c r="FV150" i="1"/>
  <c r="FW150" i="1"/>
  <c r="FX150" i="1"/>
  <c r="FY150" i="1"/>
  <c r="FZ150" i="1"/>
  <c r="GA150" i="1"/>
  <c r="GB150" i="1"/>
  <c r="GC150" i="1"/>
  <c r="GD150" i="1"/>
  <c r="GE150" i="1"/>
  <c r="GF150" i="1"/>
  <c r="GG150" i="1"/>
  <c r="GH150" i="1"/>
  <c r="GI150" i="1"/>
  <c r="GJ150" i="1"/>
  <c r="GK150" i="1"/>
  <c r="GL150" i="1"/>
  <c r="GM150" i="1"/>
  <c r="GN150" i="1"/>
  <c r="GO150" i="1"/>
  <c r="GP150" i="1"/>
  <c r="GQ150" i="1"/>
  <c r="GR150" i="1"/>
  <c r="GS150" i="1"/>
  <c r="GT150" i="1"/>
  <c r="GU150" i="1"/>
  <c r="GV150" i="1"/>
  <c r="GW150" i="1"/>
  <c r="GX150" i="1"/>
  <c r="C152" i="1"/>
  <c r="D152" i="1"/>
  <c r="AC152" i="1"/>
  <c r="AD152" i="1"/>
  <c r="AE152" i="1"/>
  <c r="AF152" i="1"/>
  <c r="AG152" i="1"/>
  <c r="CU152" i="1" s="1"/>
  <c r="T152" i="1" s="1"/>
  <c r="AH152" i="1"/>
  <c r="CV152" i="1" s="1"/>
  <c r="U152" i="1" s="1"/>
  <c r="AI152" i="1"/>
  <c r="CW152" i="1" s="1"/>
  <c r="V152" i="1" s="1"/>
  <c r="AJ152" i="1"/>
  <c r="CQ152" i="1"/>
  <c r="CR152" i="1"/>
  <c r="CS152" i="1"/>
  <c r="CT152" i="1"/>
  <c r="CX152" i="1"/>
  <c r="W152" i="1" s="1"/>
  <c r="FR152" i="1"/>
  <c r="GL152" i="1"/>
  <c r="GO152" i="1"/>
  <c r="GP152" i="1"/>
  <c r="GV152" i="1"/>
  <c r="HC152" i="1"/>
  <c r="GX152" i="1" s="1"/>
  <c r="C153" i="1"/>
  <c r="D153" i="1"/>
  <c r="AC153" i="1"/>
  <c r="AD153" i="1"/>
  <c r="AE153" i="1"/>
  <c r="AF153" i="1"/>
  <c r="AG153" i="1"/>
  <c r="AH153" i="1"/>
  <c r="CV153" i="1" s="1"/>
  <c r="U153" i="1" s="1"/>
  <c r="AI153" i="1"/>
  <c r="CW153" i="1" s="1"/>
  <c r="V153" i="1" s="1"/>
  <c r="AJ153" i="1"/>
  <c r="CX153" i="1" s="1"/>
  <c r="W153" i="1" s="1"/>
  <c r="CQ153" i="1"/>
  <c r="CR153" i="1"/>
  <c r="CS153" i="1"/>
  <c r="CT153" i="1"/>
  <c r="CU153" i="1"/>
  <c r="T153" i="1" s="1"/>
  <c r="AG158" i="1" s="1"/>
  <c r="FR153" i="1"/>
  <c r="GL153" i="1"/>
  <c r="GO153" i="1"/>
  <c r="GP153" i="1"/>
  <c r="GV153" i="1"/>
  <c r="HC153" i="1" s="1"/>
  <c r="GX153" i="1" s="1"/>
  <c r="CJ158" i="1" s="1"/>
  <c r="C154" i="1"/>
  <c r="D154" i="1"/>
  <c r="Q154" i="1"/>
  <c r="AC154" i="1"/>
  <c r="AD154" i="1"/>
  <c r="AE154" i="1"/>
  <c r="AF154" i="1"/>
  <c r="AG154" i="1"/>
  <c r="CU154" i="1" s="1"/>
  <c r="T154" i="1" s="1"/>
  <c r="AH154" i="1"/>
  <c r="CV154" i="1" s="1"/>
  <c r="U154" i="1" s="1"/>
  <c r="AI154" i="1"/>
  <c r="AJ154" i="1"/>
  <c r="CX154" i="1" s="1"/>
  <c r="W154" i="1" s="1"/>
  <c r="CQ154" i="1"/>
  <c r="CR154" i="1"/>
  <c r="CS154" i="1"/>
  <c r="CT154" i="1"/>
  <c r="CW154" i="1"/>
  <c r="V154" i="1" s="1"/>
  <c r="FR154" i="1"/>
  <c r="GL154" i="1"/>
  <c r="GO154" i="1"/>
  <c r="GP154" i="1"/>
  <c r="GV154" i="1"/>
  <c r="HC154" i="1"/>
  <c r="GX154" i="1" s="1"/>
  <c r="O155" i="1"/>
  <c r="P155" i="1"/>
  <c r="Q155" i="1"/>
  <c r="R155" i="1"/>
  <c r="S155" i="1"/>
  <c r="T155" i="1"/>
  <c r="U155" i="1"/>
  <c r="V155" i="1"/>
  <c r="W155" i="1"/>
  <c r="X155" i="1"/>
  <c r="Y155" i="1"/>
  <c r="AB155" i="1"/>
  <c r="CP155" i="1" s="1"/>
  <c r="GM155" i="1" s="1"/>
  <c r="AC155" i="1"/>
  <c r="AD155" i="1"/>
  <c r="AE155" i="1"/>
  <c r="AF155" i="1"/>
  <c r="AG155" i="1"/>
  <c r="AH155" i="1"/>
  <c r="AI155" i="1"/>
  <c r="AJ155" i="1"/>
  <c r="FR155" i="1"/>
  <c r="GL155" i="1"/>
  <c r="GO155" i="1"/>
  <c r="GP155" i="1"/>
  <c r="GV155" i="1"/>
  <c r="GX155" i="1"/>
  <c r="O156" i="1"/>
  <c r="P156" i="1"/>
  <c r="Q156" i="1"/>
  <c r="R156" i="1"/>
  <c r="S156" i="1"/>
  <c r="T156" i="1"/>
  <c r="U156" i="1"/>
  <c r="V156" i="1"/>
  <c r="W156" i="1"/>
  <c r="X156" i="1"/>
  <c r="Y156" i="1"/>
  <c r="AB156" i="1"/>
  <c r="AC156" i="1"/>
  <c r="AD156" i="1"/>
  <c r="AE156" i="1"/>
  <c r="AF156" i="1"/>
  <c r="AG156" i="1"/>
  <c r="AH156" i="1"/>
  <c r="AI156" i="1"/>
  <c r="AJ156" i="1"/>
  <c r="CP156" i="1"/>
  <c r="GM156" i="1" s="1"/>
  <c r="FR156" i="1"/>
  <c r="GL156" i="1"/>
  <c r="GO156" i="1"/>
  <c r="GP156" i="1"/>
  <c r="GV156" i="1"/>
  <c r="GX156" i="1"/>
  <c r="B158" i="1"/>
  <c r="B150" i="1" s="1"/>
  <c r="C158" i="1"/>
  <c r="C150" i="1" s="1"/>
  <c r="D158" i="1"/>
  <c r="D150" i="1" s="1"/>
  <c r="F158" i="1"/>
  <c r="F150" i="1" s="1"/>
  <c r="G158" i="1"/>
  <c r="G150" i="1" s="1"/>
  <c r="BX158" i="1"/>
  <c r="BX150" i="1" s="1"/>
  <c r="CK158" i="1"/>
  <c r="BB158" i="1" s="1"/>
  <c r="CL158" i="1"/>
  <c r="CL150" i="1" s="1"/>
  <c r="B188" i="1"/>
  <c r="B22" i="1" s="1"/>
  <c r="C188" i="1"/>
  <c r="C22" i="1" s="1"/>
  <c r="D188" i="1"/>
  <c r="D22" i="1" s="1"/>
  <c r="F188" i="1"/>
  <c r="F22" i="1" s="1"/>
  <c r="G188" i="1"/>
  <c r="G22" i="1" s="1"/>
  <c r="AG188" i="1"/>
  <c r="AG22" i="1" s="1"/>
  <c r="AJ188" i="1"/>
  <c r="AJ22" i="1" s="1"/>
  <c r="BX188" i="1"/>
  <c r="BX22" i="1" s="1"/>
  <c r="CD188" i="1"/>
  <c r="CD22" i="1" s="1"/>
  <c r="CJ188" i="1"/>
  <c r="CJ22" i="1" s="1"/>
  <c r="CK188" i="1"/>
  <c r="CK22" i="1" s="1"/>
  <c r="CL188" i="1"/>
  <c r="CL22" i="1" s="1"/>
  <c r="CM188" i="1"/>
  <c r="CM22" i="1" s="1"/>
  <c r="B218" i="1"/>
  <c r="B18" i="1" s="1"/>
  <c r="C218" i="1"/>
  <c r="C18" i="1" s="1"/>
  <c r="D218" i="1"/>
  <c r="D18" i="1" s="1"/>
  <c r="F218" i="1"/>
  <c r="F18" i="1" s="1"/>
  <c r="G218" i="1"/>
  <c r="G18" i="1" s="1"/>
  <c r="CY33" i="1" l="1"/>
  <c r="X33" i="1" s="1"/>
  <c r="CC188" i="1"/>
  <c r="CC22" i="1" s="1"/>
  <c r="AB26" i="1"/>
  <c r="BZ188" i="1"/>
  <c r="BZ22" i="1" s="1"/>
  <c r="H143" i="7"/>
  <c r="G155" i="6"/>
  <c r="H341" i="7"/>
  <c r="G353" i="6"/>
  <c r="AB80" i="1"/>
  <c r="BZ82" i="1"/>
  <c r="H329" i="7"/>
  <c r="G341" i="6"/>
  <c r="H197" i="7"/>
  <c r="G209" i="6"/>
  <c r="H140" i="7"/>
  <c r="G152" i="6"/>
  <c r="G126" i="6"/>
  <c r="H114" i="7"/>
  <c r="BY188" i="1"/>
  <c r="BY22" i="1" s="1"/>
  <c r="G497" i="6"/>
  <c r="H485" i="7"/>
  <c r="G459" i="6"/>
  <c r="H447" i="7"/>
  <c r="AI118" i="1"/>
  <c r="V118" i="1" s="1"/>
  <c r="H395" i="7"/>
  <c r="G407" i="6"/>
  <c r="CB82" i="1"/>
  <c r="H326" i="7"/>
  <c r="G338" i="6"/>
  <c r="G230" i="6"/>
  <c r="H218" i="7"/>
  <c r="H160" i="7"/>
  <c r="G172" i="6"/>
  <c r="G137" i="6"/>
  <c r="H125" i="7"/>
  <c r="H122" i="7"/>
  <c r="G134" i="6"/>
  <c r="H76" i="7"/>
  <c r="G88" i="6"/>
  <c r="H53" i="7"/>
  <c r="G65" i="6"/>
  <c r="H41" i="7"/>
  <c r="G53" i="6"/>
  <c r="H469" i="7"/>
  <c r="G481" i="6"/>
  <c r="CC158" i="1"/>
  <c r="CC150" i="1" s="1"/>
  <c r="H450" i="7"/>
  <c r="G462" i="6"/>
  <c r="AH118" i="1"/>
  <c r="AH114" i="1" s="1"/>
  <c r="G404" i="6"/>
  <c r="H392" i="7"/>
  <c r="H277" i="7"/>
  <c r="G289" i="6"/>
  <c r="H258" i="7"/>
  <c r="G270" i="6"/>
  <c r="G248" i="6"/>
  <c r="H236" i="7"/>
  <c r="H215" i="7"/>
  <c r="G227" i="6"/>
  <c r="G194" i="6"/>
  <c r="H182" i="7"/>
  <c r="H179" i="7"/>
  <c r="G191" i="6"/>
  <c r="H157" i="7"/>
  <c r="G169" i="6"/>
  <c r="H90" i="7"/>
  <c r="G102" i="6"/>
  <c r="H50" i="7"/>
  <c r="G62" i="6"/>
  <c r="G478" i="6"/>
  <c r="H466" i="7"/>
  <c r="H344" i="7"/>
  <c r="G356" i="6"/>
  <c r="H280" i="7"/>
  <c r="G292" i="6"/>
  <c r="H255" i="7"/>
  <c r="G267" i="6"/>
  <c r="H233" i="7"/>
  <c r="G245" i="6"/>
  <c r="H200" i="7"/>
  <c r="G212" i="6"/>
  <c r="H106" i="7"/>
  <c r="G118" i="6"/>
  <c r="AZ112" i="7"/>
  <c r="AZ124" i="6"/>
  <c r="L122" i="6" s="1"/>
  <c r="H87" i="7"/>
  <c r="G99" i="6"/>
  <c r="H73" i="7"/>
  <c r="G85" i="6"/>
  <c r="M449" i="7"/>
  <c r="AT464" i="7"/>
  <c r="AO71" i="7"/>
  <c r="AO357" i="7"/>
  <c r="M558" i="7" s="1"/>
  <c r="M556" i="7" s="1"/>
  <c r="M192" i="7"/>
  <c r="M546" i="7"/>
  <c r="M615" i="7"/>
  <c r="M511" i="7"/>
  <c r="M416" i="7"/>
  <c r="M354" i="7"/>
  <c r="AO291" i="7"/>
  <c r="M613" i="7"/>
  <c r="M611" i="7" s="1"/>
  <c r="M544" i="7"/>
  <c r="M542" i="7" s="1"/>
  <c r="M151" i="7"/>
  <c r="M227" i="7"/>
  <c r="AT412" i="7"/>
  <c r="M421" i="7" s="1"/>
  <c r="M394" i="7"/>
  <c r="AO195" i="7"/>
  <c r="M500" i="7"/>
  <c r="AT253" i="7"/>
  <c r="M235" i="7"/>
  <c r="M580" i="7"/>
  <c r="M576" i="7"/>
  <c r="M623" i="7" s="1"/>
  <c r="M134" i="7"/>
  <c r="M336" i="7"/>
  <c r="M567" i="7"/>
  <c r="M373" i="7"/>
  <c r="M555" i="7"/>
  <c r="M361" i="7"/>
  <c r="M616" i="7"/>
  <c r="M535" i="7"/>
  <c r="M604" i="7"/>
  <c r="M45" i="7"/>
  <c r="M295" i="7"/>
  <c r="M109" i="7"/>
  <c r="L588" i="6"/>
  <c r="L635" i="6" s="1"/>
  <c r="L592" i="6"/>
  <c r="L348" i="6"/>
  <c r="L567" i="6"/>
  <c r="L373" i="6"/>
  <c r="L579" i="6"/>
  <c r="L385" i="6"/>
  <c r="L558" i="6"/>
  <c r="L307" i="6"/>
  <c r="L121" i="6"/>
  <c r="L473" i="6"/>
  <c r="L524" i="6"/>
  <c r="L512" i="6"/>
  <c r="L111" i="6"/>
  <c r="L515" i="6"/>
  <c r="L513" i="6" s="1"/>
  <c r="L203" i="6"/>
  <c r="L79" i="6"/>
  <c r="AT265" i="6"/>
  <c r="L552" i="6" s="1"/>
  <c r="L247" i="6"/>
  <c r="L523" i="6"/>
  <c r="L491" i="6"/>
  <c r="L572" i="6"/>
  <c r="L378" i="6"/>
  <c r="L374" i="6" s="1"/>
  <c r="L568" i="6"/>
  <c r="L185" i="6"/>
  <c r="L556" i="6"/>
  <c r="L554" i="6" s="1"/>
  <c r="L472" i="6"/>
  <c r="L547" i="6"/>
  <c r="L616" i="6"/>
  <c r="K39" i="6"/>
  <c r="L57" i="6"/>
  <c r="CI188" i="1"/>
  <c r="CI22" i="1" s="1"/>
  <c r="AB42" i="1"/>
  <c r="AB37" i="1"/>
  <c r="AB36" i="1"/>
  <c r="AH188" i="1"/>
  <c r="AH22" i="1" s="1"/>
  <c r="BY158" i="1"/>
  <c r="BZ158" i="1"/>
  <c r="CG158" i="1" s="1"/>
  <c r="CZ33" i="1"/>
  <c r="Y33" i="1" s="1"/>
  <c r="CD158" i="1"/>
  <c r="CC45" i="1"/>
  <c r="CC31" i="1" s="1"/>
  <c r="CD45" i="1"/>
  <c r="AU45" i="1" s="1"/>
  <c r="AB40" i="1"/>
  <c r="BZ45" i="1"/>
  <c r="BZ31" i="1" s="1"/>
  <c r="AB33" i="1"/>
  <c r="AB154" i="1"/>
  <c r="BY82" i="1"/>
  <c r="AB41" i="1"/>
  <c r="AB39" i="1"/>
  <c r="AB38" i="1"/>
  <c r="AB35" i="1"/>
  <c r="AH158" i="1"/>
  <c r="AH150" i="1" s="1"/>
  <c r="AB153" i="1"/>
  <c r="AB152" i="1"/>
  <c r="CD82" i="1"/>
  <c r="AH82" i="1"/>
  <c r="U82" i="1" s="1"/>
  <c r="AB43" i="1"/>
  <c r="BY45" i="1"/>
  <c r="AB116" i="1"/>
  <c r="AB79" i="1"/>
  <c r="AB27" i="1"/>
  <c r="AB25" i="1"/>
  <c r="AB24" i="1"/>
  <c r="GN155" i="1"/>
  <c r="HD155" i="1"/>
  <c r="T158" i="1"/>
  <c r="AG150" i="1"/>
  <c r="CJ114" i="1"/>
  <c r="BA118" i="1"/>
  <c r="HD156" i="1"/>
  <c r="GN156" i="1"/>
  <c r="CD150" i="1"/>
  <c r="AU158" i="1"/>
  <c r="AJ158" i="1"/>
  <c r="BY150" i="1"/>
  <c r="AP158" i="1"/>
  <c r="AI158" i="1"/>
  <c r="CJ150" i="1"/>
  <c r="BA158" i="1"/>
  <c r="BB150" i="1"/>
  <c r="F171" i="1"/>
  <c r="BC158" i="1"/>
  <c r="CK150" i="1"/>
  <c r="CC114" i="1"/>
  <c r="AT118" i="1"/>
  <c r="T118" i="1"/>
  <c r="AG114" i="1"/>
  <c r="F95" i="1"/>
  <c r="BB77" i="1"/>
  <c r="CJ82" i="1"/>
  <c r="AQ82" i="1"/>
  <c r="BZ77" i="1"/>
  <c r="AH45" i="1"/>
  <c r="AI45" i="1"/>
  <c r="BZ114" i="1"/>
  <c r="AQ118" i="1"/>
  <c r="AJ114" i="1"/>
  <c r="W118" i="1"/>
  <c r="CB77" i="1"/>
  <c r="AS82" i="1"/>
  <c r="BY77" i="1"/>
  <c r="CI82" i="1"/>
  <c r="AP82" i="1"/>
  <c r="CJ45" i="1"/>
  <c r="AG45" i="1"/>
  <c r="BX114" i="1"/>
  <c r="CG118" i="1"/>
  <c r="AO118" i="1"/>
  <c r="CI118" i="1"/>
  <c r="BY114" i="1"/>
  <c r="AP118" i="1"/>
  <c r="BD77" i="1"/>
  <c r="F107" i="1"/>
  <c r="AU82" i="1"/>
  <c r="CD77" i="1"/>
  <c r="AJ82" i="1"/>
  <c r="AJ45" i="1"/>
  <c r="AO158" i="1"/>
  <c r="CG188" i="1"/>
  <c r="CG22" i="1" s="1"/>
  <c r="CD114" i="1"/>
  <c r="AU118" i="1"/>
  <c r="F98" i="1"/>
  <c r="BC77" i="1"/>
  <c r="AI82" i="1"/>
  <c r="AG82" i="1"/>
  <c r="BC118" i="1"/>
  <c r="CG82" i="1"/>
  <c r="CM77" i="1"/>
  <c r="BC45" i="1"/>
  <c r="BB118" i="1"/>
  <c r="AO82" i="1"/>
  <c r="CL77" i="1"/>
  <c r="BB45" i="1"/>
  <c r="AO45" i="1"/>
  <c r="CZ34" i="1"/>
  <c r="Y34" i="1" s="1"/>
  <c r="CY34" i="1"/>
  <c r="X34" i="1" s="1"/>
  <c r="BD118" i="1"/>
  <c r="BD45" i="1"/>
  <c r="DH132" i="3"/>
  <c r="R154" i="1" s="1"/>
  <c r="DI132" i="3"/>
  <c r="DF132" i="3"/>
  <c r="P154" i="1" s="1"/>
  <c r="DI131" i="3"/>
  <c r="DF131" i="3"/>
  <c r="DJ131" i="3" s="1"/>
  <c r="DG131" i="3"/>
  <c r="DF130" i="3"/>
  <c r="DJ130" i="3" s="1"/>
  <c r="DG130" i="3"/>
  <c r="DH130" i="3"/>
  <c r="DH124" i="3"/>
  <c r="DI124" i="3"/>
  <c r="DF124" i="3"/>
  <c r="DI123" i="3"/>
  <c r="DF123" i="3"/>
  <c r="DJ123" i="3" s="1"/>
  <c r="DG123" i="3"/>
  <c r="DF122" i="3"/>
  <c r="DJ122" i="3" s="1"/>
  <c r="DG122" i="3"/>
  <c r="DH122" i="3"/>
  <c r="DH116" i="3"/>
  <c r="DI116" i="3"/>
  <c r="DF116" i="3"/>
  <c r="DI115" i="3"/>
  <c r="DF115" i="3"/>
  <c r="DJ115" i="3" s="1"/>
  <c r="DG115" i="3"/>
  <c r="DF114" i="3"/>
  <c r="DJ114" i="3" s="1"/>
  <c r="DG114" i="3"/>
  <c r="DH114" i="3"/>
  <c r="DH108" i="3"/>
  <c r="DJ108" i="3" s="1"/>
  <c r="DI108" i="3"/>
  <c r="DF108" i="3"/>
  <c r="DI107" i="3"/>
  <c r="DF107" i="3"/>
  <c r="DG107" i="3"/>
  <c r="DF106" i="3"/>
  <c r="DG106" i="3"/>
  <c r="DH106" i="3"/>
  <c r="DI102" i="3"/>
  <c r="DF102" i="3"/>
  <c r="DG102" i="3"/>
  <c r="DH102" i="3"/>
  <c r="DG100" i="3"/>
  <c r="DH100" i="3"/>
  <c r="DI100" i="3"/>
  <c r="DF100" i="3"/>
  <c r="DG96" i="3"/>
  <c r="DH96" i="3"/>
  <c r="DI96" i="3"/>
  <c r="DF96" i="3"/>
  <c r="DF89" i="3"/>
  <c r="DH89" i="3"/>
  <c r="DI89" i="3"/>
  <c r="DG89" i="3"/>
  <c r="DI86" i="3"/>
  <c r="DF86" i="3"/>
  <c r="DJ86" i="3" s="1"/>
  <c r="DG86" i="3"/>
  <c r="DH86" i="3"/>
  <c r="DG104" i="3"/>
  <c r="DH104" i="3"/>
  <c r="DI104" i="3"/>
  <c r="DF104" i="3"/>
  <c r="DJ104" i="3" s="1"/>
  <c r="DI70" i="3"/>
  <c r="DF70" i="3"/>
  <c r="DG70" i="3"/>
  <c r="DH70" i="3"/>
  <c r="DH128" i="3"/>
  <c r="DI128" i="3"/>
  <c r="DF128" i="3"/>
  <c r="DJ128" i="3" s="1"/>
  <c r="DI127" i="3"/>
  <c r="DF127" i="3"/>
  <c r="DG127" i="3"/>
  <c r="DJ127" i="3" s="1"/>
  <c r="DF126" i="3"/>
  <c r="DG126" i="3"/>
  <c r="DH126" i="3"/>
  <c r="DH120" i="3"/>
  <c r="DI120" i="3"/>
  <c r="DF120" i="3"/>
  <c r="DJ120" i="3" s="1"/>
  <c r="DI119" i="3"/>
  <c r="DF119" i="3"/>
  <c r="DG119" i="3"/>
  <c r="DJ119" i="3" s="1"/>
  <c r="DF118" i="3"/>
  <c r="DG118" i="3"/>
  <c r="DH118" i="3"/>
  <c r="DH112" i="3"/>
  <c r="DI112" i="3"/>
  <c r="DF112" i="3"/>
  <c r="DJ112" i="3" s="1"/>
  <c r="DI111" i="3"/>
  <c r="DF111" i="3"/>
  <c r="DJ111" i="3" s="1"/>
  <c r="DG111" i="3"/>
  <c r="DF110" i="3"/>
  <c r="DJ110" i="3" s="1"/>
  <c r="DG110" i="3"/>
  <c r="DH110" i="3"/>
  <c r="DF81" i="3"/>
  <c r="DG81" i="3"/>
  <c r="DH81" i="3"/>
  <c r="DI81" i="3"/>
  <c r="DI78" i="3"/>
  <c r="DG78" i="3"/>
  <c r="DH78" i="3"/>
  <c r="DF78" i="3"/>
  <c r="DF73" i="3"/>
  <c r="DJ73" i="3" s="1"/>
  <c r="DH73" i="3"/>
  <c r="DI73" i="3"/>
  <c r="DG73" i="3"/>
  <c r="DI98" i="3"/>
  <c r="DF98" i="3"/>
  <c r="DJ98" i="3" s="1"/>
  <c r="DG98" i="3"/>
  <c r="DH98" i="3"/>
  <c r="DI94" i="3"/>
  <c r="DJ94" i="3" s="1"/>
  <c r="DF94" i="3"/>
  <c r="DG94" i="3"/>
  <c r="Q79" i="1" s="1"/>
  <c r="DH94" i="3"/>
  <c r="R79" i="1" s="1"/>
  <c r="DG92" i="3"/>
  <c r="DH92" i="3"/>
  <c r="DI92" i="3"/>
  <c r="DF92" i="3"/>
  <c r="DJ92" i="3" s="1"/>
  <c r="DF65" i="3"/>
  <c r="DG65" i="3"/>
  <c r="DH65" i="3"/>
  <c r="DI65" i="3"/>
  <c r="DI62" i="3"/>
  <c r="DG62" i="3"/>
  <c r="DH62" i="3"/>
  <c r="DF62" i="3"/>
  <c r="DF57" i="3"/>
  <c r="DH57" i="3"/>
  <c r="DI57" i="3"/>
  <c r="DG57" i="3"/>
  <c r="DI133" i="3"/>
  <c r="DI129" i="3"/>
  <c r="DI125" i="3"/>
  <c r="DJ125" i="3" s="1"/>
  <c r="DI121" i="3"/>
  <c r="DI117" i="3"/>
  <c r="DJ117" i="3" s="1"/>
  <c r="DI113" i="3"/>
  <c r="DI109" i="3"/>
  <c r="DI105" i="3"/>
  <c r="DG103" i="3"/>
  <c r="DI101" i="3"/>
  <c r="DG99" i="3"/>
  <c r="Q80" i="1" s="1"/>
  <c r="DI97" i="3"/>
  <c r="DG95" i="3"/>
  <c r="DJ95" i="3" s="1"/>
  <c r="DI93" i="3"/>
  <c r="DG91" i="3"/>
  <c r="DG90" i="3"/>
  <c r="DF88" i="3"/>
  <c r="DF87" i="3"/>
  <c r="DH85" i="3"/>
  <c r="DH84" i="3"/>
  <c r="DG83" i="3"/>
  <c r="DI79" i="3"/>
  <c r="DJ79" i="3" s="1"/>
  <c r="DG74" i="3"/>
  <c r="DF72" i="3"/>
  <c r="DF71" i="3"/>
  <c r="DH69" i="3"/>
  <c r="R41" i="1" s="1"/>
  <c r="DH68" i="3"/>
  <c r="DG67" i="3"/>
  <c r="DI63" i="3"/>
  <c r="DJ63" i="3" s="1"/>
  <c r="DG58" i="3"/>
  <c r="DJ58" i="3" s="1"/>
  <c r="DF56" i="3"/>
  <c r="DF55" i="3"/>
  <c r="DH54" i="3"/>
  <c r="DH50" i="3"/>
  <c r="DI47" i="3"/>
  <c r="DF47" i="3"/>
  <c r="DJ47" i="3" s="1"/>
  <c r="DF103" i="3"/>
  <c r="DJ103" i="3" s="1"/>
  <c r="DF99" i="3"/>
  <c r="P80" i="1" s="1"/>
  <c r="DF95" i="3"/>
  <c r="DF91" i="3"/>
  <c r="DJ91" i="3" s="1"/>
  <c r="DF90" i="3"/>
  <c r="DJ90" i="3" s="1"/>
  <c r="DG85" i="3"/>
  <c r="DF84" i="3"/>
  <c r="DJ84" i="3" s="1"/>
  <c r="DG79" i="3"/>
  <c r="DF74" i="3"/>
  <c r="DJ74" i="3" s="1"/>
  <c r="DG69" i="3"/>
  <c r="Q41" i="1" s="1"/>
  <c r="DF68" i="3"/>
  <c r="DJ68" i="3" s="1"/>
  <c r="DG63" i="3"/>
  <c r="DF58" i="3"/>
  <c r="DG53" i="3"/>
  <c r="Q38" i="1" s="1"/>
  <c r="DF53" i="3"/>
  <c r="DJ53" i="3" s="1"/>
  <c r="DI35" i="3"/>
  <c r="DF35" i="3"/>
  <c r="P36" i="1" s="1"/>
  <c r="DG35" i="3"/>
  <c r="DH35" i="3"/>
  <c r="DI87" i="3"/>
  <c r="DG82" i="3"/>
  <c r="DF79" i="3"/>
  <c r="DH77" i="3"/>
  <c r="DH76" i="3"/>
  <c r="DI71" i="3"/>
  <c r="DG66" i="3"/>
  <c r="DF63" i="3"/>
  <c r="DH61" i="3"/>
  <c r="DH60" i="3"/>
  <c r="DI55" i="3"/>
  <c r="DI53" i="3"/>
  <c r="DI51" i="3"/>
  <c r="DH51" i="3"/>
  <c r="DJ51" i="3" s="1"/>
  <c r="DI43" i="3"/>
  <c r="DF43" i="3"/>
  <c r="DG43" i="3"/>
  <c r="DH43" i="3"/>
  <c r="DF54" i="3"/>
  <c r="DJ54" i="3" s="1"/>
  <c r="DI54" i="3"/>
  <c r="DF50" i="3"/>
  <c r="DI50" i="3"/>
  <c r="DF46" i="3"/>
  <c r="DJ46" i="3" s="1"/>
  <c r="DG46" i="3"/>
  <c r="DI46" i="3"/>
  <c r="DH46" i="3"/>
  <c r="DI39" i="3"/>
  <c r="DF39" i="3"/>
  <c r="DJ39" i="3" s="1"/>
  <c r="DG39" i="3"/>
  <c r="DH39" i="3"/>
  <c r="DG32" i="3"/>
  <c r="DH32" i="3"/>
  <c r="DI32" i="3"/>
  <c r="DF32" i="3"/>
  <c r="DJ32" i="3" s="1"/>
  <c r="DG28" i="3"/>
  <c r="Q35" i="1" s="1"/>
  <c r="DH28" i="3"/>
  <c r="R35" i="1" s="1"/>
  <c r="DI28" i="3"/>
  <c r="DF28" i="3"/>
  <c r="P35" i="1" s="1"/>
  <c r="DG24" i="3"/>
  <c r="DH24" i="3"/>
  <c r="DI24" i="3"/>
  <c r="DF24" i="3"/>
  <c r="DJ24" i="3" s="1"/>
  <c r="DG16" i="3"/>
  <c r="DJ16" i="3" s="1"/>
  <c r="DH16" i="3"/>
  <c r="DI16" i="3"/>
  <c r="DF16" i="3"/>
  <c r="DG4" i="3"/>
  <c r="DH4" i="3"/>
  <c r="DI4" i="3"/>
  <c r="DJ4" i="3" s="1"/>
  <c r="DF4" i="3"/>
  <c r="DH19" i="3"/>
  <c r="DI19" i="3"/>
  <c r="DF19" i="3"/>
  <c r="DJ19" i="3" s="1"/>
  <c r="DG19" i="3"/>
  <c r="DH11" i="3"/>
  <c r="DI11" i="3"/>
  <c r="DF11" i="3"/>
  <c r="DJ11" i="3" s="1"/>
  <c r="DG11" i="3"/>
  <c r="DF42" i="3"/>
  <c r="P37" i="1" s="1"/>
  <c r="DG42" i="3"/>
  <c r="DF38" i="3"/>
  <c r="DJ38" i="3" s="1"/>
  <c r="DG38" i="3"/>
  <c r="DG20" i="3"/>
  <c r="Q27" i="1" s="1"/>
  <c r="DH20" i="3"/>
  <c r="DI20" i="3"/>
  <c r="DF20" i="3"/>
  <c r="DG12" i="3"/>
  <c r="DH12" i="3"/>
  <c r="DI12" i="3"/>
  <c r="DF12" i="3"/>
  <c r="DJ12" i="3" s="1"/>
  <c r="DH7" i="3"/>
  <c r="DI7" i="3"/>
  <c r="DF7" i="3"/>
  <c r="DJ7" i="3" s="1"/>
  <c r="DG7" i="3"/>
  <c r="DF5" i="3"/>
  <c r="DG5" i="3"/>
  <c r="DH5" i="3"/>
  <c r="DI5" i="3"/>
  <c r="DF1" i="3"/>
  <c r="DG1" i="3"/>
  <c r="DH1" i="3"/>
  <c r="R24" i="1" s="1"/>
  <c r="DI1" i="3"/>
  <c r="DH48" i="3"/>
  <c r="DI48" i="3"/>
  <c r="DH44" i="3"/>
  <c r="DI44" i="3"/>
  <c r="DI42" i="3"/>
  <c r="DH40" i="3"/>
  <c r="DI40" i="3"/>
  <c r="DI38" i="3"/>
  <c r="DH36" i="3"/>
  <c r="DJ36" i="3" s="1"/>
  <c r="DI36" i="3"/>
  <c r="DH23" i="3"/>
  <c r="DI23" i="3"/>
  <c r="DF23" i="3"/>
  <c r="DJ23" i="3" s="1"/>
  <c r="DG23" i="3"/>
  <c r="DH15" i="3"/>
  <c r="DI15" i="3"/>
  <c r="DF15" i="3"/>
  <c r="P26" i="1" s="1"/>
  <c r="DG15" i="3"/>
  <c r="DG8" i="3"/>
  <c r="DH8" i="3"/>
  <c r="DI8" i="3"/>
  <c r="DF8" i="3"/>
  <c r="DJ8" i="3" s="1"/>
  <c r="DH3" i="3"/>
  <c r="DI3" i="3"/>
  <c r="DF3" i="3"/>
  <c r="P25" i="1" s="1"/>
  <c r="DG3" i="3"/>
  <c r="DG31" i="3"/>
  <c r="DJ31" i="3" s="1"/>
  <c r="DG27" i="3"/>
  <c r="Q34" i="1" s="1"/>
  <c r="DG34" i="3"/>
  <c r="Q36" i="1" s="1"/>
  <c r="DF31" i="3"/>
  <c r="DG30" i="3"/>
  <c r="DJ30" i="3" s="1"/>
  <c r="DF27" i="3"/>
  <c r="P34" i="1" s="1"/>
  <c r="DG26" i="3"/>
  <c r="Q33" i="1" s="1"/>
  <c r="DG22" i="3"/>
  <c r="DJ22" i="3" s="1"/>
  <c r="DG18" i="3"/>
  <c r="DG14" i="3"/>
  <c r="DG10" i="3"/>
  <c r="DG6" i="3"/>
  <c r="DJ6" i="3" s="1"/>
  <c r="DG2" i="3"/>
  <c r="DF10" i="3"/>
  <c r="DJ10" i="3" s="1"/>
  <c r="DF2" i="3"/>
  <c r="DJ2" i="3" s="1"/>
  <c r="CI45" i="1" l="1"/>
  <c r="CG45" i="1"/>
  <c r="AP45" i="1"/>
  <c r="BY31" i="1"/>
  <c r="AQ45" i="1"/>
  <c r="AT45" i="1"/>
  <c r="AI114" i="1"/>
  <c r="CP34" i="1"/>
  <c r="O34" i="1" s="1"/>
  <c r="GM34" i="1" s="1"/>
  <c r="GN34" i="1" s="1"/>
  <c r="U118" i="1"/>
  <c r="U114" i="1" s="1"/>
  <c r="AT158" i="1"/>
  <c r="AH77" i="1"/>
  <c r="BA112" i="7"/>
  <c r="BA124" i="6"/>
  <c r="AZ120" i="7"/>
  <c r="M118" i="7" s="1"/>
  <c r="AZ132" i="6"/>
  <c r="L130" i="6" s="1"/>
  <c r="BA132" i="6"/>
  <c r="L131" i="6" s="1"/>
  <c r="BA120" i="7"/>
  <c r="M119" i="7" s="1"/>
  <c r="M110" i="7"/>
  <c r="M298" i="7"/>
  <c r="M296" i="7" s="1"/>
  <c r="M293" i="7" s="1"/>
  <c r="M609" i="7"/>
  <c r="M300" i="7"/>
  <c r="M538" i="7"/>
  <c r="M536" i="7" s="1"/>
  <c r="M533" i="7" s="1"/>
  <c r="M547" i="7"/>
  <c r="AO412" i="7"/>
  <c r="M419" i="7" s="1"/>
  <c r="M417" i="7" s="1"/>
  <c r="M408" i="7"/>
  <c r="M409" i="7"/>
  <c r="M364" i="7"/>
  <c r="M362" i="7" s="1"/>
  <c r="M359" i="7" s="1"/>
  <c r="AO464" i="7"/>
  <c r="M503" i="7" s="1"/>
  <c r="M460" i="7"/>
  <c r="M505" i="7"/>
  <c r="M461" i="7"/>
  <c r="M428" i="7"/>
  <c r="M540" i="7"/>
  <c r="M307" i="7"/>
  <c r="M553" i="7"/>
  <c r="AO253" i="7"/>
  <c r="M607" i="7" s="1"/>
  <c r="M605" i="7" s="1"/>
  <c r="M602" i="7" s="1"/>
  <c r="M249" i="7"/>
  <c r="M414" i="7"/>
  <c r="M512" i="7"/>
  <c r="M250" i="7"/>
  <c r="L312" i="6"/>
  <c r="L510" i="6"/>
  <c r="L319" i="6"/>
  <c r="L371" i="6"/>
  <c r="K40" i="6"/>
  <c r="L628" i="6"/>
  <c r="L565" i="6"/>
  <c r="L621" i="6"/>
  <c r="L559" i="6"/>
  <c r="L262" i="6"/>
  <c r="AO265" i="6"/>
  <c r="L261" i="6"/>
  <c r="AQ158" i="1"/>
  <c r="AQ188" i="1" s="1"/>
  <c r="CI158" i="1"/>
  <c r="CI150" i="1" s="1"/>
  <c r="BZ150" i="1"/>
  <c r="CD31" i="1"/>
  <c r="U158" i="1"/>
  <c r="Q26" i="1"/>
  <c r="DJ3" i="3"/>
  <c r="S25" i="1"/>
  <c r="DJ15" i="3"/>
  <c r="S26" i="1"/>
  <c r="P27" i="1"/>
  <c r="R26" i="1"/>
  <c r="Q25" i="1"/>
  <c r="R37" i="1"/>
  <c r="Q24" i="1"/>
  <c r="DJ5" i="3"/>
  <c r="R27" i="1"/>
  <c r="DJ42" i="3"/>
  <c r="Q37" i="1"/>
  <c r="R36" i="1"/>
  <c r="P39" i="1"/>
  <c r="DJ57" i="3"/>
  <c r="Q39" i="1"/>
  <c r="P40" i="1"/>
  <c r="P42" i="1"/>
  <c r="DJ126" i="3"/>
  <c r="Q153" i="1"/>
  <c r="DJ96" i="3"/>
  <c r="P152" i="1"/>
  <c r="CG31" i="1"/>
  <c r="AX45" i="1"/>
  <c r="BC31" i="1"/>
  <c r="F61" i="1"/>
  <c r="BC188" i="1"/>
  <c r="AG77" i="1"/>
  <c r="T82" i="1"/>
  <c r="AU114" i="1"/>
  <c r="F137" i="1"/>
  <c r="CI31" i="1"/>
  <c r="AZ45" i="1"/>
  <c r="AJ77" i="1"/>
  <c r="W82" i="1"/>
  <c r="AO114" i="1"/>
  <c r="F122" i="1"/>
  <c r="CJ31" i="1"/>
  <c r="BA45" i="1"/>
  <c r="AS77" i="1"/>
  <c r="F99" i="1"/>
  <c r="AQ114" i="1"/>
  <c r="F128" i="1"/>
  <c r="AI31" i="1"/>
  <c r="V45" i="1"/>
  <c r="DJ55" i="3"/>
  <c r="S39" i="1"/>
  <c r="R40" i="1"/>
  <c r="AD82" i="1"/>
  <c r="R42" i="1"/>
  <c r="DJ89" i="3"/>
  <c r="Q43" i="1"/>
  <c r="R116" i="1"/>
  <c r="AE118" i="1" s="1"/>
  <c r="DJ116" i="3"/>
  <c r="S152" i="1"/>
  <c r="P153" i="1"/>
  <c r="BD31" i="1"/>
  <c r="F70" i="1"/>
  <c r="AI77" i="1"/>
  <c r="V82" i="1"/>
  <c r="F127" i="1"/>
  <c r="AP114" i="1"/>
  <c r="CG114" i="1"/>
  <c r="AX118" i="1"/>
  <c r="F91" i="1"/>
  <c r="AP77" i="1"/>
  <c r="AQ31" i="1"/>
  <c r="F55" i="1"/>
  <c r="AH31" i="1"/>
  <c r="U45" i="1"/>
  <c r="F92" i="1"/>
  <c r="AQ77" i="1"/>
  <c r="U150" i="1"/>
  <c r="F180" i="1"/>
  <c r="BA150" i="1"/>
  <c r="F178" i="1"/>
  <c r="AI150" i="1"/>
  <c r="V158" i="1"/>
  <c r="AJ150" i="1"/>
  <c r="W158" i="1"/>
  <c r="T150" i="1"/>
  <c r="F179" i="1"/>
  <c r="P24" i="1"/>
  <c r="R38" i="1"/>
  <c r="P43" i="1"/>
  <c r="DJ93" i="3"/>
  <c r="S79" i="1"/>
  <c r="R39" i="1"/>
  <c r="Q40" i="1"/>
  <c r="DJ65" i="3"/>
  <c r="P79" i="1"/>
  <c r="Q42" i="1"/>
  <c r="DJ81" i="3"/>
  <c r="P41" i="1"/>
  <c r="DJ100" i="3"/>
  <c r="S80" i="1"/>
  <c r="DJ102" i="3"/>
  <c r="Q116" i="1"/>
  <c r="AD118" i="1" s="1"/>
  <c r="DJ107" i="3"/>
  <c r="S116" i="1"/>
  <c r="R152" i="1"/>
  <c r="DJ124" i="3"/>
  <c r="S153" i="1"/>
  <c r="F143" i="1"/>
  <c r="BD114" i="1"/>
  <c r="AO31" i="1"/>
  <c r="F49" i="1"/>
  <c r="AO188" i="1"/>
  <c r="F86" i="1"/>
  <c r="AO77" i="1"/>
  <c r="CG77" i="1"/>
  <c r="AX82" i="1"/>
  <c r="AJ31" i="1"/>
  <c r="W45" i="1"/>
  <c r="U77" i="1"/>
  <c r="F104" i="1"/>
  <c r="AU77" i="1"/>
  <c r="F101" i="1"/>
  <c r="AZ82" i="1"/>
  <c r="CI77" i="1"/>
  <c r="W114" i="1"/>
  <c r="F142" i="1"/>
  <c r="AT150" i="1"/>
  <c r="F176" i="1"/>
  <c r="AT31" i="1"/>
  <c r="F63" i="1"/>
  <c r="CJ77" i="1"/>
  <c r="BA82" i="1"/>
  <c r="F139" i="1"/>
  <c r="T114" i="1"/>
  <c r="BC150" i="1"/>
  <c r="F174" i="1"/>
  <c r="AP150" i="1"/>
  <c r="F167" i="1"/>
  <c r="AU150" i="1"/>
  <c r="F177" i="1"/>
  <c r="BA114" i="1"/>
  <c r="F138" i="1"/>
  <c r="CM158" i="1"/>
  <c r="DJ1" i="3"/>
  <c r="S24" i="1"/>
  <c r="DJ50" i="3"/>
  <c r="S38" i="1"/>
  <c r="R25" i="1"/>
  <c r="DJ40" i="3"/>
  <c r="S37" i="1"/>
  <c r="CP37" i="1" s="1"/>
  <c r="O37" i="1" s="1"/>
  <c r="DJ20" i="3"/>
  <c r="S27" i="1"/>
  <c r="DJ28" i="3"/>
  <c r="S35" i="1"/>
  <c r="CP35" i="1" s="1"/>
  <c r="O35" i="1" s="1"/>
  <c r="P38" i="1"/>
  <c r="DJ43" i="3"/>
  <c r="DJ87" i="3"/>
  <c r="S43" i="1"/>
  <c r="DJ35" i="3"/>
  <c r="S36" i="1"/>
  <c r="DJ62" i="3"/>
  <c r="S40" i="1"/>
  <c r="DJ78" i="3"/>
  <c r="S42" i="1"/>
  <c r="DJ118" i="3"/>
  <c r="Q152" i="1"/>
  <c r="DJ70" i="3"/>
  <c r="S41" i="1"/>
  <c r="R43" i="1"/>
  <c r="R80" i="1"/>
  <c r="AE82" i="1" s="1"/>
  <c r="P116" i="1"/>
  <c r="R153" i="1"/>
  <c r="DJ132" i="3"/>
  <c r="S154" i="1"/>
  <c r="CP33" i="1"/>
  <c r="O33" i="1" s="1"/>
  <c r="BB31" i="1"/>
  <c r="F58" i="1"/>
  <c r="BB188" i="1"/>
  <c r="F131" i="1"/>
  <c r="BB114" i="1"/>
  <c r="BC114" i="1"/>
  <c r="F134" i="1"/>
  <c r="AO150" i="1"/>
  <c r="F162" i="1"/>
  <c r="AP31" i="1"/>
  <c r="F54" i="1"/>
  <c r="AP188" i="1"/>
  <c r="CI114" i="1"/>
  <c r="AZ118" i="1"/>
  <c r="AG31" i="1"/>
  <c r="T45" i="1"/>
  <c r="CG150" i="1"/>
  <c r="AX158" i="1"/>
  <c r="AU31" i="1"/>
  <c r="F64" i="1"/>
  <c r="AU188" i="1"/>
  <c r="AT114" i="1"/>
  <c r="F136" i="1"/>
  <c r="F141" i="1"/>
  <c r="V114" i="1"/>
  <c r="AZ158" i="1"/>
  <c r="F140" i="1" l="1"/>
  <c r="F168" i="1"/>
  <c r="AQ150" i="1"/>
  <c r="G454" i="6"/>
  <c r="H442" i="7"/>
  <c r="AN132" i="6"/>
  <c r="K132" i="6"/>
  <c r="I132" i="6" s="1"/>
  <c r="H525" i="7"/>
  <c r="G537" i="6"/>
  <c r="AN120" i="7"/>
  <c r="L120" i="7"/>
  <c r="J120" i="7" s="1"/>
  <c r="G453" i="6"/>
  <c r="H441" i="7"/>
  <c r="L123" i="6"/>
  <c r="H386" i="7"/>
  <c r="G398" i="6"/>
  <c r="CP26" i="1"/>
  <c r="O26" i="1" s="1"/>
  <c r="M111" i="7"/>
  <c r="AN112" i="7" s="1"/>
  <c r="M501" i="7"/>
  <c r="M498" i="7" s="1"/>
  <c r="L310" i="6"/>
  <c r="L308" i="6" s="1"/>
  <c r="L305" i="6" s="1"/>
  <c r="L550" i="6"/>
  <c r="L548" i="6" s="1"/>
  <c r="L545" i="6" s="1"/>
  <c r="L619" i="6"/>
  <c r="L617" i="6" s="1"/>
  <c r="L614" i="6" s="1"/>
  <c r="CP25" i="1"/>
  <c r="O25" i="1" s="1"/>
  <c r="AE45" i="1"/>
  <c r="R45" i="1" s="1"/>
  <c r="AE188" i="1"/>
  <c r="AE22" i="1" s="1"/>
  <c r="CP38" i="1"/>
  <c r="O38" i="1" s="1"/>
  <c r="AD45" i="1"/>
  <c r="Q45" i="1" s="1"/>
  <c r="CP43" i="1"/>
  <c r="O43" i="1" s="1"/>
  <c r="CZ36" i="1"/>
  <c r="Y36" i="1" s="1"/>
  <c r="CY36" i="1"/>
  <c r="X36" i="1" s="1"/>
  <c r="T31" i="1"/>
  <c r="F66" i="1"/>
  <c r="T188" i="1"/>
  <c r="AX77" i="1"/>
  <c r="F89" i="1"/>
  <c r="AO22" i="1"/>
  <c r="F192" i="1"/>
  <c r="AO218" i="1"/>
  <c r="V150" i="1"/>
  <c r="F181" i="1"/>
  <c r="AD77" i="1"/>
  <c r="Q82" i="1"/>
  <c r="AC45" i="1"/>
  <c r="AX31" i="1"/>
  <c r="F52" i="1"/>
  <c r="AX188" i="1"/>
  <c r="CY154" i="1"/>
  <c r="X154" i="1" s="1"/>
  <c r="CZ154" i="1"/>
  <c r="Y154" i="1" s="1"/>
  <c r="CY40" i="1"/>
  <c r="X40" i="1" s="1"/>
  <c r="CZ40" i="1"/>
  <c r="Y40" i="1" s="1"/>
  <c r="CZ35" i="1"/>
  <c r="Y35" i="1" s="1"/>
  <c r="CY35" i="1"/>
  <c r="X35" i="1" s="1"/>
  <c r="AF45" i="1"/>
  <c r="CP36" i="1"/>
  <c r="O36" i="1" s="1"/>
  <c r="CY24" i="1"/>
  <c r="X24" i="1" s="1"/>
  <c r="CZ24" i="1"/>
  <c r="Y24" i="1" s="1"/>
  <c r="AF188" i="1"/>
  <c r="AF22" i="1" s="1"/>
  <c r="AZ77" i="1"/>
  <c r="F93" i="1"/>
  <c r="CP154" i="1"/>
  <c r="O154" i="1" s="1"/>
  <c r="CZ116" i="1"/>
  <c r="Y116" i="1" s="1"/>
  <c r="AF118" i="1"/>
  <c r="CY116" i="1"/>
  <c r="X116" i="1" s="1"/>
  <c r="CY80" i="1"/>
  <c r="X80" i="1" s="1"/>
  <c r="CZ80" i="1"/>
  <c r="Y80" i="1" s="1"/>
  <c r="CP153" i="1"/>
  <c r="O153" i="1" s="1"/>
  <c r="BC22" i="1"/>
  <c r="F204" i="1"/>
  <c r="BC218" i="1"/>
  <c r="CY25" i="1"/>
  <c r="X25" i="1" s="1"/>
  <c r="CZ25" i="1"/>
  <c r="Y25" i="1" s="1"/>
  <c r="AU22" i="1"/>
  <c r="AU218" i="1"/>
  <c r="F207" i="1"/>
  <c r="C44" i="6" s="1"/>
  <c r="CZ41" i="1"/>
  <c r="Y41" i="1" s="1"/>
  <c r="CY41" i="1"/>
  <c r="X41" i="1" s="1"/>
  <c r="CY27" i="1"/>
  <c r="X27" i="1" s="1"/>
  <c r="CZ27" i="1"/>
  <c r="Y27" i="1" s="1"/>
  <c r="AP22" i="1"/>
  <c r="AP218" i="1"/>
  <c r="F197" i="1"/>
  <c r="CP116" i="1"/>
  <c r="O116" i="1" s="1"/>
  <c r="AC118" i="1"/>
  <c r="CM150" i="1"/>
  <c r="BD158" i="1"/>
  <c r="AE158" i="1"/>
  <c r="U31" i="1"/>
  <c r="F67" i="1"/>
  <c r="U188" i="1"/>
  <c r="AE114" i="1"/>
  <c r="R118" i="1"/>
  <c r="F106" i="1"/>
  <c r="W77" i="1"/>
  <c r="CP40" i="1"/>
  <c r="O40" i="1" s="1"/>
  <c r="BB22" i="1"/>
  <c r="F201" i="1"/>
  <c r="BB218" i="1"/>
  <c r="AD158" i="1"/>
  <c r="CZ43" i="1"/>
  <c r="Y43" i="1" s="1"/>
  <c r="GM43" i="1" s="1"/>
  <c r="GN43" i="1" s="1"/>
  <c r="CY43" i="1"/>
  <c r="X43" i="1" s="1"/>
  <c r="AX150" i="1"/>
  <c r="F165" i="1"/>
  <c r="AZ114" i="1"/>
  <c r="F129" i="1"/>
  <c r="CZ37" i="1"/>
  <c r="Y37" i="1" s="1"/>
  <c r="CY37" i="1"/>
  <c r="X37" i="1" s="1"/>
  <c r="CZ38" i="1"/>
  <c r="Y38" i="1" s="1"/>
  <c r="CY38" i="1"/>
  <c r="X38" i="1" s="1"/>
  <c r="W31" i="1"/>
  <c r="F69" i="1"/>
  <c r="W188" i="1"/>
  <c r="CY153" i="1"/>
  <c r="X153" i="1" s="1"/>
  <c r="CZ153" i="1"/>
  <c r="Y153" i="1" s="1"/>
  <c r="AC82" i="1"/>
  <c r="CP79" i="1"/>
  <c r="O79" i="1" s="1"/>
  <c r="CY79" i="1"/>
  <c r="X79" i="1" s="1"/>
  <c r="CZ79" i="1"/>
  <c r="Y79" i="1" s="1"/>
  <c r="AF82" i="1"/>
  <c r="CP24" i="1"/>
  <c r="O24" i="1" s="1"/>
  <c r="AC188" i="1"/>
  <c r="W150" i="1"/>
  <c r="F182" i="1"/>
  <c r="AQ22" i="1"/>
  <c r="F198" i="1"/>
  <c r="AQ218" i="1"/>
  <c r="CY152" i="1"/>
  <c r="X152" i="1" s="1"/>
  <c r="CZ152" i="1"/>
  <c r="Y152" i="1" s="1"/>
  <c r="AF158" i="1"/>
  <c r="CP80" i="1"/>
  <c r="O80" i="1" s="1"/>
  <c r="V31" i="1"/>
  <c r="F68" i="1"/>
  <c r="V188" i="1"/>
  <c r="AZ31" i="1"/>
  <c r="F56" i="1"/>
  <c r="AZ188" i="1"/>
  <c r="CP152" i="1"/>
  <c r="O152" i="1" s="1"/>
  <c r="AC158" i="1"/>
  <c r="CP42" i="1"/>
  <c r="O42" i="1" s="1"/>
  <c r="AD188" i="1"/>
  <c r="AD22" i="1" s="1"/>
  <c r="CP27" i="1"/>
  <c r="O27" i="1" s="1"/>
  <c r="CY42" i="1"/>
  <c r="X42" i="1" s="1"/>
  <c r="CZ42" i="1"/>
  <c r="Y42" i="1" s="1"/>
  <c r="F102" i="1"/>
  <c r="BA77" i="1"/>
  <c r="AD114" i="1"/>
  <c r="Q118" i="1"/>
  <c r="CP41" i="1"/>
  <c r="O41" i="1" s="1"/>
  <c r="F125" i="1"/>
  <c r="AX114" i="1"/>
  <c r="V77" i="1"/>
  <c r="F105" i="1"/>
  <c r="CZ39" i="1"/>
  <c r="Y39" i="1" s="1"/>
  <c r="CY39" i="1"/>
  <c r="X39" i="1" s="1"/>
  <c r="T77" i="1"/>
  <c r="F103" i="1"/>
  <c r="AE77" i="1"/>
  <c r="R82" i="1"/>
  <c r="CP39" i="1"/>
  <c r="O39" i="1" s="1"/>
  <c r="CY26" i="1"/>
  <c r="X26" i="1" s="1"/>
  <c r="CZ26" i="1"/>
  <c r="Y26" i="1" s="1"/>
  <c r="AZ150" i="1"/>
  <c r="F169" i="1"/>
  <c r="GM33" i="1"/>
  <c r="BA31" i="1"/>
  <c r="F65" i="1"/>
  <c r="BA188" i="1"/>
  <c r="GM27" i="1" l="1"/>
  <c r="GN27" i="1" s="1"/>
  <c r="GM40" i="1"/>
  <c r="GN40" i="1" s="1"/>
  <c r="AE31" i="1"/>
  <c r="AZ213" i="7"/>
  <c r="M211" i="7" s="1"/>
  <c r="AZ225" i="6"/>
  <c r="L223" i="6" s="1"/>
  <c r="AZ275" i="7"/>
  <c r="M273" i="7" s="1"/>
  <c r="AZ287" i="6"/>
  <c r="L285" i="6" s="1"/>
  <c r="AL82" i="1"/>
  <c r="Y82" i="1" s="1"/>
  <c r="BA339" i="7"/>
  <c r="BA351" i="6"/>
  <c r="BA483" i="7"/>
  <c r="BA495" i="6"/>
  <c r="L494" i="6" s="1"/>
  <c r="BA177" i="7"/>
  <c r="M176" i="7" s="1"/>
  <c r="BA189" i="6"/>
  <c r="L188" i="6" s="1"/>
  <c r="G16" i="2"/>
  <c r="G18" i="2" s="1"/>
  <c r="C43" i="6"/>
  <c r="AZ102" i="7"/>
  <c r="M100" i="7" s="1"/>
  <c r="AZ114" i="6"/>
  <c r="L112" i="6" s="1"/>
  <c r="BA357" i="7"/>
  <c r="BA369" i="6"/>
  <c r="L368" i="6" s="1"/>
  <c r="AL118" i="1"/>
  <c r="BA424" i="6"/>
  <c r="BA412" i="7"/>
  <c r="AZ243" i="6"/>
  <c r="L241" i="6" s="1"/>
  <c r="AZ231" i="7"/>
  <c r="BA167" i="6"/>
  <c r="L166" i="6" s="1"/>
  <c r="BA155" i="7"/>
  <c r="M154" i="7" s="1"/>
  <c r="AN124" i="6"/>
  <c r="K124" i="6"/>
  <c r="I124" i="6" s="1"/>
  <c r="BA97" i="6"/>
  <c r="L96" i="6" s="1"/>
  <c r="BA85" i="7"/>
  <c r="M84" i="7" s="1"/>
  <c r="BA213" i="7"/>
  <c r="M212" i="7" s="1"/>
  <c r="BA225" i="6"/>
  <c r="L224" i="6" s="1"/>
  <c r="AZ351" i="6"/>
  <c r="AZ339" i="7"/>
  <c r="AZ483" i="7"/>
  <c r="M481" i="7" s="1"/>
  <c r="AZ495" i="6"/>
  <c r="L493" i="6" s="1"/>
  <c r="AZ195" i="7"/>
  <c r="M193" i="7" s="1"/>
  <c r="AZ207" i="6"/>
  <c r="L205" i="6" s="1"/>
  <c r="AZ291" i="7"/>
  <c r="M289" i="7" s="1"/>
  <c r="AZ303" i="6"/>
  <c r="L301" i="6" s="1"/>
  <c r="H320" i="7"/>
  <c r="G332" i="6"/>
  <c r="AZ265" i="6"/>
  <c r="L263" i="6" s="1"/>
  <c r="AZ253" i="7"/>
  <c r="M251" i="7" s="1"/>
  <c r="AZ357" i="7"/>
  <c r="M355" i="7" s="1"/>
  <c r="AZ369" i="6"/>
  <c r="L367" i="6" s="1"/>
  <c r="BA48" i="7"/>
  <c r="BA60" i="6"/>
  <c r="AZ138" i="7"/>
  <c r="AZ150" i="6"/>
  <c r="BA504" i="6"/>
  <c r="L503" i="6" s="1"/>
  <c r="BA492" i="7"/>
  <c r="M491" i="7" s="1"/>
  <c r="H526" i="7"/>
  <c r="G538" i="6"/>
  <c r="GM26" i="1"/>
  <c r="GN26" i="1" s="1"/>
  <c r="AZ85" i="7"/>
  <c r="M83" i="7" s="1"/>
  <c r="AZ97" i="6"/>
  <c r="L95" i="6" s="1"/>
  <c r="G399" i="6"/>
  <c r="H387" i="7"/>
  <c r="H321" i="7"/>
  <c r="G333" i="6"/>
  <c r="BA464" i="7"/>
  <c r="M463" i="7" s="1"/>
  <c r="BA476" i="6"/>
  <c r="BA195" i="7"/>
  <c r="M194" i="7" s="1"/>
  <c r="BA207" i="6"/>
  <c r="L206" i="6" s="1"/>
  <c r="BA303" i="6"/>
  <c r="L302" i="6" s="1"/>
  <c r="BA291" i="7"/>
  <c r="M290" i="7" s="1"/>
  <c r="BA265" i="6"/>
  <c r="L264" i="6" s="1"/>
  <c r="BA253" i="7"/>
  <c r="M252" i="7" s="1"/>
  <c r="BA71" i="7"/>
  <c r="M70" i="7" s="1"/>
  <c r="BA83" i="6"/>
  <c r="L82" i="6" s="1"/>
  <c r="AK118" i="1"/>
  <c r="X118" i="1" s="1"/>
  <c r="AZ412" i="7"/>
  <c r="AZ424" i="6"/>
  <c r="AZ48" i="7"/>
  <c r="AZ60" i="6"/>
  <c r="BA138" i="7"/>
  <c r="BA150" i="6"/>
  <c r="AZ492" i="7"/>
  <c r="M490" i="7" s="1"/>
  <c r="AZ504" i="6"/>
  <c r="L502" i="6" s="1"/>
  <c r="L112" i="7"/>
  <c r="J112" i="7" s="1"/>
  <c r="BA275" i="7"/>
  <c r="M274" i="7" s="1"/>
  <c r="BA287" i="6"/>
  <c r="L286" i="6" s="1"/>
  <c r="AK158" i="1"/>
  <c r="AZ464" i="7"/>
  <c r="AZ476" i="6"/>
  <c r="GM37" i="1"/>
  <c r="GN37" i="1" s="1"/>
  <c r="AZ177" i="7"/>
  <c r="M175" i="7" s="1"/>
  <c r="AZ189" i="6"/>
  <c r="L187" i="6" s="1"/>
  <c r="BA102" i="7"/>
  <c r="M101" i="7" s="1"/>
  <c r="BA114" i="6"/>
  <c r="L113" i="6" s="1"/>
  <c r="AZ71" i="7"/>
  <c r="M69" i="7" s="1"/>
  <c r="AZ83" i="6"/>
  <c r="L81" i="6" s="1"/>
  <c r="BA243" i="6"/>
  <c r="L242" i="6" s="1"/>
  <c r="BA231" i="7"/>
  <c r="M230" i="7" s="1"/>
  <c r="AZ155" i="7"/>
  <c r="M153" i="7" s="1"/>
  <c r="AZ167" i="6"/>
  <c r="L165" i="6" s="1"/>
  <c r="AK188" i="1"/>
  <c r="AK22" i="1" s="1"/>
  <c r="GM80" i="1"/>
  <c r="GO80" i="1" s="1"/>
  <c r="AK82" i="1"/>
  <c r="AK77" i="1" s="1"/>
  <c r="GM38" i="1"/>
  <c r="GN38" i="1" s="1"/>
  <c r="GM25" i="1"/>
  <c r="GN25" i="1" s="1"/>
  <c r="AD31" i="1"/>
  <c r="GM35" i="1"/>
  <c r="GN35" i="1" s="1"/>
  <c r="GM42" i="1"/>
  <c r="GN42" i="1" s="1"/>
  <c r="CH82" i="1"/>
  <c r="AC77" i="1"/>
  <c r="P82" i="1"/>
  <c r="CE82" i="1"/>
  <c r="CF82" i="1"/>
  <c r="P118" i="1"/>
  <c r="CE118" i="1"/>
  <c r="AC114" i="1"/>
  <c r="CH118" i="1"/>
  <c r="CF118" i="1"/>
  <c r="AL45" i="1"/>
  <c r="BA22" i="1"/>
  <c r="F208" i="1"/>
  <c r="BA218" i="1"/>
  <c r="AQ18" i="1"/>
  <c r="F228" i="1"/>
  <c r="AB45" i="1"/>
  <c r="GM152" i="1"/>
  <c r="AB158" i="1"/>
  <c r="V22" i="1"/>
  <c r="V218" i="1"/>
  <c r="F211" i="1"/>
  <c r="AF150" i="1"/>
  <c r="S158" i="1"/>
  <c r="AC22" i="1"/>
  <c r="CH188" i="1"/>
  <c r="CH22" i="1" s="1"/>
  <c r="CE188" i="1"/>
  <c r="CE22" i="1" s="1"/>
  <c r="CF188" i="1"/>
  <c r="CF22" i="1" s="1"/>
  <c r="X82" i="1"/>
  <c r="U22" i="1"/>
  <c r="U218" i="1"/>
  <c r="F210" i="1"/>
  <c r="BD150" i="1"/>
  <c r="F183" i="1"/>
  <c r="BD188" i="1"/>
  <c r="AU18" i="1"/>
  <c r="F237" i="1"/>
  <c r="BC18" i="1"/>
  <c r="F234" i="1"/>
  <c r="AL114" i="1"/>
  <c r="Y118" i="1"/>
  <c r="AF31" i="1"/>
  <c r="S45" i="1"/>
  <c r="AC31" i="1"/>
  <c r="P45" i="1"/>
  <c r="CE45" i="1"/>
  <c r="CF45" i="1"/>
  <c r="CH45" i="1"/>
  <c r="BB18" i="1"/>
  <c r="F231" i="1"/>
  <c r="GM41" i="1"/>
  <c r="GN41" i="1" s="1"/>
  <c r="GM39" i="1"/>
  <c r="GN39" i="1" s="1"/>
  <c r="Q114" i="1"/>
  <c r="F130" i="1"/>
  <c r="AZ22" i="1"/>
  <c r="F199" i="1"/>
  <c r="AZ218" i="1"/>
  <c r="AL158" i="1"/>
  <c r="GM24" i="1"/>
  <c r="AB188" i="1"/>
  <c r="AB22" i="1" s="1"/>
  <c r="GM79" i="1"/>
  <c r="AB82" i="1"/>
  <c r="W22" i="1"/>
  <c r="W218" i="1"/>
  <c r="F212" i="1"/>
  <c r="AP18" i="1"/>
  <c r="F227" i="1"/>
  <c r="GM154" i="1"/>
  <c r="GN154" i="1" s="1"/>
  <c r="AL188" i="1"/>
  <c r="AL22" i="1" s="1"/>
  <c r="AK45" i="1"/>
  <c r="R31" i="1"/>
  <c r="F59" i="1"/>
  <c r="X158" i="1"/>
  <c r="AK150" i="1"/>
  <c r="R77" i="1"/>
  <c r="F96" i="1"/>
  <c r="AF77" i="1"/>
  <c r="S82" i="1"/>
  <c r="AD150" i="1"/>
  <c r="Q158" i="1"/>
  <c r="Q188" i="1" s="1"/>
  <c r="R114" i="1"/>
  <c r="F132" i="1"/>
  <c r="T22" i="1"/>
  <c r="T218" i="1"/>
  <c r="F209" i="1"/>
  <c r="GN33" i="1"/>
  <c r="AC150" i="1"/>
  <c r="P158" i="1"/>
  <c r="CE158" i="1"/>
  <c r="CF158" i="1"/>
  <c r="CH158" i="1"/>
  <c r="AE150" i="1"/>
  <c r="R158" i="1"/>
  <c r="R188" i="1" s="1"/>
  <c r="AB118" i="1"/>
  <c r="GM116" i="1"/>
  <c r="H16" i="2"/>
  <c r="H18" i="2" s="1"/>
  <c r="GM153" i="1"/>
  <c r="GN153" i="1" s="1"/>
  <c r="AF114" i="1"/>
  <c r="S118" i="1"/>
  <c r="GM36" i="1"/>
  <c r="GN36" i="1" s="1"/>
  <c r="AX22" i="1"/>
  <c r="AX218" i="1"/>
  <c r="F195" i="1"/>
  <c r="F94" i="1"/>
  <c r="Q77" i="1"/>
  <c r="AO18" i="1"/>
  <c r="F222" i="1"/>
  <c r="Q31" i="1"/>
  <c r="F57" i="1"/>
  <c r="AL77" i="1" l="1"/>
  <c r="L85" i="7"/>
  <c r="J85" i="7" s="1"/>
  <c r="AK114" i="1"/>
  <c r="K42" i="6"/>
  <c r="H628" i="7"/>
  <c r="G640" i="6"/>
  <c r="L155" i="7"/>
  <c r="J155" i="7" s="1"/>
  <c r="AN155" i="7"/>
  <c r="AN71" i="7"/>
  <c r="L71" i="7"/>
  <c r="J71" i="7" s="1"/>
  <c r="L177" i="7"/>
  <c r="J177" i="7" s="1"/>
  <c r="AN177" i="7"/>
  <c r="M137" i="7"/>
  <c r="M309" i="7"/>
  <c r="M429" i="7"/>
  <c r="M410" i="7"/>
  <c r="K97" i="6"/>
  <c r="I97" i="6" s="1"/>
  <c r="AN97" i="6"/>
  <c r="M136" i="7"/>
  <c r="M308" i="7"/>
  <c r="L195" i="7"/>
  <c r="J195" i="7" s="1"/>
  <c r="AN195" i="7"/>
  <c r="L349" i="6"/>
  <c r="L386" i="6"/>
  <c r="L580" i="6"/>
  <c r="M430" i="7"/>
  <c r="M411" i="7"/>
  <c r="M569" i="7"/>
  <c r="M356" i="7"/>
  <c r="AN357" i="7" s="1"/>
  <c r="M514" i="7"/>
  <c r="M482" i="7"/>
  <c r="L483" i="7" s="1"/>
  <c r="J483" i="7" s="1"/>
  <c r="AN287" i="6"/>
  <c r="K287" i="6"/>
  <c r="I287" i="6" s="1"/>
  <c r="G639" i="6"/>
  <c r="K41" i="6"/>
  <c r="H627" i="7"/>
  <c r="AN504" i="6"/>
  <c r="K504" i="6"/>
  <c r="I504" i="6" s="1"/>
  <c r="L560" i="6"/>
  <c r="L629" i="6"/>
  <c r="L58" i="6"/>
  <c r="L630" i="6"/>
  <c r="L561" i="6"/>
  <c r="L59" i="6"/>
  <c r="L253" i="7"/>
  <c r="J253" i="7" s="1"/>
  <c r="AN253" i="7"/>
  <c r="AN303" i="6"/>
  <c r="K303" i="6"/>
  <c r="I303" i="6" s="1"/>
  <c r="K495" i="6"/>
  <c r="I495" i="6" s="1"/>
  <c r="AN495" i="6"/>
  <c r="L442" i="6"/>
  <c r="L423" i="6"/>
  <c r="AN424" i="6" s="1"/>
  <c r="K114" i="6"/>
  <c r="I114" i="6" s="1"/>
  <c r="AN114" i="6"/>
  <c r="L350" i="6"/>
  <c r="AN351" i="6" s="1"/>
  <c r="L581" i="6"/>
  <c r="L387" i="6"/>
  <c r="AN275" i="7"/>
  <c r="L275" i="7"/>
  <c r="J275" i="7" s="1"/>
  <c r="L474" i="6"/>
  <c r="K476" i="6" s="1"/>
  <c r="I476" i="6" s="1"/>
  <c r="L525" i="6"/>
  <c r="AN492" i="7"/>
  <c r="L492" i="7"/>
  <c r="J492" i="7" s="1"/>
  <c r="M617" i="7"/>
  <c r="M46" i="7"/>
  <c r="L526" i="6"/>
  <c r="L475" i="6"/>
  <c r="M549" i="7"/>
  <c r="M47" i="7"/>
  <c r="M618" i="7"/>
  <c r="K265" i="6"/>
  <c r="I265" i="6" s="1"/>
  <c r="AN265" i="6"/>
  <c r="L291" i="7"/>
  <c r="J291" i="7" s="1"/>
  <c r="AN291" i="7"/>
  <c r="M548" i="7"/>
  <c r="M229" i="7"/>
  <c r="AN102" i="7"/>
  <c r="L102" i="7"/>
  <c r="J102" i="7" s="1"/>
  <c r="M375" i="7"/>
  <c r="M338" i="7"/>
  <c r="K225" i="6"/>
  <c r="I225" i="6" s="1"/>
  <c r="AN225" i="6"/>
  <c r="K167" i="6"/>
  <c r="I167" i="6" s="1"/>
  <c r="AN167" i="6"/>
  <c r="K83" i="6"/>
  <c r="I83" i="6" s="1"/>
  <c r="AN83" i="6"/>
  <c r="K189" i="6"/>
  <c r="I189" i="6" s="1"/>
  <c r="AN189" i="6"/>
  <c r="M513" i="7"/>
  <c r="M521" i="7" s="1"/>
  <c r="M462" i="7"/>
  <c r="L149" i="6"/>
  <c r="L321" i="6"/>
  <c r="L422" i="6"/>
  <c r="L441" i="6"/>
  <c r="L320" i="6"/>
  <c r="L148" i="6"/>
  <c r="K369" i="6"/>
  <c r="I369" i="6" s="1"/>
  <c r="AN369" i="6"/>
  <c r="AN207" i="6"/>
  <c r="K207" i="6"/>
  <c r="I207" i="6" s="1"/>
  <c r="M568" i="7"/>
  <c r="M551" i="7" s="1"/>
  <c r="M374" i="7"/>
  <c r="M337" i="7"/>
  <c r="AN85" i="7"/>
  <c r="K243" i="6"/>
  <c r="I243" i="6" s="1"/>
  <c r="AN243" i="6"/>
  <c r="L213" i="7"/>
  <c r="J213" i="7" s="1"/>
  <c r="AN213" i="7"/>
  <c r="CB45" i="1"/>
  <c r="CB31" i="1" s="1"/>
  <c r="R22" i="1"/>
  <c r="F202" i="1"/>
  <c r="R218" i="1"/>
  <c r="GN24" i="1"/>
  <c r="CB188" i="1" s="1"/>
  <c r="CB22" i="1" s="1"/>
  <c r="CA188" i="1"/>
  <c r="CA22" i="1" s="1"/>
  <c r="S31" i="1"/>
  <c r="F60" i="1"/>
  <c r="S188" i="1"/>
  <c r="S150" i="1"/>
  <c r="F173" i="1"/>
  <c r="P150" i="1"/>
  <c r="F161" i="1"/>
  <c r="X150" i="1"/>
  <c r="F184" i="1"/>
  <c r="AK31" i="1"/>
  <c r="X45" i="1"/>
  <c r="AB77" i="1"/>
  <c r="O82" i="1"/>
  <c r="AL150" i="1"/>
  <c r="Y158" i="1"/>
  <c r="CH31" i="1"/>
  <c r="AY45" i="1"/>
  <c r="AB150" i="1"/>
  <c r="O158" i="1"/>
  <c r="AL31" i="1"/>
  <c r="Y45" i="1"/>
  <c r="CE114" i="1"/>
  <c r="AV118" i="1"/>
  <c r="P77" i="1"/>
  <c r="F85" i="1"/>
  <c r="CE150" i="1"/>
  <c r="AV158" i="1"/>
  <c r="S77" i="1"/>
  <c r="F97" i="1"/>
  <c r="P31" i="1"/>
  <c r="F48" i="1"/>
  <c r="P188" i="1"/>
  <c r="BD22" i="1"/>
  <c r="BD218" i="1"/>
  <c r="F213" i="1"/>
  <c r="U18" i="1"/>
  <c r="F240" i="1"/>
  <c r="AV82" i="1"/>
  <c r="CE77" i="1"/>
  <c r="S114" i="1"/>
  <c r="F133" i="1"/>
  <c r="GN116" i="1"/>
  <c r="CB118" i="1" s="1"/>
  <c r="CA118" i="1"/>
  <c r="CH150" i="1"/>
  <c r="AY158" i="1"/>
  <c r="T18" i="1"/>
  <c r="F239" i="1"/>
  <c r="Q150" i="1"/>
  <c r="F170" i="1"/>
  <c r="GO79" i="1"/>
  <c r="CC82" i="1" s="1"/>
  <c r="CA82" i="1"/>
  <c r="AZ18" i="1"/>
  <c r="F229" i="1"/>
  <c r="CF31" i="1"/>
  <c r="AW45" i="1"/>
  <c r="Y114" i="1"/>
  <c r="F145" i="1"/>
  <c r="X77" i="1"/>
  <c r="F108" i="1"/>
  <c r="GN152" i="1"/>
  <c r="CB158" i="1" s="1"/>
  <c r="CA158" i="1"/>
  <c r="BA18" i="1"/>
  <c r="F238" i="1"/>
  <c r="CF114" i="1"/>
  <c r="AW118" i="1"/>
  <c r="P114" i="1"/>
  <c r="F121" i="1"/>
  <c r="Q22" i="1"/>
  <c r="F200" i="1"/>
  <c r="Q218" i="1"/>
  <c r="AX18" i="1"/>
  <c r="F225" i="1"/>
  <c r="AB114" i="1"/>
  <c r="O118" i="1"/>
  <c r="CF150" i="1"/>
  <c r="AW158" i="1"/>
  <c r="CA45" i="1"/>
  <c r="W18" i="1"/>
  <c r="F242" i="1"/>
  <c r="Y77" i="1"/>
  <c r="F109" i="1"/>
  <c r="CE31" i="1"/>
  <c r="AV45" i="1"/>
  <c r="X114" i="1"/>
  <c r="F144" i="1"/>
  <c r="V18" i="1"/>
  <c r="F241" i="1"/>
  <c r="AB31" i="1"/>
  <c r="O45" i="1"/>
  <c r="CH114" i="1"/>
  <c r="AY118" i="1"/>
  <c r="CF77" i="1"/>
  <c r="AW82" i="1"/>
  <c r="AY82" i="1"/>
  <c r="CH77" i="1"/>
  <c r="R150" i="1"/>
  <c r="F172" i="1"/>
  <c r="AS45" i="1" l="1"/>
  <c r="M316" i="7"/>
  <c r="L328" i="6"/>
  <c r="L449" i="6"/>
  <c r="M531" i="7"/>
  <c r="M600" i="7" s="1"/>
  <c r="AN483" i="7"/>
  <c r="L533" i="6"/>
  <c r="K60" i="6"/>
  <c r="I60" i="6" s="1"/>
  <c r="K150" i="6"/>
  <c r="I150" i="6" s="1"/>
  <c r="AN150" i="6"/>
  <c r="AN231" i="7"/>
  <c r="L231" i="7"/>
  <c r="J231" i="7" s="1"/>
  <c r="AN48" i="7"/>
  <c r="L48" i="7"/>
  <c r="J48" i="7" s="1"/>
  <c r="AN60" i="6"/>
  <c r="L563" i="6"/>
  <c r="AN138" i="7"/>
  <c r="L138" i="7"/>
  <c r="J138" i="7" s="1"/>
  <c r="M437" i="7"/>
  <c r="L394" i="6"/>
  <c r="L357" i="7"/>
  <c r="J357" i="7" s="1"/>
  <c r="L339" i="7"/>
  <c r="J339" i="7" s="1"/>
  <c r="AN339" i="7"/>
  <c r="M382" i="7"/>
  <c r="AN464" i="7"/>
  <c r="L464" i="7"/>
  <c r="J464" i="7" s="1"/>
  <c r="AN476" i="6"/>
  <c r="L543" i="6"/>
  <c r="K351" i="6"/>
  <c r="I351" i="6" s="1"/>
  <c r="K424" i="6"/>
  <c r="I424" i="6" s="1"/>
  <c r="L412" i="7"/>
  <c r="J412" i="7" s="1"/>
  <c r="AN412" i="7"/>
  <c r="F90" i="1"/>
  <c r="AY77" i="1"/>
  <c r="AW77" i="1"/>
  <c r="F88" i="1"/>
  <c r="AR82" i="1"/>
  <c r="CA77" i="1"/>
  <c r="CA114" i="1"/>
  <c r="AR118" i="1"/>
  <c r="AV150" i="1"/>
  <c r="F163" i="1"/>
  <c r="F123" i="1"/>
  <c r="AV114" i="1"/>
  <c r="O150" i="1"/>
  <c r="F160" i="1"/>
  <c r="Y150" i="1"/>
  <c r="F185" i="1"/>
  <c r="X31" i="1"/>
  <c r="F71" i="1"/>
  <c r="X188" i="1"/>
  <c r="S22" i="1"/>
  <c r="S218" i="1"/>
  <c r="F203" i="1"/>
  <c r="J16" i="2" s="1"/>
  <c r="J18" i="2" s="1"/>
  <c r="O31" i="1"/>
  <c r="F47" i="1"/>
  <c r="O188" i="1"/>
  <c r="CA31" i="1"/>
  <c r="AR45" i="1"/>
  <c r="AW31" i="1"/>
  <c r="F51" i="1"/>
  <c r="AW188" i="1"/>
  <c r="AW150" i="1"/>
  <c r="F164" i="1"/>
  <c r="CC77" i="1"/>
  <c r="AT82" i="1"/>
  <c r="CB114" i="1"/>
  <c r="AS118" i="1"/>
  <c r="AV77" i="1"/>
  <c r="F87" i="1"/>
  <c r="BD18" i="1"/>
  <c r="F243" i="1"/>
  <c r="R18" i="1"/>
  <c r="F232" i="1"/>
  <c r="AY114" i="1"/>
  <c r="F126" i="1"/>
  <c r="AS31" i="1"/>
  <c r="F62" i="1"/>
  <c r="AW114" i="1"/>
  <c r="F124" i="1"/>
  <c r="CA150" i="1"/>
  <c r="AR158" i="1"/>
  <c r="AY150" i="1"/>
  <c r="F166" i="1"/>
  <c r="Y31" i="1"/>
  <c r="F72" i="1"/>
  <c r="Y188" i="1"/>
  <c r="AY31" i="1"/>
  <c r="F53" i="1"/>
  <c r="AY188" i="1"/>
  <c r="F84" i="1"/>
  <c r="O77" i="1"/>
  <c r="AV31" i="1"/>
  <c r="F50" i="1"/>
  <c r="AV188" i="1"/>
  <c r="O114" i="1"/>
  <c r="F120" i="1"/>
  <c r="Q18" i="1"/>
  <c r="F230" i="1"/>
  <c r="CB150" i="1"/>
  <c r="AS158" i="1"/>
  <c r="P22" i="1"/>
  <c r="F191" i="1"/>
  <c r="P218" i="1"/>
  <c r="L612" i="6" l="1"/>
  <c r="AS150" i="1"/>
  <c r="F175" i="1"/>
  <c r="AV22" i="1"/>
  <c r="F193" i="1"/>
  <c r="AV218" i="1"/>
  <c r="Y22" i="1"/>
  <c r="F215" i="1"/>
  <c r="Y218" i="1"/>
  <c r="F135" i="1"/>
  <c r="AS114" i="1"/>
  <c r="AR114" i="1"/>
  <c r="F146" i="1"/>
  <c r="AT77" i="1"/>
  <c r="F100" i="1"/>
  <c r="AT188" i="1"/>
  <c r="P18" i="1"/>
  <c r="F221" i="1"/>
  <c r="AY22" i="1"/>
  <c r="F196" i="1"/>
  <c r="AY218" i="1"/>
  <c r="AR150" i="1"/>
  <c r="F186" i="1"/>
  <c r="AS188" i="1"/>
  <c r="AR31" i="1"/>
  <c r="F73" i="1"/>
  <c r="AR188" i="1"/>
  <c r="X22" i="1"/>
  <c r="F214" i="1"/>
  <c r="X218" i="1"/>
  <c r="AW22" i="1"/>
  <c r="AW218" i="1"/>
  <c r="F194" i="1"/>
  <c r="O22" i="1"/>
  <c r="F190" i="1"/>
  <c r="O218" i="1"/>
  <c r="S18" i="1"/>
  <c r="F233" i="1"/>
  <c r="AR77" i="1"/>
  <c r="F110" i="1"/>
  <c r="AY18" i="1" l="1"/>
  <c r="F226" i="1"/>
  <c r="Y18" i="1"/>
  <c r="F245" i="1"/>
  <c r="AR22" i="1"/>
  <c r="F216" i="1"/>
  <c r="AR218" i="1"/>
  <c r="O18" i="1"/>
  <c r="F220" i="1"/>
  <c r="AW18" i="1"/>
  <c r="F224" i="1"/>
  <c r="AS22" i="1"/>
  <c r="F205" i="1"/>
  <c r="AS218" i="1"/>
  <c r="AT22" i="1"/>
  <c r="F206" i="1"/>
  <c r="AT218" i="1"/>
  <c r="X18" i="1"/>
  <c r="F244" i="1"/>
  <c r="AV18" i="1"/>
  <c r="F223" i="1"/>
  <c r="F16" i="2" l="1"/>
  <c r="F18" i="2" s="1"/>
  <c r="C42" i="6"/>
  <c r="E16" i="2"/>
  <c r="I16" i="2" s="1"/>
  <c r="I18" i="2" s="1"/>
  <c r="C41" i="6"/>
  <c r="C38" i="6" s="1"/>
  <c r="AS18" i="1"/>
  <c r="F235" i="1"/>
  <c r="AR18" i="1"/>
  <c r="F246" i="1"/>
  <c r="AT18" i="1"/>
  <c r="F236" i="1"/>
  <c r="E18" i="2" l="1"/>
</calcChain>
</file>

<file path=xl/comments1.xml><?xml version="1.0" encoding="utf-8"?>
<comments xmlns="http://schemas.openxmlformats.org/spreadsheetml/2006/main">
  <authors>
    <author>BUH4</author>
  </authors>
  <commentList>
    <comment ref="B7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Инвестор -&gt; Организация</t>
        </r>
      </text>
    </comment>
    <comment ref="E7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Должностные лица -&gt; Инвестор -&gt; по ОКПО</t>
        </r>
      </text>
    </comment>
    <comment ref="B8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Заказчик -&gt; Организация</t>
        </r>
      </text>
    </comment>
    <comment ref="E8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Должностные лица -&gt; Заказчик -&gt; по ОКПО</t>
        </r>
      </text>
    </comment>
    <comment ref="B9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Генподрядчик -&gt; Организация</t>
        </r>
      </text>
    </comment>
    <comment ref="E9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Должностные лица -&gt; Генподрядчик -&gt; по ОКПО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Субподрядчик -&gt; Организация</t>
        </r>
      </text>
    </comment>
    <comment ref="E10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Должностные лица -&gt; Субподрядчик -&gt; по ОКПО</t>
        </r>
      </text>
    </comment>
    <comment ref="B11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-&gt; Наименования -&gt; Привязать к стройке</t>
        </r>
      </text>
    </comment>
    <comment ref="E13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Бухгалтерские реквизиты -&gt; Вид деятельности по ОКДП</t>
        </r>
      </text>
    </comment>
    <comment ref="E14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Бухгалтерские реквизиты -&gt; Договор подряда №</t>
        </r>
      </text>
    </comment>
    <comment ref="E15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Бухгалтерские реквизиты -&gt; Договор подряда -&gt; Дата</t>
        </r>
      </text>
    </comment>
    <comment ref="E16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Бухгалтерские реквизиты -&gt; Вид операции</t>
        </r>
      </text>
    </comment>
    <comment ref="C20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Описание -&gt; Номер документа</t>
        </r>
      </text>
    </comment>
    <comment ref="D20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Акта -&gt; Дата утверждения</t>
        </r>
      </text>
    </comment>
    <comment ref="B41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Сдал -&gt; Должность</t>
        </r>
      </text>
    </comment>
    <comment ref="E41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Сдал -&gt; Ф.И.О.</t>
        </r>
      </text>
    </comment>
    <comment ref="B44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Принял -&gt; Должность</t>
        </r>
      </text>
    </comment>
    <comment ref="E44" authorId="0">
      <text>
        <r>
          <rPr>
            <sz val="9"/>
            <color indexed="81"/>
            <rFont val="Tahoma"/>
            <family val="2"/>
            <charset val="204"/>
          </rPr>
          <t>Не заполнены Параметры Объекта (Акта) -&gt; Должностные лица -&gt; Принял -&gt; Ф.И.О.</t>
        </r>
      </text>
    </comment>
  </commentList>
</comments>
</file>

<file path=xl/sharedStrings.xml><?xml version="1.0" encoding="utf-8"?>
<sst xmlns="http://schemas.openxmlformats.org/spreadsheetml/2006/main" count="6529" uniqueCount="650">
  <si>
    <t>Smeta.RU  (495) 974-1589</t>
  </si>
  <si>
    <t>_PS_</t>
  </si>
  <si>
    <t>Smeta.RU</t>
  </si>
  <si>
    <t/>
  </si>
  <si>
    <t>Новый объект</t>
  </si>
  <si>
    <t>Текущий ремонт помещения №10  Налоговой инспекции, по адресу: г.Орел, Московское шоссе, д.19</t>
  </si>
  <si>
    <t>Сметные нормы списания</t>
  </si>
  <si>
    <t>Коды ценников</t>
  </si>
  <si>
    <t>ГЭСН-2022 года (421пр + 557пр Ресурсно-индексный метод) Ремонт жилых и общественных зданий</t>
  </si>
  <si>
    <t>Версия 1.6.0 для ФСНБ-2022</t>
  </si>
  <si>
    <t>ГЭСН-2022 с Изм.7 от 2023.08.02</t>
  </si>
  <si>
    <t>Поправки для базы ФСНБ-2022 И7 от 2023.08.15 Ремонт жилых и общественных зданий</t>
  </si>
  <si>
    <t>ГСН</t>
  </si>
  <si>
    <t>Новая локальная смета</t>
  </si>
  <si>
    <t>2</t>
  </si>
  <si>
    <t>57-01-003-01</t>
  </si>
  <si>
    <t>Разборка плинтусов: деревянных и из пластмассовых материалов</t>
  </si>
  <si>
    <t>100 м</t>
  </si>
  <si>
    <t>ГЭСНр-2022, 57-01-003-01, приказ Минстроя России от 18.05.2022 г. № 378/пр</t>
  </si>
  <si>
    <t>Ремонтно-строительные работы</t>
  </si>
  <si>
    <t>Полы</t>
  </si>
  <si>
    <t>рФЕР-57</t>
  </si>
  <si>
    <t>Пр/812-091.0-1</t>
  </si>
  <si>
    <t>Пр/774-091.0</t>
  </si>
  <si>
    <t>3</t>
  </si>
  <si>
    <t>11-01-040-03</t>
  </si>
  <si>
    <t>Устройство плинтусов поливинилхлоридных: на винтах самонарезающих</t>
  </si>
  <si>
    <t>ГЭСН-2022, 11-01-040-03, приказ Минстроя России от 18.05.2022 г. № 378/пр</t>
  </si>
  <si>
    <t>*1,25</t>
  </si>
  <si>
    <t>*1,15</t>
  </si>
  <si>
    <t>*0,9</t>
  </si>
  <si>
    <t>*0,85</t>
  </si>
  <si>
    <t>Общестроительные работы</t>
  </si>
  <si>
    <t>ФЕР-11</t>
  </si>
  <si>
    <t>Пр/812-011.0-1</t>
  </si>
  <si>
    <t>Пр/774-011.0</t>
  </si>
  <si>
    <t>5</t>
  </si>
  <si>
    <t>11-01-034-04</t>
  </si>
  <si>
    <t>Демонтаж покрытий: из досок ламинированных замковым способом</t>
  </si>
  <si>
    <t>100 м2</t>
  </si>
  <si>
    <t>ГЭСН-2022, 11-01-034-04, приказ Минстроя России от 18.05.2022 г. № 378/пр</t>
  </si>
  <si>
    <t>*0</t>
  </si>
  <si>
    <t>*0,8</t>
  </si>
  <si>
    <t>6</t>
  </si>
  <si>
    <t>Устройство покрытий: из досок ламинированных замковым способом</t>
  </si>
  <si>
    <t>Новый раздел</t>
  </si>
  <si>
    <t>Отделочные работы - Стены</t>
  </si>
  <si>
    <t>62-04-011-01</t>
  </si>
  <si>
    <t>Расчистка поверхностей шпателем, щетками от старых покрасок(Стен)</t>
  </si>
  <si>
    <t>м2</t>
  </si>
  <si>
    <t>ГЭСНр-2022, 62-04-011-01, приказ Минстроя России от 18.05.2022 г. № 378/пр</t>
  </si>
  <si>
    <t>Малярные работы</t>
  </si>
  <si>
    <t>рФЕР-62</t>
  </si>
  <si>
    <t>Пр/812-096.0-1</t>
  </si>
  <si>
    <t>Пр/774-096.0</t>
  </si>
  <si>
    <t>Расчистка поверхностей шпателем, щетками от старых покрасок(потолков)</t>
  </si>
  <si>
    <t>4</t>
  </si>
  <si>
    <t>15-04-006-03</t>
  </si>
  <si>
    <t>Покрытие поверхностей грунтовкой глубокого проникновения: за 1 раз стен</t>
  </si>
  <si>
    <t>ГЭСН-2022, 15-04-006-03, приказ Минстроя России от 18.05.2022 г. № 378/пр</t>
  </si>
  <si>
    <t>Отделочные работы</t>
  </si>
  <si>
    <t>ФЕР-15</t>
  </si>
  <si>
    <t>Пр/812-015.0-1</t>
  </si>
  <si>
    <t>Пр/774-015.0</t>
  </si>
  <si>
    <t>61-04-006-01</t>
  </si>
  <si>
    <t>Наклеивание сетки штукатурной стеклотканевой по готовому основанию(стыки гипсокартона (прим.)</t>
  </si>
  <si>
    <t>ГЭСНр-2022, 61-04-006-01, приказ Минстроя России от 18.05.2022 г. № 378/пр</t>
  </si>
  <si>
    <t>Штукатурные работы</t>
  </si>
  <si>
    <t>рФЕР-61</t>
  </si>
  <si>
    <t>Пр/812-095.0-1</t>
  </si>
  <si>
    <t>Пр/774-095.0</t>
  </si>
  <si>
    <t>8</t>
  </si>
  <si>
    <t>15-04-007-06</t>
  </si>
  <si>
    <t>Окраска водно-дисперсионными акриловыми составами высококачественная: по штукатурке потолков</t>
  </si>
  <si>
    <t>ГЭСН-2022, 15-04-007-06, приказ Минстроя России от 18.05.2022 г. № 378/пр</t>
  </si>
  <si>
    <t>10</t>
  </si>
  <si>
    <t>15-04-006-01</t>
  </si>
  <si>
    <t>Покрытие поверхностей грунтовкой глубокого проникновения: за 1 раз потолков</t>
  </si>
  <si>
    <t>ГЭСН-2022, 15-04-006-01, приказ Минстроя России от 18.05.2022 г. № 378/пр</t>
  </si>
  <si>
    <t>11</t>
  </si>
  <si>
    <t>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</si>
  <si>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</si>
  <si>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ГЭСН-2022, 15-04-027-05, приказ Минстроя России от 18.05.2022 г. № 378/пр</t>
  </si>
  <si>
    <t>12</t>
  </si>
  <si>
    <t>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</si>
  <si>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</si>
  <si>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ГЭСН-2022, 15-04-027-06, приказ Минстроя России от 18.05.2022 г. № 378/пр</t>
  </si>
  <si>
    <t>13</t>
  </si>
  <si>
    <t>15-04-007-02</t>
  </si>
  <si>
    <t>Окраска водно-дисперсионными акриловыми составами улучшенная: по штукатурке потолков</t>
  </si>
  <si>
    <t>ГЭСН-2022, 15-04-007-02, приказ Минстроя России от 18.05.2022 г. № 378/пр</t>
  </si>
  <si>
    <t>14</t>
  </si>
  <si>
    <t>15-04-007-01</t>
  </si>
  <si>
    <t>Окраска водно-дисперсионными акриловыми составами улучшенная: по штукатурке стен</t>
  </si>
  <si>
    <t>ГЭСН-2022, 15-04-007-01, приказ Минстроя России от 18.05.2022 г. № 378/пр</t>
  </si>
  <si>
    <t>15</t>
  </si>
  <si>
    <t>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</si>
  <si>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</si>
  <si>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</si>
  <si>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ГЭСН-2022, 08-07-002-01, приказ Минстроя России от 18.05.2022 г. № 378/пр</t>
  </si>
  <si>
    <t>Конструкции из кирпича и блоков</t>
  </si>
  <si>
    <t>ФЕР-08</t>
  </si>
  <si>
    <t>Пр/812-008.0-1</t>
  </si>
  <si>
    <t>Пр/774-008.0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</si>
  <si>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</si>
  <si>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</si>
  <si>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</si>
  <si>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</si>
  <si>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</si>
  <si>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</si>
  <si>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</si>
  <si>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</si>
  <si>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</si>
  <si>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</si>
  <si>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</si>
  <si>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</si>
  <si>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</si>
  <si>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</si>
  <si>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</si>
  <si>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</si>
  <si>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</si>
  <si>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</si>
  <si>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</si>
  <si>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</si>
  <si>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</si>
  <si>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</si>
  <si>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</si>
  <si>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</si>
  <si>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</si>
  <si>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</si>
  <si>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</si>
  <si>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</si>
  <si>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</si>
  <si>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</si>
  <si>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</si>
  <si>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</si>
  <si>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</si>
  <si>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</si>
  <si>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</si>
  <si>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</si>
  <si>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</si>
  <si>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</si>
  <si>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</si>
  <si>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</si>
  <si>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</si>
  <si>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</si>
  <si>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</si>
  <si>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</si>
  <si>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</si>
  <si>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</si>
  <si>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</si>
  <si>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</si>
  <si>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</si>
  <si>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</si>
  <si>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</si>
  <si>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</si>
  <si>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</si>
  <si>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</si>
  <si>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Электрика</t>
  </si>
  <si>
    <t>1</t>
  </si>
  <si>
    <t>м08-03-593-19</t>
  </si>
  <si>
    <t>Демонтаж светильников в подвесных потолках точечных</t>
  </si>
  <si>
    <t>100 ШТ</t>
  </si>
  <si>
    <t>ГЭСНм-2022 доп.7, м08-03-593-19, приказ Минстроя России от 02.08.2023 г. № 551/пр</t>
  </si>
  <si>
    <t>Монтажные работы</t>
  </si>
  <si>
    <t>Электротехнические установки: на других объектах</t>
  </si>
  <si>
    <t>мФЕР-08</t>
  </si>
  <si>
    <t>Пр/812-049.3-1</t>
  </si>
  <si>
    <t>Пр/774-049.3</t>
  </si>
  <si>
    <t>16</t>
  </si>
  <si>
    <t>Светильник в подвесных потолках точечных</t>
  </si>
  <si>
    <t>Двери</t>
  </si>
  <si>
    <t>62-01-010-06</t>
  </si>
  <si>
    <t>Улучшенная масляная окраска ранее окрашенных дверей: за два раза с расчисткой старой краски более 35%</t>
  </si>
  <si>
    <t>ГЭСНр-2022, 62-01-010-06, приказ Минстроя России от 18.05.2022 г. № 378/пр</t>
  </si>
  <si>
    <t>Разные работы</t>
  </si>
  <si>
    <t>10-01-059-01</t>
  </si>
  <si>
    <t>Вынос столов, шкафов под мойки, холодильных шкафов и др.(прим. вынос мебели)</t>
  </si>
  <si>
    <t>ГЭСН-2022, 10-01-059-01, приказ Минстроя России от 18.05.2022 г. № 378/пр</t>
  </si>
  <si>
    <t>Деревянные конструкции</t>
  </si>
  <si>
    <t>ФЕР-10</t>
  </si>
  <si>
    <t>Пр/812-010.0-1</t>
  </si>
  <si>
    <t>Пр/774-010.0</t>
  </si>
  <si>
    <t>Установка столов, шкафов под мойки, холодильных шкафов и др.(прим.)</t>
  </si>
  <si>
    <t>69-01-009-01</t>
  </si>
  <si>
    <t>Очистка помещений от строительного мусора</t>
  </si>
  <si>
    <t>100 т</t>
  </si>
  <si>
    <t>ГЭСНр-2022, 69-01-009-01, приказ Минстроя России от 18.05.2022 г. № 378/пр</t>
  </si>
  <si>
    <t>Прочие ремонтно-строительные работы</t>
  </si>
  <si>
    <t>рФЕР-69</t>
  </si>
  <si>
    <t>Пр/812-103.0-1</t>
  </si>
  <si>
    <t>Пр/774-103.0</t>
  </si>
  <si>
    <t>47-1</t>
  </si>
  <si>
    <t>Погрузка в автотранспортное средство: мусор строительный с погрузкой вручную</t>
  </si>
  <si>
    <t>1т груза</t>
  </si>
  <si>
    <t>Погрузочно-разгрузочные работы</t>
  </si>
  <si>
    <t>812/пр и 774/пр п.106</t>
  </si>
  <si>
    <t>Пр/812-106.0-1</t>
  </si>
  <si>
    <t>Пр/774-106.0</t>
  </si>
  <si>
    <t>02-15-2-01-0010</t>
  </si>
  <si>
    <t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</si>
  <si>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Перевозка грузов авто/транспортом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</si>
  <si>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</si>
  <si>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</si>
  <si>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</si>
  <si>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</si>
  <si>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</si>
  <si>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</si>
  <si>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</si>
  <si>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</si>
  <si>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</si>
  <si>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</si>
  <si>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</si>
  <si>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</si>
  <si>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</si>
  <si>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</si>
  <si>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</si>
  <si>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</si>
  <si>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</si>
  <si>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</si>
  <si>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</si>
  <si>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</si>
  <si>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</si>
  <si>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</si>
  <si>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</si>
  <si>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</si>
  <si>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</si>
  <si>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</si>
  <si>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</si>
  <si>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</si>
  <si>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</si>
  <si>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</si>
  <si>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</si>
  <si>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</si>
  <si>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</si>
  <si>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</si>
  <si>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</si>
  <si>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</si>
  <si>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</si>
  <si>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ДИСПЕТЧЕРЕЗАЦИИ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</si>
  <si>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</si>
  <si>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</si>
  <si>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</si>
  <si>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</si>
  <si>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</si>
  <si>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</si>
  <si>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</si>
  <si>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</si>
  <si>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</si>
  <si>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</si>
  <si>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</si>
  <si>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</si>
  <si>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</si>
  <si>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</si>
  <si>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</si>
  <si>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</si>
  <si>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</si>
  <si>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</si>
  <si>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</si>
  <si>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</si>
  <si>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</si>
  <si>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</si>
  <si>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</si>
  <si>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</si>
  <si>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</si>
  <si>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</si>
  <si>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</si>
  <si>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</si>
  <si>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</si>
  <si>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</si>
  <si>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Текущий уровень цен</t>
  </si>
  <si>
    <t>Вид цен</t>
  </si>
  <si>
    <t>Орловская область к ФСНБ-2022, 3 квартал 2023 г</t>
  </si>
  <si>
    <t>Сборник индексов</t>
  </si>
  <si>
    <t>ФГИС ЦС к ФСНБ-2022 Орловская область</t>
  </si>
  <si>
    <t>_OBSM_</t>
  </si>
  <si>
    <t>1-100-20</t>
  </si>
  <si>
    <t>Затраты труда рабочих (Средний разряд - 2)</t>
  </si>
  <si>
    <t>чел.-ч.</t>
  </si>
  <si>
    <t>999-9900</t>
  </si>
  <si>
    <t>Строительный мусор</t>
  </si>
  <si>
    <t>т</t>
  </si>
  <si>
    <t>1-100-36</t>
  </si>
  <si>
    <t>Затраты труда рабочих (Средний разряд - 3,6)</t>
  </si>
  <si>
    <t>4-100-00</t>
  </si>
  <si>
    <t>Затраты труда машинистов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</si>
  <si>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</si>
  <si>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</si>
  <si>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</si>
  <si>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маш.-ч</t>
  </si>
  <si>
    <t>4-100-030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</si>
  <si>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</si>
  <si>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</si>
  <si>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</si>
  <si>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</si>
  <si>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</si>
  <si>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</si>
  <si>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</si>
  <si>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</si>
  <si>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01.7.15.07-0021</t>
  </si>
  <si>
    <t>ФСБЦ-2022, 01.7.15.07-0021, приказ Минстроя России от 18.05.2022 г. № 378/пр</t>
  </si>
  <si>
    <t>Дюбели полиэтиленовые распорные, диаметр 6 мм, длина 30 мм</t>
  </si>
  <si>
    <t>1000 ШТ</t>
  </si>
  <si>
    <t>01.7.15.14-0302</t>
  </si>
  <si>
    <t>ФСБЦ-2022, 01.7.15.14-0302, приказ Минстроя России от 18.05.2022 г. № 378/пр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</si>
  <si>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</si>
  <si>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11.3.03.06</t>
  </si>
  <si>
    <t>Плинтуса для полов пластиковые</t>
  </si>
  <si>
    <t>м</t>
  </si>
  <si>
    <t>11.3.03.14-0001</t>
  </si>
  <si>
    <t>ФСБЦ-2022, 11.3.03.14-0001, приказ Минстроя России от 18.05.2022 г. № 378/пр</t>
  </si>
  <si>
    <t>Заглушки торцевые для плинтуса из ПВХ, высота 48 мм</t>
  </si>
  <si>
    <t>11.3.03.14-0021</t>
  </si>
  <si>
    <t>ФСБЦ-2022, 11.3.03.14-0021, приказ Минстроя России от 18.05.2022 г. № 378/пр</t>
  </si>
  <si>
    <t>Соединители для плинтуса из ПВХ, высота 48 мм</t>
  </si>
  <si>
    <t>11.3.03.14-0031</t>
  </si>
  <si>
    <t>ФСБЦ-2022, 11.3.03.14-0031, приказ Минстроя России от 18.05.2022 г. № 378/пр</t>
  </si>
  <si>
    <t>Уголки для плинтуса из ПВХ, высота 48 мм</t>
  </si>
  <si>
    <t>1-100-30</t>
  </si>
  <si>
    <t>Затраты труда рабочих (Средний разряд - 3)</t>
  </si>
  <si>
    <t>11.2.03.02</t>
  </si>
  <si>
    <t>Покрытие напольное ламинированное (ламинат)</t>
  </si>
  <si>
    <t>11.3.03.08-0004</t>
  </si>
  <si>
    <t>ФСБЦ-2022, 11.3.03.08-0004, приказ Минстроя России от 18.05.2022 г. № 378/пр</t>
  </si>
  <si>
    <t>Подложка из вспененного полиэтилена под паркет и ламинат, толщина 2 мм</t>
  </si>
  <si>
    <t>10 м2</t>
  </si>
  <si>
    <t>прайс</t>
  </si>
  <si>
    <t>Подложка под ламинат т.2мм</t>
  </si>
  <si>
    <t>Покрытие напольное ламинированное(ламинат)</t>
  </si>
  <si>
    <t>1-100-16</t>
  </si>
  <si>
    <t>Затраты труда рабочих (Средний разряд - 1,6)</t>
  </si>
  <si>
    <t>1-100-40</t>
  </si>
  <si>
    <t>Затраты труда рабочих (Средний разряд - 4)</t>
  </si>
  <si>
    <t>01.7.20.08-0051</t>
  </si>
  <si>
    <t>ФСБЦ-2022, 01.7.20.08-0051, приказ Минстроя России от 18.05.2022 г. № 378/пр</t>
  </si>
  <si>
    <t>Ветошь хлопчатобумажная цветная</t>
  </si>
  <si>
    <t>кг</t>
  </si>
  <si>
    <t>Грунтовка глубокого проникновения</t>
  </si>
  <si>
    <t>1-100-34</t>
  </si>
  <si>
    <t>Затраты труда рабочих (Средний разряд - 3,4)</t>
  </si>
  <si>
    <t>14.1.02.03-0002</t>
  </si>
  <si>
    <t>ФСБЦ-2022, 14.1.02.03-0002, приказ Минстроя России от 18.05.2022 г. № 378/пр</t>
  </si>
  <si>
    <t>Клей, марка ПВА</t>
  </si>
  <si>
    <t>14.3.01.01-0001</t>
  </si>
  <si>
    <t>ФСБЦ-2022, 14.3.01.01-0001, приказ Минстроя России от 18.05.2022 г. № 378/пр</t>
  </si>
  <si>
    <t>Грунтовка адгезионная для обработки плотных, гладких, слабо- и не впитывающих влагу оснований</t>
  </si>
  <si>
    <t>Серпянка</t>
  </si>
  <si>
    <t>1-100-32</t>
  </si>
  <si>
    <t>Затраты труда рабочих (Средний разряд - 3,2)</t>
  </si>
  <si>
    <t>91.06.06-046</t>
  </si>
  <si>
    <t>ФСЭМ-2022, 91.06.06-046, приказ Минстроя России от 18.05.2022 г. № 378/пр</t>
  </si>
  <si>
    <t>Подъемники одномачтовые, грузоподъемность до 500 кг, высота подъема 25 м</t>
  </si>
  <si>
    <t>01.7.17.11-0011</t>
  </si>
  <si>
    <t>ФСБЦ-2022, 01.7.17.11-0011, приказ Минстроя России от 18.05.2022 г. № 378/пр</t>
  </si>
  <si>
    <t>Шкурка шлифовальная двухслойная с зернистостью 40-25</t>
  </si>
  <si>
    <t>Краска акриловая</t>
  </si>
  <si>
    <t>Шпатлевка водно-дисперсионная</t>
  </si>
  <si>
    <t>1-100-39</t>
  </si>
  <si>
    <t>Затраты труда рабочих (Средний разряд - 3,9)</t>
  </si>
  <si>
    <t>Шпаклевка</t>
  </si>
  <si>
    <t>Шпатлевка</t>
  </si>
  <si>
    <t>Гунтовка глубокого проникновения</t>
  </si>
  <si>
    <t>1-100-31</t>
  </si>
  <si>
    <t>Затраты труда рабочих (Средний разряд - 3,1)</t>
  </si>
  <si>
    <t>01.7.16.02-0002</t>
  </si>
  <si>
    <t>ФСБЦ-2022, 01.7.16.02-0002, приказ Минстроя России от 18.05.2022 г. № 378/пр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</si>
  <si>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</si>
  <si>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</si>
  <si>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ФСБЦ-2022 доп.2, 11.1.03.01-0063, приказ Минстроя России от 26.08.2022 г. № 703/пр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</si>
  <si>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</si>
  <si>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</si>
  <si>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11.2.13.06</t>
  </si>
  <si>
    <t>Щиты настила</t>
  </si>
  <si>
    <t>1-100-42</t>
  </si>
  <si>
    <t>Затраты труда рабочих (Средний разряд - 4,2)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</si>
  <si>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</si>
  <si>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</si>
  <si>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</si>
  <si>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</si>
  <si>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20.5.04.10-0011</t>
  </si>
  <si>
    <t>ФСБЦ-2022, 20.5.04.10-0011, приказ Минстроя России от 18.05.2022 г. № 378/пр</t>
  </si>
  <si>
    <t>Сжимы соединительные</t>
  </si>
  <si>
    <t>Пр/421-75-а</t>
  </si>
  <si>
    <t>Вспомогательные ненормируемые материалы (2% от ОЗП)</t>
  </si>
  <si>
    <t>%</t>
  </si>
  <si>
    <t>Светильник точечный</t>
  </si>
  <si>
    <t>ШТ</t>
  </si>
  <si>
    <t>Лампочки</t>
  </si>
  <si>
    <t>01.7.10.17-0141</t>
  </si>
  <si>
    <t>ФСБЦ-2022, 01.7.10.17-0141, приказ Минстроя России от 18.05.2022 г. № 378/пр</t>
  </si>
  <si>
    <t>Пемза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</si>
  <si>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</si>
  <si>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</si>
  <si>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</si>
  <si>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Краска для внутренних работ масляная готовая к применению</t>
  </si>
  <si>
    <t>1-100-23</t>
  </si>
  <si>
    <t>Затраты труда рабочих (Средний разряд - 2,3)</t>
  </si>
  <si>
    <t>01.7.15.06-0111</t>
  </si>
  <si>
    <t>ФСБЦ-2022, 01.7.15.06-0111, приказ Минстроя России от 18.05.2022 г. № 378/пр</t>
  </si>
  <si>
    <t>Гвозди строительные</t>
  </si>
  <si>
    <t>08.1.02.11-0001</t>
  </si>
  <si>
    <t>ФСБЦ-2022, 08.1.02.11-0001, приказ Минстроя России от 18.05.2022 г. № 378/пр</t>
  </si>
  <si>
    <t>Поковки из квадратных заготовок, масса 1,5-4,5 кг</t>
  </si>
  <si>
    <t>11.2.07.12</t>
  </si>
  <si>
    <t>Изделия штучные</t>
  </si>
  <si>
    <t>11.2.07.12-0011</t>
  </si>
  <si>
    <t>ФСБЦ-2022, 11.2.07.12-0011, приказ Минстроя России от 18.05.2022 г. № 378/пр</t>
  </si>
  <si>
    <t>Штапик (раскладка) деревянный, неокрашенный, сечение 19х19 мм</t>
  </si>
  <si>
    <t>1-100-11</t>
  </si>
  <si>
    <t>Затраты труда рабочих (Средний разряд - 1,1)</t>
  </si>
  <si>
    <t>14.3.01.03</t>
  </si>
  <si>
    <t>Грунтовка</t>
  </si>
  <si>
    <t>01.8.01.06</t>
  </si>
  <si>
    <t>Сетки стеклянные</t>
  </si>
  <si>
    <t>14.3.02.01</t>
  </si>
  <si>
    <t>14.4.01.02</t>
  </si>
  <si>
    <t>14.5.11.02-0101</t>
  </si>
  <si>
    <t>ФСБЦ-2022, 14.5.11.02-0101, приказ Минстроя России от 18.05.2022 г. № 378/пр</t>
  </si>
  <si>
    <t>14.5.11.01-0003</t>
  </si>
  <si>
    <t>ФСБЦ-2022, 14.5.11.01-0003, приказ Минстроя России от 18.05.2022 г. № 378/пр</t>
  </si>
  <si>
    <t>Шпатлевка масляно-клеевая</t>
  </si>
  <si>
    <t>14.4.02.04</t>
  </si>
  <si>
    <t>Краски для внутренних работ масляные готовые к применению</t>
  </si>
  <si>
    <t>14.5.11.01-0001</t>
  </si>
  <si>
    <t>ФСБЦ-2022, 14.5.11.01-0001, приказ Минстроя России от 18.05.2022 г. № 378/пр</t>
  </si>
  <si>
    <t>Шпатлевка клеевая</t>
  </si>
  <si>
    <t>Федеральная сметная нормативная база ФСНБ-2022, утвержденная приказом Минстроя России от 30 декабря 2021 г. № 1046/пр, в редакции приказа Минстроя России от 18.05.2022 г. № 378/пр, с учётом приказов Минстроя России от 26 августа 2022 г. № 703/пр, от 26 октября 2022 г. № 905/пр, от 27 декабря 2022 г. № 1133/пр, от 10 февраля 2023 г № 84/пр, от 11 мая 2023 г № 335/пр и от 02 августа 2023 г № 551/пр.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</si>
  <si>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</si>
  <si>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</si>
  <si>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</si>
  <si>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</si>
  <si>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</si>
  <si>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</si>
  <si>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</si>
  <si>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</si>
  <si>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</si>
  <si>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</si>
  <si>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</si>
  <si>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</si>
  <si>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</si>
  <si>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</si>
  <si>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</si>
  <si>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</si>
  <si>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</si>
  <si>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</si>
  <si>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</si>
  <si>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</si>
  <si>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</si>
  <si>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</si>
  <si>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</si>
  <si>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</si>
  <si>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</si>
  <si>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</si>
  <si>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</si>
  <si>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</si>
  <si>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</si>
  <si>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</si>
  <si>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</si>
  <si>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</si>
  <si>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</si>
  <si>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</si>
  <si>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</si>
  <si>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</si>
  <si>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</si>
  <si>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</si>
  <si>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</si>
  <si>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11»</t>
  </si>
  <si>
    <t>Ресурсно-индексным</t>
  </si>
  <si>
    <t>Составлен(а) в текущем уровне цен на III квартал 2023 года</t>
  </si>
  <si>
    <t>ГЭСНр 57-01-003-01</t>
  </si>
  <si>
    <t>ОТ (ЗТ)</t>
  </si>
  <si>
    <t>М</t>
  </si>
  <si>
    <t>Итого прямые затраты</t>
  </si>
  <si>
    <t>ФОТ</t>
  </si>
  <si>
    <t>НР Полы</t>
  </si>
  <si>
    <t>СП Полы</t>
  </si>
  <si>
    <t>Всего по позиции</t>
  </si>
  <si>
    <t>=</t>
  </si>
  <si>
    <t>ГЭСН 11-01-040-03</t>
  </si>
  <si>
    <r>
      <t>Устройство плинтусов поливинилхлоридных: на винтах самонарезающих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</si>
  <si>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ЭМ</t>
  </si>
  <si>
    <t>ОТм(ЗТм) Средний разряд машинистов 3</t>
  </si>
  <si>
    <t>ОТм(ЗТм) Средний разряд машинистов 4</t>
  </si>
  <si>
    <t>ОТм(ЗТм)</t>
  </si>
  <si>
    <t>Пр/812-011.0-1;_x000D_
п.25</t>
  </si>
  <si>
    <t>Пр/774-011.0;_x000D_
п.16</t>
  </si>
  <si>
    <t>ГЭСН 11-01-034-04</t>
  </si>
  <si>
    <r>
      <t>Демонтаж покрытий: из досок ламинированных замковым способом</t>
    </r>
    <r>
      <rPr>
        <i/>
        <sz val="10"/>
        <rFont val="Arial"/>
        <family val="2"/>
        <charset val="204"/>
      </rPr>
      <t xml:space="preserve">
Поправки к: 
М *0;   
ЭМ *0,8;   
ЗТ *0,8;   
ЗТм *0,8</t>
    </r>
  </si>
  <si>
    <r>
      <t>Устройство покрытий: из досок ламинированных замковым способом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</si>
  <si>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Раздел: Отделочные работы - Стены</t>
  </si>
  <si>
    <t>ГЭСНр 62-04-011-01</t>
  </si>
  <si>
    <t>НР Малярные работы</t>
  </si>
  <si>
    <t>СП Малярные работы</t>
  </si>
  <si>
    <t>ГЭСН 15-04-006-03</t>
  </si>
  <si>
    <r>
      <t>Покрытие поверхностей грунтовкой глубокого проникновения: за 1 раз стен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</si>
  <si>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Пр/812-015.0-1;_x000D_
п.25</t>
  </si>
  <si>
    <t>НР Отделочные работы</t>
  </si>
  <si>
    <t>Пр/774-015.0;_x000D_
п.16</t>
  </si>
  <si>
    <t>СП Отделочные работы</t>
  </si>
  <si>
    <t>ГЭСНр 61-04-006-01</t>
  </si>
  <si>
    <t>НР Штукатурные работы</t>
  </si>
  <si>
    <t>СП Штукатурные работы</t>
  </si>
  <si>
    <t>ГЭСН 15-04-007-06</t>
  </si>
  <si>
    <r>
      <t>Окраска водно-дисперсионными акриловыми составами высококачественная: по штукатурке потолков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</si>
  <si>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15-04-006-01</t>
  </si>
  <si>
    <r>
      <t>Покрытие поверхностей грунтовкой глубокого проникновения: за 1 раз потолков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</si>
  <si>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15-04-027-05</t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</si>
  <si>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</si>
  <si>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15-04-027-06</t>
  </si>
  <si>
    <r>
      <t>Третья шпатлевка при высококачественной окраске по штукатурке и сборным конструкциям: потолков, подготовленных под окраску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</si>
  <si>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15-04-007-02</t>
  </si>
  <si>
    <r>
      <t>Окраска водно-дисперсионными акриловыми составами улучшенная: по штукатурке потолков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</si>
  <si>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15-04-007-01</t>
  </si>
  <si>
    <r>
      <t>Окраска водно-дисперсионными акриловыми составами улучшенная: по штукатурке стен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</si>
  <si>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 08-07-002-01</t>
  </si>
  <si>
    <r>
      <t>Установка и разборка внутренних трубчатых инвентарных лесов: при высоте помещений до 6 м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</si>
  <si>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Пр/812-008.0-1;_x000D_
п.25</t>
  </si>
  <si>
    <t>НР Конструкции из кирпича и блоков</t>
  </si>
  <si>
    <t>Пр/774-008.0;_x000D_
п.16</t>
  </si>
  <si>
    <t>СП Конструкции из кирпича и блоков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</si>
  <si>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</si>
  <si>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</si>
  <si>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</si>
  <si>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</si>
  <si>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</si>
  <si>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</si>
  <si>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</si>
  <si>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</si>
  <si>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</si>
  <si>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</si>
  <si>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</si>
  <si>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</si>
  <si>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</si>
  <si>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</si>
  <si>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</si>
  <si>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</si>
  <si>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</si>
  <si>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</si>
  <si>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</si>
  <si>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</si>
  <si>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</si>
  <si>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</si>
  <si>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</si>
  <si>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</si>
  <si>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</si>
  <si>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</si>
  <si>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Электрика</t>
  </si>
  <si>
    <t>ГЭСНм 08-03-593-19</t>
  </si>
  <si>
    <r>
      <t>Демонтаж светильников в подвесных потолках точечных</t>
    </r>
    <r>
      <rPr>
        <i/>
        <sz val="10"/>
        <rFont val="Arial"/>
        <family val="2"/>
        <charset val="204"/>
      </rPr>
      <t xml:space="preserve">
Поправки к: 
М *0;   
ЭМ *0,8;   
ЗТ *0,8;   
ЗТм *0,8</t>
    </r>
  </si>
  <si>
    <t>ОТм(ЗТм) Средний разряд машинистов 6</t>
  </si>
  <si>
    <t>НР Электротехнические установки: на других объектах</t>
  </si>
  <si>
    <t>СП Электротехнические установки: на других объектах</t>
  </si>
  <si>
    <t>Раздел: Двери</t>
  </si>
  <si>
    <t>ГЭСНр 62-01-010-06</t>
  </si>
  <si>
    <t>Раздел: Разные работы</t>
  </si>
  <si>
    <t>ГЭСН 10-01-059-01</t>
  </si>
  <si>
    <r>
      <t>Вынос столов, шкафов под мойки, холодильных шкафов и др.(прим. вынос мебели)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</si>
  <si>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Пр/812-010.0-1;_x000D_
п.25</t>
  </si>
  <si>
    <t>НР Деревянные конструкции</t>
  </si>
  <si>
    <t>Пр/774-010.0;_x000D_
п.16</t>
  </si>
  <si>
    <t>СП Деревянные конструкции</t>
  </si>
  <si>
    <r>
      <t>Установка столов, шкафов под мойки, холодильных шкафов и др.(прим.)</t>
    </r>
    <r>
      <rPr>
        <i/>
        <sz val="10"/>
        <rFont val="Arial"/>
        <family val="2"/>
        <charset val="204"/>
      </rPr>
      <t xml:space="preserve">
Поправки к: 
ЭМ *1,25;   
ЗТ *1,15;   
ЗТм *1,25;   
НР *0,9;   
СП *0,85</t>
    </r>
  </si>
  <si>
    <t>ГЭСНр 69-01-009-01</t>
  </si>
  <si>
    <t>НР Прочие ремонтно-строительные работы</t>
  </si>
  <si>
    <t>СП Прочие ремонтно-строительные работы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</si>
  <si>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</si>
  <si>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</si>
  <si>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</si>
  <si>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</si>
  <si>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</si>
  <si>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</si>
  <si>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</si>
  <si>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</si>
  <si>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</si>
  <si>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</si>
  <si>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</si>
  <si>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</si>
  <si>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</si>
  <si>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</si>
  <si>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</si>
  <si>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</si>
  <si>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</si>
  <si>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</si>
  <si>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</si>
  <si>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</si>
  <si>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</si>
  <si>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</si>
  <si>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</si>
  <si>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</si>
  <si>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</t>
  </si>
  <si>
    <t>по ОКПО</t>
  </si>
  <si>
    <t>организация, адрес, телефон, факс</t>
  </si>
  <si>
    <t>Заказчик</t>
  </si>
  <si>
    <t>Подрядчик</t>
  </si>
  <si>
    <t>Стройка</t>
  </si>
  <si>
    <t>наименование, адрес</t>
  </si>
  <si>
    <t>Объект</t>
  </si>
  <si>
    <t>наименование</t>
  </si>
  <si>
    <t>Вид деятельности по ОКДП</t>
  </si>
  <si>
    <t>Договор подряда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</si>
  <si>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</si>
  <si>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</si>
  <si>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</si>
  <si>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</si>
  <si>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</si>
  <si>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</si>
  <si>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</si>
  <si>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</si>
  <si>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AKT</t>
  </si>
  <si>
    <t>О ПРИЕМКЕ ВЫПОЛНЕННЫХ РАБОТ</t>
  </si>
  <si>
    <t>поз. по сме-те</t>
  </si>
  <si>
    <t>Локальная смета: Новая локальная смета</t>
  </si>
  <si>
    <t>ИТОГИ ПО АКТУ</t>
  </si>
  <si>
    <t>ВСЕГО по акту</t>
  </si>
  <si>
    <t xml:space="preserve">Сдал   </t>
  </si>
  <si>
    <t xml:space="preserve">Принял   </t>
  </si>
  <si>
    <t>- номер последнего сформированного листа</t>
  </si>
  <si>
    <t>Наименование программного продукта: "Мастер сметных расчетов" v11.7, г. Орел, тел. +7 (910) 747-08-01</t>
  </si>
  <si>
    <t>Унифицированная форма № КС-3</t>
  </si>
  <si>
    <t>0322001</t>
  </si>
  <si>
    <t>Инвестор:</t>
  </si>
  <si>
    <t>Заказчик:</t>
  </si>
  <si>
    <t>Генподрядчик:</t>
  </si>
  <si>
    <t>Субподрядчик:</t>
  </si>
  <si>
    <t>Стройка:</t>
  </si>
  <si>
    <t xml:space="preserve">Вид деятельности по ОКДП  </t>
  </si>
  <si>
    <t>СПРАВКА</t>
  </si>
  <si>
    <t>О СТОИМОСТИ ВЫПОЛНЕННЫХ РАБОТ И ЗАТРАТ</t>
  </si>
  <si>
    <t>№</t>
  </si>
  <si>
    <t>п/п</t>
  </si>
  <si>
    <t>Наименование пусковых комплексов,</t>
  </si>
  <si>
    <t xml:space="preserve">этапов, объектов, видов выполненных </t>
  </si>
  <si>
    <t xml:space="preserve">работ, оборудования , затрат </t>
  </si>
  <si>
    <t>с начала</t>
  </si>
  <si>
    <t>проведения</t>
  </si>
  <si>
    <t>работ</t>
  </si>
  <si>
    <t>года</t>
  </si>
  <si>
    <t>за отчетный</t>
  </si>
  <si>
    <t>период</t>
  </si>
  <si>
    <t>Стоимость вып. работ и затрат, руб</t>
  </si>
  <si>
    <t>Всего работ и затрат, включаемых в стоимость работ</t>
  </si>
  <si>
    <t>ИТОГО</t>
  </si>
  <si>
    <t>НДС, %</t>
  </si>
  <si>
    <t>ВСЕГО c НДС</t>
  </si>
  <si>
    <t>Сдал:</t>
  </si>
  <si>
    <t>[должность] / [подпись]</t>
  </si>
  <si>
    <t>[расшифровка подписи]</t>
  </si>
  <si>
    <t>М.П.</t>
  </si>
  <si>
    <t>Принял:</t>
  </si>
  <si>
    <t>Текущий ремонт помещения №310 УФНС России по Орловской области по адресу: г. Орёл, Московское шоссе,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</si>
</sst>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#####;[Red]\-\ #,##0.00#####"/>
    <numFmt numFmtId="166" formatCode="#,##0.00;[Red]\-\ #,##0.00"/>
  </numFmts>
  <fonts count="37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b/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3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sz val="9"/>
      <color indexed="81"/>
      <name val="Tahoma"/>
      <family val="2"/>
      <charset val="204"/>
    </font>
    <font>
      <sz val="10"/>
      <color rgb="FFFFFFFF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gray0625">
        <fgColor indexed="11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NumberFormat="1" applyFont="1" applyAlignment="1"/>
    <xf numFmtId="0" fontId="11" fillId="0" borderId="0" xfId="0" applyNumberFormat="1" applyFont="1" applyAlignment="1">
      <alignment vertical="top" wrapText="1"/>
    </xf>
    <xf numFmtId="0" fontId="11" fillId="0" borderId="2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2" fillId="0" borderId="0" xfId="0" applyNumberFormat="1" applyFont="1" applyAlignment="1"/>
    <xf numFmtId="0" fontId="12" fillId="0" borderId="2" xfId="0" applyNumberFormat="1" applyFont="1" applyBorder="1" applyAlignment="1"/>
    <xf numFmtId="0" fontId="18" fillId="0" borderId="0" xfId="0" applyNumberFormat="1" applyFont="1" applyAlignment="1"/>
    <xf numFmtId="0" fontId="18" fillId="0" borderId="0" xfId="0" applyNumberFormat="1" applyFont="1" applyAlignment="1">
      <alignment wrapText="1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1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/>
    <xf numFmtId="0" fontId="11" fillId="0" borderId="0" xfId="0" applyNumberFormat="1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Alignment="1"/>
    <xf numFmtId="14" fontId="18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6" fillId="0" borderId="0" xfId="0" applyNumberFormat="1" applyFont="1" applyAlignment="1"/>
    <xf numFmtId="164" fontId="11" fillId="0" borderId="0" xfId="0" applyNumberFormat="1" applyFont="1" applyAlignment="1">
      <alignment horizontal="right"/>
    </xf>
    <xf numFmtId="0" fontId="18" fillId="0" borderId="1" xfId="0" applyNumberFormat="1" applyFont="1" applyBorder="1" applyAlignment="1"/>
    <xf numFmtId="0" fontId="11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18" fillId="0" borderId="0" xfId="0" applyNumberFormat="1" applyFont="1" applyAlignment="1">
      <alignment horizontal="center"/>
    </xf>
    <xf numFmtId="0" fontId="18" fillId="0" borderId="7" xfId="0" applyNumberFormat="1" applyFont="1" applyBorder="1" applyAlignment="1">
      <alignment horizontal="center"/>
    </xf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5" fontId="21" fillId="0" borderId="0" xfId="0" applyNumberFormat="1" applyFont="1" applyAlignment="1">
      <alignment horizontal="right" vertical="top"/>
    </xf>
    <xf numFmtId="166" fontId="21" fillId="0" borderId="0" xfId="0" applyNumberFormat="1" applyFont="1" applyAlignment="1">
      <alignment horizontal="right" vertical="top"/>
    </xf>
    <xf numFmtId="166" fontId="23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right" vertical="top" wrapText="1"/>
    </xf>
    <xf numFmtId="165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/>
    </xf>
    <xf numFmtId="166" fontId="23" fillId="0" borderId="1" xfId="0" applyNumberFormat="1" applyFont="1" applyBorder="1" applyAlignment="1">
      <alignment horizontal="right" vertical="top"/>
    </xf>
    <xf numFmtId="166" fontId="0" fillId="0" borderId="0" xfId="0" applyNumberFormat="1"/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1" xfId="0" applyFont="1" applyBorder="1" applyAlignment="1">
      <alignment horizontal="left" vertical="top" wrapText="1"/>
    </xf>
    <xf numFmtId="166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/>
    </xf>
    <xf numFmtId="0" fontId="21" fillId="0" borderId="1" xfId="0" quotePrefix="1" applyFont="1" applyBorder="1" applyAlignment="1">
      <alignment horizontal="left" vertical="top" wrapText="1"/>
    </xf>
    <xf numFmtId="0" fontId="23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166" fontId="11" fillId="0" borderId="0" xfId="0" applyNumberFormat="1" applyFont="1" applyAlignment="1">
      <alignment horizontal="right"/>
    </xf>
    <xf numFmtId="166" fontId="18" fillId="0" borderId="0" xfId="0" applyNumberFormat="1" applyFont="1" applyAlignment="1"/>
    <xf numFmtId="166" fontId="12" fillId="0" borderId="0" xfId="0" applyNumberFormat="1" applyFont="1" applyAlignment="1"/>
    <xf numFmtId="165" fontId="12" fillId="0" borderId="0" xfId="0" applyNumberFormat="1" applyFont="1" applyAlignment="1"/>
    <xf numFmtId="0" fontId="18" fillId="0" borderId="1" xfId="0" applyNumberFormat="1" applyFont="1" applyBorder="1" applyAlignment="1">
      <alignment horizontal="left"/>
    </xf>
    <xf numFmtId="0" fontId="18" fillId="0" borderId="10" xfId="0" applyNumberFormat="1" applyFont="1" applyBorder="1" applyAlignment="1">
      <alignment horizontal="right" wrapText="1"/>
    </xf>
    <xf numFmtId="0" fontId="11" fillId="0" borderId="10" xfId="0" applyNumberFormat="1" applyFont="1" applyBorder="1" applyAlignment="1">
      <alignment wrapText="1"/>
    </xf>
    <xf numFmtId="0" fontId="11" fillId="0" borderId="0" xfId="0" applyNumberFormat="1" applyFont="1" applyBorder="1" applyAlignment="1">
      <alignment wrapText="1"/>
    </xf>
    <xf numFmtId="0" fontId="18" fillId="0" borderId="19" xfId="0" applyNumberFormat="1" applyFont="1" applyBorder="1" applyAlignment="1">
      <alignment horizontal="right" wrapText="1"/>
    </xf>
    <xf numFmtId="0" fontId="11" fillId="0" borderId="19" xfId="0" applyNumberFormat="1" applyFont="1" applyBorder="1" applyAlignment="1">
      <alignment wrapText="1"/>
    </xf>
    <xf numFmtId="0" fontId="11" fillId="0" borderId="2" xfId="0" applyNumberFormat="1" applyFont="1" applyBorder="1" applyAlignment="1">
      <alignment wrapText="1"/>
    </xf>
    <xf numFmtId="0" fontId="11" fillId="0" borderId="14" xfId="0" applyNumberFormat="1" applyFont="1" applyBorder="1" applyAlignment="1">
      <alignment wrapText="1"/>
    </xf>
    <xf numFmtId="0" fontId="18" fillId="0" borderId="7" xfId="0" applyNumberFormat="1" applyFont="1" applyBorder="1" applyAlignment="1">
      <alignment horizontal="center" wrapText="1"/>
    </xf>
    <xf numFmtId="0" fontId="18" fillId="0" borderId="9" xfId="0" applyNumberFormat="1" applyFont="1" applyBorder="1" applyAlignment="1">
      <alignment horizontal="right" wrapText="1"/>
    </xf>
    <xf numFmtId="0" fontId="11" fillId="0" borderId="1" xfId="0" applyNumberFormat="1" applyFont="1" applyBorder="1" applyAlignment="1">
      <alignment wrapText="1"/>
    </xf>
    <xf numFmtId="0" fontId="11" fillId="0" borderId="4" xfId="0" applyNumberFormat="1" applyFont="1" applyBorder="1" applyAlignment="1">
      <alignment wrapText="1"/>
    </xf>
    <xf numFmtId="0" fontId="11" fillId="0" borderId="7" xfId="0" applyNumberFormat="1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wrapText="1"/>
    </xf>
    <xf numFmtId="0" fontId="11" fillId="0" borderId="7" xfId="0" applyNumberFormat="1" applyFont="1" applyBorder="1" applyAlignment="1">
      <alignment horizontal="center"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left" wrapText="1"/>
    </xf>
    <xf numFmtId="0" fontId="18" fillId="0" borderId="1" xfId="0" applyNumberFormat="1" applyFont="1" applyBorder="1" applyAlignment="1">
      <alignment horizontal="left" wrapText="1"/>
    </xf>
    <xf numFmtId="0" fontId="18" fillId="0" borderId="1" xfId="0" applyNumberFormat="1" applyFont="1" applyBorder="1" applyAlignment="1">
      <alignment wrapText="1"/>
    </xf>
    <xf numFmtId="0" fontId="18" fillId="0" borderId="0" xfId="0" applyNumberFormat="1" applyFont="1" applyAlignment="1">
      <alignment horizontal="left" vertical="center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 applyAlignment="1">
      <alignment horizontal="left" vertical="top"/>
    </xf>
    <xf numFmtId="0" fontId="27" fillId="0" borderId="0" xfId="0" applyFont="1" applyAlignment="1">
      <alignment wrapText="1"/>
    </xf>
    <xf numFmtId="0" fontId="32" fillId="0" borderId="0" xfId="0" applyFont="1"/>
    <xf numFmtId="0" fontId="0" fillId="0" borderId="0" xfId="0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left" vertical="top" wrapText="1"/>
    </xf>
    <xf numFmtId="0" fontId="28" fillId="0" borderId="0" xfId="0" applyFont="1" applyAlignment="1">
      <alignment wrapText="1"/>
    </xf>
    <xf numFmtId="0" fontId="27" fillId="0" borderId="3" xfId="0" applyFont="1" applyBorder="1" applyAlignment="1">
      <alignment horizontal="center" vertical="top"/>
    </xf>
    <xf numFmtId="0" fontId="27" fillId="0" borderId="13" xfId="0" applyFont="1" applyBorder="1" applyAlignment="1">
      <alignment horizontal="center" vertical="top"/>
    </xf>
    <xf numFmtId="0" fontId="13" fillId="0" borderId="0" xfId="0" applyFont="1" applyAlignment="1">
      <alignment wrapText="1"/>
    </xf>
    <xf numFmtId="0" fontId="33" fillId="0" borderId="0" xfId="0" applyFont="1"/>
    <xf numFmtId="49" fontId="13" fillId="0" borderId="0" xfId="0" applyNumberFormat="1" applyFont="1" applyAlignment="1">
      <alignment wrapText="1"/>
    </xf>
    <xf numFmtId="0" fontId="27" fillId="0" borderId="0" xfId="0" applyFont="1" applyAlignment="1">
      <alignment horizontal="right" vertical="top"/>
    </xf>
    <xf numFmtId="0" fontId="29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14" fontId="13" fillId="0" borderId="26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0" fillId="0" borderId="28" xfId="0" applyBorder="1"/>
    <xf numFmtId="0" fontId="27" fillId="0" borderId="30" xfId="0" applyFont="1" applyBorder="1" applyAlignment="1">
      <alignment horizontal="center" wrapText="1"/>
    </xf>
    <xf numFmtId="0" fontId="27" fillId="0" borderId="25" xfId="0" applyFont="1" applyBorder="1" applyAlignment="1">
      <alignment horizontal="center" wrapText="1"/>
    </xf>
    <xf numFmtId="0" fontId="27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left" vertical="top" wrapText="1"/>
    </xf>
    <xf numFmtId="4" fontId="10" fillId="2" borderId="34" xfId="0" applyNumberFormat="1" applyFont="1" applyFill="1" applyBorder="1" applyAlignment="1">
      <alignment horizontal="right" shrinkToFit="1"/>
    </xf>
    <xf numFmtId="4" fontId="10" fillId="2" borderId="33" xfId="0" applyNumberFormat="1" applyFont="1" applyFill="1" applyBorder="1" applyAlignment="1">
      <alignment horizontal="right" shrinkToFit="1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4" fontId="10" fillId="0" borderId="13" xfId="0" applyNumberFormat="1" applyFont="1" applyBorder="1" applyAlignment="1">
      <alignment horizontal="right" shrinkToFit="1"/>
    </xf>
    <xf numFmtId="4" fontId="10" fillId="0" borderId="7" xfId="0" applyNumberFormat="1" applyFont="1" applyBorder="1" applyAlignment="1">
      <alignment horizontal="right" shrinkToFi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top" wrapText="1"/>
    </xf>
    <xf numFmtId="4" fontId="10" fillId="0" borderId="3" xfId="0" applyNumberFormat="1" applyFont="1" applyBorder="1" applyAlignment="1">
      <alignment horizontal="right" shrinkToFit="1"/>
    </xf>
    <xf numFmtId="4" fontId="10" fillId="0" borderId="5" xfId="0" applyNumberFormat="1" applyFont="1" applyBorder="1" applyAlignment="1">
      <alignment horizontal="right" shrinkToFit="1"/>
    </xf>
    <xf numFmtId="4" fontId="10" fillId="2" borderId="3" xfId="0" applyNumberFormat="1" applyFont="1" applyFill="1" applyBorder="1" applyAlignment="1">
      <alignment horizontal="right" shrinkToFit="1"/>
    </xf>
    <xf numFmtId="4" fontId="10" fillId="2" borderId="5" xfId="0" applyNumberFormat="1" applyFont="1" applyFill="1" applyBorder="1" applyAlignment="1">
      <alignment horizontal="right" shrinkToFit="1"/>
    </xf>
    <xf numFmtId="0" fontId="27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11" fillId="0" borderId="0" xfId="0" applyNumberFormat="1" applyFont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/>
    </xf>
    <xf numFmtId="0" fontId="17" fillId="0" borderId="2" xfId="0" applyNumberFormat="1" applyFont="1" applyBorder="1" applyAlignment="1">
      <alignment horizontal="center" vertical="top" wrapText="1"/>
    </xf>
    <xf numFmtId="0" fontId="15" fillId="0" borderId="0" xfId="0" applyNumberFormat="1" applyFont="1" applyAlignment="1">
      <alignment horizontal="center" wrapText="1"/>
    </xf>
    <xf numFmtId="0" fontId="20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left"/>
    </xf>
    <xf numFmtId="0" fontId="15" fillId="0" borderId="1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166" fontId="11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right"/>
    </xf>
    <xf numFmtId="166" fontId="23" fillId="0" borderId="0" xfId="0" applyNumberFormat="1" applyFont="1" applyAlignment="1">
      <alignment horizontal="left" vertical="top"/>
    </xf>
    <xf numFmtId="166" fontId="23" fillId="0" borderId="2" xfId="0" applyNumberFormat="1" applyFont="1" applyBorder="1" applyAlignment="1">
      <alignment horizontal="right" vertical="top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0" fontId="11" fillId="0" borderId="0" xfId="0" applyNumberFormat="1" applyFont="1" applyAlignment="1">
      <alignment horizontal="right" vertical="center"/>
    </xf>
    <xf numFmtId="0" fontId="26" fillId="0" borderId="2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27" fillId="0" borderId="3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3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7" fillId="0" borderId="3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28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right" vertical="top"/>
    </xf>
    <xf numFmtId="49" fontId="13" fillId="0" borderId="3" xfId="0" applyNumberFormat="1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14" fontId="13" fillId="0" borderId="3" xfId="0" applyNumberFormat="1" applyFont="1" applyBorder="1" applyAlignment="1">
      <alignment horizontal="center" vertical="top"/>
    </xf>
    <xf numFmtId="0" fontId="27" fillId="0" borderId="9" xfId="0" applyFont="1" applyBorder="1" applyAlignment="1">
      <alignment horizontal="center" vertical="top"/>
    </xf>
    <xf numFmtId="49" fontId="13" fillId="0" borderId="13" xfId="0" applyNumberFormat="1" applyFont="1" applyBorder="1" applyAlignment="1">
      <alignment horizontal="center" vertical="top"/>
    </xf>
    <xf numFmtId="0" fontId="27" fillId="0" borderId="15" xfId="0" applyFont="1" applyBorder="1" applyAlignment="1">
      <alignment horizontal="center" vertical="top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wrapText="1"/>
    </xf>
    <xf numFmtId="0" fontId="36" fillId="0" borderId="2" xfId="0" applyFont="1" applyBorder="1" applyAlignment="1">
      <alignment horizontal="center"/>
    </xf>
    <xf numFmtId="0" fontId="3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27" fillId="0" borderId="26" xfId="0" applyFont="1" applyBorder="1" applyAlignment="1">
      <alignment horizontal="center" wrapText="1"/>
    </xf>
    <xf numFmtId="0" fontId="27" fillId="0" borderId="31" xfId="0" applyFont="1" applyBorder="1" applyAlignment="1">
      <alignment horizontal="center" wrapText="1"/>
    </xf>
    <xf numFmtId="0" fontId="27" fillId="0" borderId="32" xfId="0" applyFont="1" applyBorder="1" applyAlignment="1">
      <alignment horizontal="center" wrapText="1"/>
    </xf>
    <xf numFmtId="0" fontId="18" fillId="0" borderId="0" xfId="0" applyNumberFormat="1" applyFont="1" applyAlignment="1">
      <alignment wrapText="1"/>
    </xf>
    <xf numFmtId="0" fontId="18" fillId="0" borderId="1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center" vertical="top" wrapText="1"/>
    </xf>
    <xf numFmtId="0" fontId="18" fillId="0" borderId="16" xfId="0" applyNumberFormat="1" applyFont="1" applyBorder="1" applyAlignment="1">
      <alignment horizontal="center" wrapText="1"/>
    </xf>
    <xf numFmtId="0" fontId="18" fillId="0" borderId="2" xfId="0" applyNumberFormat="1" applyFont="1" applyBorder="1" applyAlignment="1">
      <alignment horizontal="center" wrapText="1"/>
    </xf>
    <xf numFmtId="0" fontId="18" fillId="0" borderId="9" xfId="0" applyNumberFormat="1" applyFont="1" applyBorder="1" applyAlignment="1">
      <alignment horizontal="center" wrapText="1"/>
    </xf>
    <xf numFmtId="0" fontId="18" fillId="0" borderId="18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 wrapText="1"/>
    </xf>
    <xf numFmtId="0" fontId="18" fillId="0" borderId="12" xfId="0" applyNumberFormat="1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 wrapText="1"/>
    </xf>
    <xf numFmtId="0" fontId="18" fillId="0" borderId="13" xfId="0" applyNumberFormat="1" applyFont="1" applyBorder="1" applyAlignment="1">
      <alignment horizontal="center" wrapText="1"/>
    </xf>
    <xf numFmtId="0" fontId="18" fillId="0" borderId="14" xfId="0" applyNumberFormat="1" applyFont="1" applyBorder="1" applyAlignment="1">
      <alignment horizontal="center" wrapText="1"/>
    </xf>
    <xf numFmtId="0" fontId="18" fillId="0" borderId="15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right" wrapText="1"/>
    </xf>
    <xf numFmtId="0" fontId="18" fillId="0" borderId="12" xfId="0" applyNumberFormat="1" applyFont="1" applyBorder="1" applyAlignment="1">
      <alignment horizontal="right" wrapText="1"/>
    </xf>
    <xf numFmtId="0" fontId="18" fillId="0" borderId="2" xfId="0" applyNumberFormat="1" applyFont="1" applyBorder="1" applyAlignment="1">
      <alignment horizontal="right" wrapText="1"/>
    </xf>
    <xf numFmtId="0" fontId="18" fillId="0" borderId="9" xfId="0" applyNumberFormat="1" applyFont="1" applyBorder="1" applyAlignment="1">
      <alignment horizontal="right" wrapText="1"/>
    </xf>
    <xf numFmtId="14" fontId="18" fillId="0" borderId="13" xfId="0" applyNumberFormat="1" applyFont="1" applyBorder="1" applyAlignment="1">
      <alignment horizontal="center" wrapText="1"/>
    </xf>
    <xf numFmtId="14" fontId="18" fillId="0" borderId="14" xfId="0" applyNumberFormat="1" applyFont="1" applyBorder="1" applyAlignment="1">
      <alignment horizontal="center" wrapText="1"/>
    </xf>
    <xf numFmtId="14" fontId="18" fillId="0" borderId="15" xfId="0" applyNumberFormat="1" applyFont="1" applyBorder="1" applyAlignment="1">
      <alignment horizont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wrapText="1"/>
    </xf>
    <xf numFmtId="0" fontId="18" fillId="0" borderId="1" xfId="0" applyNumberFormat="1" applyFont="1" applyBorder="1" applyAlignment="1">
      <alignment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8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648"/>
  <sheetViews>
    <sheetView tabSelected="1" zoomScaleNormal="100" workbookViewId="0">
      <selection activeCell="C98" sqref="C98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9" width="0" hidden="1" customWidth="1"/>
  </cols>
  <sheetData>
    <row r="1" spans="1:12" x14ac:dyDescent="0.2">
      <c r="A1" s="9" t="str">
        <f>Source!B1</f>
        <v>Smeta.RU  (495) 974-1589</v>
      </c>
    </row>
    <row r="2" spans="1:12" ht="12.75" customHeight="1" x14ac:dyDescent="0.2">
      <c r="A2" s="139" t="s">
        <v>427</v>
      </c>
      <c r="B2" s="139"/>
      <c r="C2" s="139"/>
      <c r="D2" s="139"/>
      <c r="E2" s="139"/>
      <c r="F2" s="140" t="s">
        <v>466</v>
      </c>
      <c r="G2" s="140"/>
      <c r="H2" s="140"/>
      <c r="I2" s="140"/>
      <c r="J2" s="140"/>
      <c r="K2" s="140"/>
      <c r="L2" s="140"/>
    </row>
    <row r="3" spans="1:12" ht="12.75" customHeight="1" x14ac:dyDescent="0.2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</row>
    <row r="4" spans="1:12" ht="12.75" customHeight="1" x14ac:dyDescent="0.2">
      <c r="A4" s="139" t="s">
        <v>428</v>
      </c>
      <c r="B4" s="139"/>
      <c r="C4" s="139"/>
      <c r="D4" s="139"/>
      <c r="E4" s="139"/>
      <c r="F4" s="140" t="str">
        <f>LEFT(Source!CQ12,FIND("утвержден",Source!CQ12,1)-3)</f>
        <v>Федеральная сметная нормативная база ФСНБ-2022</v>
      </c>
      <c r="G4" s="140"/>
      <c r="H4" s="140"/>
      <c r="I4" s="140"/>
      <c r="J4" s="140"/>
      <c r="K4" s="140"/>
      <c r="L4" s="140"/>
    </row>
    <row r="5" spans="1:12" ht="12.75" customHeight="1" x14ac:dyDescent="0.2">
      <c r="A5" s="11"/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</row>
    <row r="6" spans="1:12" ht="51" customHeight="1" x14ac:dyDescent="0.2">
      <c r="A6" s="139" t="s">
        <v>429</v>
      </c>
      <c r="B6" s="139"/>
      <c r="C6" s="139"/>
      <c r="D6" s="139"/>
      <c r="E6" s="139"/>
      <c r="F6" s="140" t="str">
        <f>CONCATENATE("приказ ",RIGHT(Source!CQ12,LEN(Source!CQ12)-FIND("Минстроя",Source!CQ12,1)+1))</f>
        <v>приказ Минстроя России от 30 декабря 2021 г. № 1046/пр, в редакции приказа Минстроя России от 18.05.2022 г. № 378/пр, с учётом приказов Минстроя России от 26 августа 2022 г. № 703/пр, от 26 октября 2022 г. № 905/пр, от 27 декабря 2022 г. № 1133/пр, от 10 февраля 2023 г № 84/пр, от 11 мая 2023 г № 335/пр и от 02 августа 2023 г № 551/пр.</v>
      </c>
      <c r="G6" s="140"/>
      <c r="H6" s="140"/>
      <c r="I6" s="140"/>
      <c r="J6" s="140"/>
      <c r="K6" s="140"/>
      <c r="L6" s="140"/>
    </row>
    <row r="7" spans="1:12" ht="12.75" customHeight="1" x14ac:dyDescent="0.2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</row>
    <row r="8" spans="1:12" ht="78.599999999999994" customHeight="1" x14ac:dyDescent="0.2">
      <c r="A8" s="139" t="s">
        <v>430</v>
      </c>
      <c r="B8" s="139"/>
      <c r="C8" s="139"/>
      <c r="D8" s="139"/>
      <c r="E8" s="139"/>
      <c r="F8" s="140"/>
      <c r="G8" s="140"/>
      <c r="H8" s="140"/>
      <c r="I8" s="140"/>
      <c r="J8" s="140"/>
      <c r="K8" s="140"/>
      <c r="L8" s="140"/>
    </row>
    <row r="9" spans="1:12" ht="12.75" customHeight="1" x14ac:dyDescent="0.2">
      <c r="A9" s="11"/>
      <c r="B9" s="11"/>
      <c r="C9" s="11"/>
      <c r="D9" s="11"/>
      <c r="E9" s="11"/>
      <c r="F9" s="12"/>
      <c r="G9" s="12"/>
      <c r="H9" s="12"/>
      <c r="I9" s="12"/>
      <c r="J9" s="12"/>
      <c r="K9" s="12"/>
      <c r="L9" s="12"/>
    </row>
    <row r="10" spans="1:12" ht="38.25" customHeight="1" x14ac:dyDescent="0.2">
      <c r="A10" s="139" t="s">
        <v>431</v>
      </c>
      <c r="B10" s="139"/>
      <c r="C10" s="139"/>
      <c r="D10" s="139"/>
      <c r="E10" s="139"/>
      <c r="F10" s="140"/>
      <c r="G10" s="140"/>
      <c r="H10" s="140"/>
      <c r="I10" s="140"/>
      <c r="J10" s="140"/>
      <c r="K10" s="140"/>
      <c r="L10" s="140"/>
    </row>
    <row r="11" spans="1:12" ht="12.75" customHeight="1" x14ac:dyDescent="0.2">
      <c r="A11" s="14"/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</row>
    <row r="12" spans="1:12" ht="12.75" customHeight="1" x14ac:dyDescent="0.2">
      <c r="A12" s="139" t="s">
        <v>432</v>
      </c>
      <c r="B12" s="139"/>
      <c r="C12" s="139"/>
      <c r="D12" s="139"/>
      <c r="E12" s="139"/>
      <c r="F12" s="140"/>
      <c r="G12" s="140"/>
      <c r="H12" s="140"/>
      <c r="I12" s="140"/>
      <c r="J12" s="140"/>
      <c r="K12" s="140"/>
      <c r="L12" s="140"/>
    </row>
    <row r="13" spans="1:12" ht="12.75" customHeight="1" x14ac:dyDescent="0.2">
      <c r="A13" s="14"/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</row>
    <row r="14" spans="1:12" ht="12.75" customHeight="1" x14ac:dyDescent="0.2">
      <c r="A14" s="139" t="s">
        <v>433</v>
      </c>
      <c r="B14" s="139"/>
      <c r="C14" s="139"/>
      <c r="D14" s="139"/>
      <c r="E14" s="139"/>
      <c r="F14" s="140" t="str">
        <f>Source!CZ12</f>
        <v/>
      </c>
      <c r="G14" s="140"/>
      <c r="H14" s="140"/>
      <c r="I14" s="140"/>
      <c r="J14" s="140"/>
      <c r="K14" s="140"/>
      <c r="L14" s="140"/>
    </row>
    <row r="15" spans="1:12" ht="12.75" customHeight="1" x14ac:dyDescent="0.2">
      <c r="A15" s="14"/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2"/>
    </row>
    <row r="16" spans="1:12" ht="12.75" customHeight="1" x14ac:dyDescent="0.2">
      <c r="A16" s="139" t="s">
        <v>434</v>
      </c>
      <c r="B16" s="139"/>
      <c r="C16" s="139"/>
      <c r="D16" s="139"/>
      <c r="E16" s="139"/>
      <c r="F16" s="140" t="str">
        <f>IF(Source!DA12 &lt;&gt; "", Source!DA12, "")</f>
        <v/>
      </c>
      <c r="G16" s="140"/>
      <c r="H16" s="140"/>
      <c r="I16" s="140"/>
      <c r="J16" s="140"/>
      <c r="K16" s="140"/>
      <c r="L16" s="140"/>
    </row>
    <row r="17" spans="1:12" ht="12.75" customHeight="1" x14ac:dyDescent="0.2">
      <c r="A17" s="16"/>
      <c r="B17" s="16"/>
      <c r="C17" s="16"/>
      <c r="D17" s="16"/>
      <c r="E17" s="16"/>
      <c r="F17" s="17"/>
      <c r="G17" s="17"/>
      <c r="H17" s="17"/>
      <c r="I17" s="17"/>
      <c r="J17" s="17"/>
      <c r="K17" s="17"/>
      <c r="L17" s="17"/>
    </row>
    <row r="18" spans="1:12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5.75" customHeight="1" x14ac:dyDescent="0.2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</row>
    <row r="20" spans="1:12" ht="14.25" customHeight="1" x14ac:dyDescent="0.2">
      <c r="A20" s="142" t="s">
        <v>435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ht="14.2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ht="15.75" customHeight="1" x14ac:dyDescent="0.25">
      <c r="A22" s="141" t="s">
        <v>649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</row>
    <row r="23" spans="1:12" ht="14.25" customHeight="1" x14ac:dyDescent="0.2">
      <c r="A23" s="142" t="s">
        <v>436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ht="14.25" customHeight="1" x14ac:dyDescent="0.2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</row>
    <row r="25" spans="1:12" ht="15.75" customHeight="1" x14ac:dyDescent="0.25">
      <c r="A25" s="143" t="str">
        <f>CONCATENATE( "ЛОКАЛЬНАЯ СМЕТА № ", Source!L20, " ",Source!CM20)</f>
        <v xml:space="preserve">ЛОКАЛЬНАЯ СМЕТА № Новая локальная смета 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</row>
    <row r="26" spans="1:12" ht="15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0"/>
    </row>
    <row r="27" spans="1:12" ht="18" customHeight="1" x14ac:dyDescent="0.25">
      <c r="A27" s="144" t="str">
        <f>IF(Source!G20&lt;&gt;"Новая локальная смета", Source!G20, "")</f>
        <v/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</row>
    <row r="28" spans="1:12" ht="14.25" customHeight="1" x14ac:dyDescent="0.2">
      <c r="A28" s="142" t="s">
        <v>437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ht="14.2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4.2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ht="12.75" customHeight="1" x14ac:dyDescent="0.2">
      <c r="A31" s="10" t="s">
        <v>438</v>
      </c>
      <c r="B31" s="10"/>
      <c r="C31" s="23" t="s">
        <v>467</v>
      </c>
      <c r="D31" s="10" t="s">
        <v>439</v>
      </c>
      <c r="E31" s="10"/>
      <c r="F31" s="10"/>
      <c r="G31" s="10"/>
      <c r="H31" s="10"/>
      <c r="I31" s="10"/>
      <c r="J31" s="10"/>
      <c r="K31" s="10"/>
      <c r="L31" s="10"/>
    </row>
    <row r="32" spans="1:12" ht="12.75" customHeight="1" x14ac:dyDescent="0.2">
      <c r="A32" s="10"/>
      <c r="B32" s="10"/>
      <c r="C32" s="24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2.75" customHeight="1" x14ac:dyDescent="0.2">
      <c r="A33" s="10" t="s">
        <v>440</v>
      </c>
      <c r="B33" s="10"/>
      <c r="C33" s="145"/>
      <c r="D33" s="145"/>
      <c r="E33" s="145"/>
      <c r="F33" s="145"/>
      <c r="G33" s="145"/>
      <c r="H33" s="145"/>
      <c r="I33" s="145"/>
      <c r="J33" s="145"/>
      <c r="K33" s="145"/>
      <c r="L33" s="145"/>
    </row>
    <row r="34" spans="1:12" ht="12.75" customHeight="1" x14ac:dyDescent="0.2">
      <c r="A34" s="25"/>
      <c r="B34" s="26"/>
      <c r="C34" s="142" t="s">
        <v>441</v>
      </c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ht="14.2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ht="14.25" customHeight="1" x14ac:dyDescent="0.2">
      <c r="A36" s="27" t="s">
        <v>468</v>
      </c>
      <c r="B36" s="18"/>
      <c r="C36" s="18"/>
      <c r="D36" s="28"/>
      <c r="E36" s="18"/>
      <c r="F36" s="18"/>
      <c r="G36" s="18"/>
      <c r="H36" s="18"/>
      <c r="I36" s="18"/>
      <c r="J36" s="18"/>
      <c r="K36" s="18"/>
      <c r="L36" s="18"/>
    </row>
    <row r="37" spans="1:12" ht="14.2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ht="14.25" customHeight="1" x14ac:dyDescent="0.2">
      <c r="A38" s="27" t="s">
        <v>442</v>
      </c>
      <c r="B38" s="18"/>
      <c r="C38" s="161">
        <f>C41+C42+C43+C44</f>
        <v>325</v>
      </c>
      <c r="D38" s="162"/>
      <c r="E38" s="10" t="s">
        <v>443</v>
      </c>
      <c r="F38" s="16"/>
      <c r="G38" s="16"/>
      <c r="H38" s="16"/>
      <c r="I38" s="16"/>
      <c r="J38" s="16"/>
      <c r="K38" s="16"/>
      <c r="L38" s="18"/>
    </row>
    <row r="39" spans="1:12" ht="14.25" customHeight="1" x14ac:dyDescent="0.2">
      <c r="A39" s="27"/>
      <c r="B39" s="18"/>
      <c r="C39" s="67"/>
      <c r="D39" s="29"/>
      <c r="E39" s="10"/>
      <c r="F39" s="16"/>
      <c r="G39" s="10" t="s">
        <v>444</v>
      </c>
      <c r="H39" s="18"/>
      <c r="I39" s="10"/>
      <c r="J39" s="10"/>
      <c r="K39" s="69">
        <f>ROUND(SUM(AR52:AR641)/1000, 2)</f>
        <v>79.44</v>
      </c>
      <c r="L39" s="10" t="s">
        <v>443</v>
      </c>
    </row>
    <row r="40" spans="1:12" ht="14.25" customHeight="1" x14ac:dyDescent="0.2">
      <c r="A40" s="18"/>
      <c r="B40" s="30" t="s">
        <v>445</v>
      </c>
      <c r="C40" s="68"/>
      <c r="D40" s="18"/>
      <c r="E40" s="10"/>
      <c r="F40" s="16"/>
      <c r="G40" s="10" t="s">
        <v>446</v>
      </c>
      <c r="H40" s="18"/>
      <c r="I40" s="10"/>
      <c r="J40" s="10"/>
      <c r="K40" s="69">
        <f>ROUND(SUM(AT52:AT641)/1000, 2)</f>
        <v>0.52</v>
      </c>
      <c r="L40" s="10" t="s">
        <v>443</v>
      </c>
    </row>
    <row r="41" spans="1:12" ht="14.25" customHeight="1" x14ac:dyDescent="0.2">
      <c r="A41" s="18"/>
      <c r="B41" s="27" t="s">
        <v>447</v>
      </c>
      <c r="C41" s="161">
        <f>ROUND((Source!F205)/1000, 2)</f>
        <v>302.91000000000003</v>
      </c>
      <c r="D41" s="162"/>
      <c r="E41" s="10" t="s">
        <v>443</v>
      </c>
      <c r="F41" s="16"/>
      <c r="G41" s="10" t="s">
        <v>448</v>
      </c>
      <c r="H41" s="18"/>
      <c r="I41" s="10"/>
      <c r="J41" s="29"/>
      <c r="K41" s="70">
        <f>Source!F210</f>
        <v>336.12007495</v>
      </c>
      <c r="L41" s="10" t="s">
        <v>278</v>
      </c>
    </row>
    <row r="42" spans="1:12" ht="14.25" customHeight="1" x14ac:dyDescent="0.2">
      <c r="A42" s="18"/>
      <c r="B42" s="27" t="s">
        <v>449</v>
      </c>
      <c r="C42" s="161">
        <f>ROUND((Source!F206)/1000, 2)</f>
        <v>22.09</v>
      </c>
      <c r="D42" s="162"/>
      <c r="E42" s="10" t="s">
        <v>443</v>
      </c>
      <c r="F42" s="16"/>
      <c r="G42" s="10" t="s">
        <v>450</v>
      </c>
      <c r="H42" s="18"/>
      <c r="I42" s="10"/>
      <c r="J42" s="31"/>
      <c r="K42" s="70">
        <f>Source!F211</f>
        <v>1.9966502500000001</v>
      </c>
      <c r="L42" s="10" t="s">
        <v>278</v>
      </c>
    </row>
    <row r="43" spans="1:12" ht="14.25" customHeight="1" x14ac:dyDescent="0.2">
      <c r="A43" s="18"/>
      <c r="B43" s="27" t="s">
        <v>451</v>
      </c>
      <c r="C43" s="161">
        <f>ROUND((Source!F197)/1000, 2)</f>
        <v>0</v>
      </c>
      <c r="D43" s="162"/>
      <c r="E43" s="10" t="s">
        <v>443</v>
      </c>
      <c r="F43" s="16"/>
      <c r="G43" s="10"/>
      <c r="H43" s="10"/>
      <c r="I43" s="10"/>
      <c r="J43" s="10"/>
      <c r="K43" s="16"/>
      <c r="L43" s="10"/>
    </row>
    <row r="44" spans="1:12" ht="14.25" customHeight="1" x14ac:dyDescent="0.2">
      <c r="A44" s="18"/>
      <c r="B44" s="27" t="s">
        <v>452</v>
      </c>
      <c r="C44" s="161">
        <f>ROUND((Source!F207)/1000, 2)</f>
        <v>0</v>
      </c>
      <c r="D44" s="162"/>
      <c r="E44" s="10" t="s">
        <v>443</v>
      </c>
      <c r="F44" s="16"/>
      <c r="G44" s="10"/>
      <c r="H44" s="10"/>
      <c r="I44" s="10"/>
      <c r="J44" s="10"/>
      <c r="K44" s="16"/>
      <c r="L44" s="10"/>
    </row>
    <row r="45" spans="1:12" ht="14.2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ht="12.75" customHeight="1" x14ac:dyDescent="0.2">
      <c r="A46" s="147" t="s">
        <v>453</v>
      </c>
      <c r="B46" s="147" t="s">
        <v>454</v>
      </c>
      <c r="C46" s="147" t="s">
        <v>455</v>
      </c>
      <c r="D46" s="147" t="s">
        <v>456</v>
      </c>
      <c r="E46" s="150" t="s">
        <v>457</v>
      </c>
      <c r="F46" s="151"/>
      <c r="G46" s="152"/>
      <c r="H46" s="150" t="s">
        <v>458</v>
      </c>
      <c r="I46" s="151"/>
      <c r="J46" s="151"/>
      <c r="K46" s="151"/>
      <c r="L46" s="152"/>
    </row>
    <row r="47" spans="1:12" ht="12.75" customHeight="1" x14ac:dyDescent="0.2">
      <c r="A47" s="148"/>
      <c r="B47" s="148"/>
      <c r="C47" s="148"/>
      <c r="D47" s="148"/>
      <c r="E47" s="153"/>
      <c r="F47" s="154"/>
      <c r="G47" s="155"/>
      <c r="H47" s="159"/>
      <c r="I47" s="154"/>
      <c r="J47" s="154"/>
      <c r="K47" s="154"/>
      <c r="L47" s="155"/>
    </row>
    <row r="48" spans="1:12" ht="12.75" customHeight="1" x14ac:dyDescent="0.2">
      <c r="A48" s="148"/>
      <c r="B48" s="148"/>
      <c r="C48" s="148"/>
      <c r="D48" s="148"/>
      <c r="E48" s="153"/>
      <c r="F48" s="154"/>
      <c r="G48" s="155"/>
      <c r="H48" s="159"/>
      <c r="I48" s="154"/>
      <c r="J48" s="154"/>
      <c r="K48" s="154"/>
      <c r="L48" s="155"/>
    </row>
    <row r="49" spans="1:82" ht="12.75" customHeight="1" x14ac:dyDescent="0.2">
      <c r="A49" s="148"/>
      <c r="B49" s="148"/>
      <c r="C49" s="148"/>
      <c r="D49" s="148"/>
      <c r="E49" s="156"/>
      <c r="F49" s="157"/>
      <c r="G49" s="158"/>
      <c r="H49" s="160"/>
      <c r="I49" s="157"/>
      <c r="J49" s="157"/>
      <c r="K49" s="157"/>
      <c r="L49" s="158"/>
    </row>
    <row r="50" spans="1:82" ht="51" customHeight="1" x14ac:dyDescent="0.2">
      <c r="A50" s="149"/>
      <c r="B50" s="149"/>
      <c r="C50" s="149"/>
      <c r="D50" s="149"/>
      <c r="E50" s="33" t="s">
        <v>459</v>
      </c>
      <c r="F50" s="33" t="s">
        <v>460</v>
      </c>
      <c r="G50" s="34" t="s">
        <v>461</v>
      </c>
      <c r="H50" s="33" t="s">
        <v>462</v>
      </c>
      <c r="I50" s="33" t="s">
        <v>463</v>
      </c>
      <c r="J50" s="33" t="s">
        <v>464</v>
      </c>
      <c r="K50" s="33" t="s">
        <v>460</v>
      </c>
      <c r="L50" s="33" t="s">
        <v>465</v>
      </c>
    </row>
    <row r="51" spans="1:82" ht="14.25" customHeight="1" x14ac:dyDescent="0.2">
      <c r="A51" s="35">
        <v>1</v>
      </c>
      <c r="B51" s="35">
        <v>2</v>
      </c>
      <c r="C51" s="35">
        <v>3</v>
      </c>
      <c r="D51" s="35">
        <v>4</v>
      </c>
      <c r="E51" s="35">
        <v>5</v>
      </c>
      <c r="F51" s="35">
        <v>6</v>
      </c>
      <c r="G51" s="35">
        <v>7</v>
      </c>
      <c r="H51" s="35">
        <v>8</v>
      </c>
      <c r="I51" s="35">
        <v>9</v>
      </c>
      <c r="J51" s="35">
        <v>10</v>
      </c>
      <c r="K51" s="37">
        <v>11</v>
      </c>
      <c r="L51" s="37">
        <v>12</v>
      </c>
    </row>
    <row r="52" spans="1:82" ht="28.5" x14ac:dyDescent="0.2">
      <c r="A52" s="38" t="s">
        <v>14</v>
      </c>
      <c r="B52" s="40" t="s">
        <v>469</v>
      </c>
      <c r="C52" s="40" t="str">
        <f>Source!G24</f>
        <v>Разборка плинтусов: деревянных и из пластмассовых материалов</v>
      </c>
      <c r="D52" s="41" t="str">
        <f>Source!H24</f>
        <v>100 м</v>
      </c>
      <c r="E52" s="44">
        <f>Source!K24</f>
        <v>0.33400000000000002</v>
      </c>
      <c r="F52" s="39"/>
      <c r="G52" s="44">
        <f>Source!I24</f>
        <v>0.33400000000000002</v>
      </c>
      <c r="H52" s="45"/>
      <c r="I52" s="43"/>
      <c r="J52" s="45"/>
      <c r="K52" s="40"/>
      <c r="L52" s="45"/>
    </row>
    <row r="53" spans="1:82" ht="15" x14ac:dyDescent="0.2">
      <c r="A53" s="39"/>
      <c r="B53" s="42">
        <v>1</v>
      </c>
      <c r="C53" s="39" t="s">
        <v>470</v>
      </c>
      <c r="D53" s="41" t="s">
        <v>278</v>
      </c>
      <c r="E53" s="44"/>
      <c r="F53" s="42"/>
      <c r="G53" s="44">
        <f>Source!U24</f>
        <v>1.2591800000000002</v>
      </c>
      <c r="H53" s="42"/>
      <c r="I53" s="42"/>
      <c r="J53" s="42"/>
      <c r="K53" s="42"/>
      <c r="L53" s="46">
        <f>SUM(L54:L54)-SUMIF(CE54:CE54, 1, L54:L54)</f>
        <v>273.57</v>
      </c>
    </row>
    <row r="54" spans="1:82" ht="28.5" x14ac:dyDescent="0.2">
      <c r="A54" s="40"/>
      <c r="B54" s="40" t="s">
        <v>276</v>
      </c>
      <c r="C54" s="40" t="s">
        <v>277</v>
      </c>
      <c r="D54" s="41" t="s">
        <v>278</v>
      </c>
      <c r="E54" s="44">
        <v>3.77</v>
      </c>
      <c r="F54" s="39"/>
      <c r="G54" s="44">
        <f>SmtRes!CX1</f>
        <v>1.25918</v>
      </c>
      <c r="H54" s="45"/>
      <c r="I54" s="43"/>
      <c r="J54" s="45">
        <f>SmtRes!CZ1</f>
        <v>217.26</v>
      </c>
      <c r="K54" s="40"/>
      <c r="L54" s="45">
        <f>SmtRes!DI1</f>
        <v>273.57</v>
      </c>
    </row>
    <row r="55" spans="1:82" ht="15" x14ac:dyDescent="0.2">
      <c r="A55" s="39"/>
      <c r="B55" s="42">
        <v>4</v>
      </c>
      <c r="C55" s="47" t="s">
        <v>471</v>
      </c>
      <c r="D55" s="48"/>
      <c r="E55" s="49"/>
      <c r="F55" s="50"/>
      <c r="G55" s="49"/>
      <c r="H55" s="50"/>
      <c r="I55" s="50"/>
      <c r="J55" s="50"/>
      <c r="K55" s="50"/>
      <c r="L55" s="51">
        <f>0</f>
        <v>0</v>
      </c>
    </row>
    <row r="56" spans="1:82" ht="15" x14ac:dyDescent="0.2">
      <c r="A56" s="40"/>
      <c r="B56" s="40"/>
      <c r="C56" s="53" t="s">
        <v>472</v>
      </c>
      <c r="D56" s="41"/>
      <c r="E56" s="44"/>
      <c r="F56" s="39"/>
      <c r="G56" s="44"/>
      <c r="H56" s="45"/>
      <c r="I56" s="43"/>
      <c r="J56" s="45"/>
      <c r="K56" s="40"/>
      <c r="L56" s="45">
        <f>L53+L55</f>
        <v>273.57</v>
      </c>
    </row>
    <row r="57" spans="1:82" ht="14.25" x14ac:dyDescent="0.2">
      <c r="A57" s="40"/>
      <c r="B57" s="40"/>
      <c r="C57" s="40" t="s">
        <v>473</v>
      </c>
      <c r="D57" s="41"/>
      <c r="E57" s="44"/>
      <c r="F57" s="39"/>
      <c r="G57" s="44"/>
      <c r="H57" s="45"/>
      <c r="I57" s="43"/>
      <c r="J57" s="45"/>
      <c r="K57" s="40"/>
      <c r="L57" s="45">
        <f>SUM(AR52:AR60)+SUM(AS52:AS60)+SUM(AT52:AT60)+SUM(AU52:AU60)+SUM(AV52:AV60)</f>
        <v>273.57</v>
      </c>
    </row>
    <row r="58" spans="1:82" ht="14.25" x14ac:dyDescent="0.2">
      <c r="A58" s="40"/>
      <c r="B58" s="40" t="s">
        <v>22</v>
      </c>
      <c r="C58" s="40" t="s">
        <v>474</v>
      </c>
      <c r="D58" s="41" t="s">
        <v>384</v>
      </c>
      <c r="E58" s="44">
        <f>Source!BZ24</f>
        <v>89</v>
      </c>
      <c r="F58" s="39"/>
      <c r="G58" s="44">
        <f>Source!AT24</f>
        <v>89</v>
      </c>
      <c r="H58" s="45"/>
      <c r="I58" s="43"/>
      <c r="J58" s="45"/>
      <c r="K58" s="40"/>
      <c r="L58" s="45">
        <f>SUM(AZ52:AZ60)</f>
        <v>243.48</v>
      </c>
    </row>
    <row r="59" spans="1:82" ht="14.25" x14ac:dyDescent="0.2">
      <c r="A59" s="55"/>
      <c r="B59" s="55" t="s">
        <v>23</v>
      </c>
      <c r="C59" s="55" t="s">
        <v>475</v>
      </c>
      <c r="D59" s="48" t="s">
        <v>384</v>
      </c>
      <c r="E59" s="49">
        <f>Source!CA24</f>
        <v>49</v>
      </c>
      <c r="F59" s="47"/>
      <c r="G59" s="49">
        <f>Source!AU24</f>
        <v>49</v>
      </c>
      <c r="H59" s="56"/>
      <c r="I59" s="57"/>
      <c r="J59" s="56"/>
      <c r="K59" s="55"/>
      <c r="L59" s="56">
        <f>SUM(BA52:BA60)</f>
        <v>134.05000000000001</v>
      </c>
    </row>
    <row r="60" spans="1:82" ht="15" x14ac:dyDescent="0.2">
      <c r="C60" s="163" t="s">
        <v>476</v>
      </c>
      <c r="D60" s="163"/>
      <c r="E60" s="163"/>
      <c r="F60" s="163"/>
      <c r="G60" s="163"/>
      <c r="H60" s="163"/>
      <c r="I60" s="164">
        <f>K60/E52</f>
        <v>1949.40119760479</v>
      </c>
      <c r="J60" s="164"/>
      <c r="K60" s="164">
        <f>L53+L55+L58+L59</f>
        <v>651.09999999999991</v>
      </c>
      <c r="L60" s="164"/>
      <c r="AD60">
        <f>ROUND((Source!AT24/100)*((ROUND(SUMIF(SmtRes!AQ1:'SmtRes'!AQ2,"=1",SmtRes!AD1:'SmtRes'!AD2)*Source!I24, 2)+ROUND(SUMIF(SmtRes!AQ1:'SmtRes'!AQ2,"=1",SmtRes!AC1:'SmtRes'!AC2)*Source!I24, 2))), 2)</f>
        <v>64.58</v>
      </c>
      <c r="AE60">
        <f>ROUND((Source!AU24/100)*((ROUND(SUMIF(SmtRes!AQ1:'SmtRes'!AQ2,"=1",SmtRes!AD1:'SmtRes'!AD2)*Source!I24, 2)+ROUND(SUMIF(SmtRes!AQ1:'SmtRes'!AQ2,"=1",SmtRes!AC1:'SmtRes'!AC2)*Source!I24, 2))), 2)</f>
        <v>35.549999999999997</v>
      </c>
      <c r="AN60" s="52">
        <f>L53+L55+L58+L59</f>
        <v>651.09999999999991</v>
      </c>
      <c r="AO60">
        <f>0</f>
        <v>0</v>
      </c>
      <c r="AQ60" t="s">
        <v>477</v>
      </c>
      <c r="AR60" s="52">
        <f>L53</f>
        <v>273.57</v>
      </c>
      <c r="AT60">
        <f>0</f>
        <v>0</v>
      </c>
      <c r="AV60" t="s">
        <v>477</v>
      </c>
      <c r="AW60" s="52">
        <f>L55</f>
        <v>0</v>
      </c>
      <c r="AZ60">
        <f>Source!X24</f>
        <v>243.48</v>
      </c>
      <c r="BA60">
        <f>Source!Y24</f>
        <v>134.05000000000001</v>
      </c>
      <c r="CD60">
        <v>1</v>
      </c>
    </row>
    <row r="61" spans="1:82" ht="119.25" x14ac:dyDescent="0.2">
      <c r="A61" s="38" t="s">
        <v>24</v>
      </c>
      <c r="B61" s="40" t="s">
        <v>478</v>
      </c>
      <c r="C61" s="40" t="s">
        <v>479</v>
      </c>
      <c r="D61" s="41" t="str">
        <f>Source!H25</f>
        <v>100 м</v>
      </c>
      <c r="E61" s="44">
        <f>Source!K25</f>
        <v>0.33400000000000002</v>
      </c>
      <c r="F61" s="39"/>
      <c r="G61" s="44">
        <f>Source!I25</f>
        <v>0.33400000000000002</v>
      </c>
      <c r="H61" s="45"/>
      <c r="I61" s="43"/>
      <c r="J61" s="45"/>
      <c r="K61" s="40"/>
      <c r="L61" s="45"/>
    </row>
    <row r="62" spans="1:82" ht="15" x14ac:dyDescent="0.2">
      <c r="A62" s="39"/>
      <c r="B62" s="42">
        <v>1</v>
      </c>
      <c r="C62" s="39" t="s">
        <v>470</v>
      </c>
      <c r="D62" s="41" t="s">
        <v>278</v>
      </c>
      <c r="E62" s="44"/>
      <c r="F62" s="42"/>
      <c r="G62" s="44">
        <f>Source!U25</f>
        <v>2.565788</v>
      </c>
      <c r="H62" s="42"/>
      <c r="I62" s="42"/>
      <c r="J62" s="42"/>
      <c r="K62" s="42"/>
      <c r="L62" s="46">
        <f>SUM(L63:L63)-SUMIF(CE63:CE63, 1, L63:L63)</f>
        <v>654.61</v>
      </c>
    </row>
    <row r="63" spans="1:82" ht="28.5" x14ac:dyDescent="0.2">
      <c r="A63" s="40"/>
      <c r="B63" s="40" t="s">
        <v>282</v>
      </c>
      <c r="C63" s="40" t="s">
        <v>283</v>
      </c>
      <c r="D63" s="41" t="s">
        <v>278</v>
      </c>
      <c r="E63" s="44">
        <v>6.68</v>
      </c>
      <c r="F63" s="39">
        <f>ROUND(1.15,7)</f>
        <v>1.1499999999999999</v>
      </c>
      <c r="G63" s="44">
        <f>SmtRes!CX3</f>
        <v>2.565788</v>
      </c>
      <c r="H63" s="45"/>
      <c r="I63" s="43"/>
      <c r="J63" s="45">
        <f>SmtRes!CZ3</f>
        <v>255.13</v>
      </c>
      <c r="K63" s="40"/>
      <c r="L63" s="45">
        <f>SmtRes!DI3</f>
        <v>654.61</v>
      </c>
    </row>
    <row r="64" spans="1:82" ht="15" x14ac:dyDescent="0.2">
      <c r="A64" s="39"/>
      <c r="B64" s="42">
        <v>2</v>
      </c>
      <c r="C64" s="39" t="s">
        <v>480</v>
      </c>
      <c r="D64" s="41"/>
      <c r="E64" s="44"/>
      <c r="F64" s="42"/>
      <c r="G64" s="44"/>
      <c r="H64" s="42"/>
      <c r="I64" s="42"/>
      <c r="J64" s="42"/>
      <c r="K64" s="42"/>
      <c r="L64" s="46">
        <f>SUM(L65:L69)-SUMIF(CE65:CE69, 1, L65:L69)</f>
        <v>6.8600000000000012</v>
      </c>
    </row>
    <row r="65" spans="1:83" ht="15" x14ac:dyDescent="0.2">
      <c r="A65" s="39"/>
      <c r="B65" s="42"/>
      <c r="C65" s="39" t="s">
        <v>483</v>
      </c>
      <c r="D65" s="41" t="s">
        <v>278</v>
      </c>
      <c r="E65" s="44"/>
      <c r="F65" s="42"/>
      <c r="G65" s="44">
        <f>Source!V25</f>
        <v>1.6700000000000003E-2</v>
      </c>
      <c r="H65" s="42"/>
      <c r="I65" s="42"/>
      <c r="J65" s="42"/>
      <c r="K65" s="42"/>
      <c r="L65" s="46">
        <f>SUMIF(CE66:CE69, 1, L66:L69)</f>
        <v>3.85</v>
      </c>
      <c r="CE65">
        <v>1</v>
      </c>
    </row>
    <row r="66" spans="1:83" ht="42.75" x14ac:dyDescent="0.2">
      <c r="A66" s="40"/>
      <c r="B66" s="40" t="s">
        <v>286</v>
      </c>
      <c r="C66" s="40" t="s">
        <v>288</v>
      </c>
      <c r="D66" s="41" t="s">
        <v>289</v>
      </c>
      <c r="E66" s="44">
        <v>5.0000000000000001E-3</v>
      </c>
      <c r="F66" s="39">
        <f>ROUND(1.25,7)</f>
        <v>1.25</v>
      </c>
      <c r="G66" s="44">
        <f>SmtRes!CX5</f>
        <v>2.0874999999999999E-3</v>
      </c>
      <c r="H66" s="45">
        <f>SmtRes!CZ5</f>
        <v>37.32</v>
      </c>
      <c r="I66" s="43">
        <f>SmtRes!AJ5</f>
        <v>1.31</v>
      </c>
      <c r="J66" s="45">
        <f>ROUND(H66*I66, 2)</f>
        <v>48.89</v>
      </c>
      <c r="K66" s="40"/>
      <c r="L66" s="45">
        <f>SmtRes!DG5</f>
        <v>0.1</v>
      </c>
    </row>
    <row r="67" spans="1:83" ht="28.5" x14ac:dyDescent="0.2">
      <c r="A67" s="40"/>
      <c r="B67" s="40" t="s">
        <v>290</v>
      </c>
      <c r="C67" s="40" t="s">
        <v>481</v>
      </c>
      <c r="D67" s="41" t="s">
        <v>278</v>
      </c>
      <c r="E67" s="44">
        <f>SmtRes!DO5*SmtRes!AT5</f>
        <v>5.0000000000000001E-3</v>
      </c>
      <c r="F67" s="39">
        <f>ROUND(1.25,7)</f>
        <v>1.25</v>
      </c>
      <c r="G67" s="44">
        <f>SmtRes!DO5*SmtRes!CX5</f>
        <v>2.0874999999999999E-3</v>
      </c>
      <c r="H67" s="45"/>
      <c r="I67" s="43"/>
      <c r="J67" s="45">
        <f>ROUND(SmtRes!AG5/SmtRes!DO5, 2)</f>
        <v>237.19</v>
      </c>
      <c r="K67" s="40"/>
      <c r="L67" s="45">
        <f>SmtRes!DH5</f>
        <v>0.5</v>
      </c>
      <c r="CE67">
        <v>1</v>
      </c>
    </row>
    <row r="68" spans="1:83" ht="28.5" x14ac:dyDescent="0.2">
      <c r="A68" s="40"/>
      <c r="B68" s="40" t="s">
        <v>291</v>
      </c>
      <c r="C68" s="40" t="s">
        <v>293</v>
      </c>
      <c r="D68" s="41" t="s">
        <v>289</v>
      </c>
      <c r="E68" s="44">
        <v>0.03</v>
      </c>
      <c r="F68" s="39">
        <f>ROUND(1.25,7)</f>
        <v>1.25</v>
      </c>
      <c r="G68" s="44">
        <f>SmtRes!CX6</f>
        <v>1.2525E-2</v>
      </c>
      <c r="H68" s="45">
        <f>SmtRes!CZ6</f>
        <v>477.92</v>
      </c>
      <c r="I68" s="43">
        <f>SmtRes!AJ6</f>
        <v>1.1299999999999999</v>
      </c>
      <c r="J68" s="45">
        <f>ROUND(H68*I68, 2)</f>
        <v>540.04999999999995</v>
      </c>
      <c r="K68" s="40"/>
      <c r="L68" s="45">
        <f>SmtRes!DG6</f>
        <v>6.76</v>
      </c>
    </row>
    <row r="69" spans="1:83" ht="28.5" x14ac:dyDescent="0.2">
      <c r="A69" s="40"/>
      <c r="B69" s="40" t="s">
        <v>294</v>
      </c>
      <c r="C69" s="40" t="s">
        <v>482</v>
      </c>
      <c r="D69" s="41" t="s">
        <v>278</v>
      </c>
      <c r="E69" s="44">
        <f>SmtRes!DO6*SmtRes!AT6</f>
        <v>0.03</v>
      </c>
      <c r="F69" s="39">
        <f>ROUND(1.25,7)</f>
        <v>1.25</v>
      </c>
      <c r="G69" s="44">
        <f>SmtRes!DO6*SmtRes!CX6</f>
        <v>1.2525E-2</v>
      </c>
      <c r="H69" s="45"/>
      <c r="I69" s="43"/>
      <c r="J69" s="45">
        <f>ROUND(SmtRes!AG6/SmtRes!DO6, 2)</f>
        <v>267.08999999999997</v>
      </c>
      <c r="K69" s="40"/>
      <c r="L69" s="45">
        <f>SmtRes!DH6</f>
        <v>3.35</v>
      </c>
      <c r="CE69">
        <v>1</v>
      </c>
    </row>
    <row r="70" spans="1:83" ht="15" x14ac:dyDescent="0.2">
      <c r="A70" s="39"/>
      <c r="B70" s="42">
        <v>4</v>
      </c>
      <c r="C70" s="39" t="s">
        <v>471</v>
      </c>
      <c r="D70" s="41"/>
      <c r="E70" s="44"/>
      <c r="F70" s="42"/>
      <c r="G70" s="44"/>
      <c r="H70" s="42"/>
      <c r="I70" s="42"/>
      <c r="J70" s="42"/>
      <c r="K70" s="42"/>
      <c r="L70" s="46">
        <f>SUM(L71:L77)-SUMIF(CE71:CE77, 1, L71:L77)</f>
        <v>12462.93</v>
      </c>
    </row>
    <row r="71" spans="1:83" ht="14.25" x14ac:dyDescent="0.2">
      <c r="A71" s="40"/>
      <c r="B71" s="40" t="s">
        <v>295</v>
      </c>
      <c r="C71" s="40" t="s">
        <v>297</v>
      </c>
      <c r="D71" s="41" t="s">
        <v>298</v>
      </c>
      <c r="E71" s="44">
        <v>2.5407999999999999</v>
      </c>
      <c r="F71" s="39"/>
      <c r="G71" s="44">
        <f>SmtRes!CX7</f>
        <v>0.84862720000000003</v>
      </c>
      <c r="H71" s="45"/>
      <c r="I71" s="43"/>
      <c r="J71" s="45">
        <f>SmtRes!CZ7</f>
        <v>6.92</v>
      </c>
      <c r="K71" s="40"/>
      <c r="L71" s="45">
        <f>SmtRes!DF7</f>
        <v>5.87</v>
      </c>
    </row>
    <row r="72" spans="1:83" ht="28.5" x14ac:dyDescent="0.2">
      <c r="A72" s="40"/>
      <c r="B72" s="40" t="s">
        <v>299</v>
      </c>
      <c r="C72" s="40" t="s">
        <v>301</v>
      </c>
      <c r="D72" s="41" t="s">
        <v>302</v>
      </c>
      <c r="E72" s="44">
        <v>0.26300000000000001</v>
      </c>
      <c r="F72" s="39"/>
      <c r="G72" s="44">
        <f>SmtRes!CX8</f>
        <v>8.7842000000000003E-2</v>
      </c>
      <c r="H72" s="45">
        <f>SmtRes!CZ8</f>
        <v>174.13</v>
      </c>
      <c r="I72" s="43">
        <f>SmtRes!AI8</f>
        <v>1.01</v>
      </c>
      <c r="J72" s="45">
        <f>ROUND(H72*I72, 2)</f>
        <v>175.87</v>
      </c>
      <c r="K72" s="40"/>
      <c r="L72" s="45">
        <f>SmtRes!DF8</f>
        <v>15.45</v>
      </c>
    </row>
    <row r="73" spans="1:83" ht="71.25" x14ac:dyDescent="0.2">
      <c r="A73" s="40"/>
      <c r="B73" s="40" t="s">
        <v>303</v>
      </c>
      <c r="C73" s="40" t="s">
        <v>305</v>
      </c>
      <c r="D73" s="41" t="s">
        <v>162</v>
      </c>
      <c r="E73" s="44">
        <v>2.63</v>
      </c>
      <c r="F73" s="39"/>
      <c r="G73" s="44">
        <f>SmtRes!CX9</f>
        <v>0.87841999999999998</v>
      </c>
      <c r="H73" s="45">
        <f>SmtRes!CZ9</f>
        <v>23.03</v>
      </c>
      <c r="I73" s="43">
        <f>SmtRes!AI9</f>
        <v>1.01</v>
      </c>
      <c r="J73" s="45">
        <f>ROUND(H73*I73, 2)</f>
        <v>23.26</v>
      </c>
      <c r="K73" s="40"/>
      <c r="L73" s="45">
        <f>SmtRes!DF9</f>
        <v>20.43</v>
      </c>
    </row>
    <row r="74" spans="1:83" ht="14.25" x14ac:dyDescent="0.2">
      <c r="A74" s="40"/>
      <c r="B74" s="40" t="s">
        <v>306</v>
      </c>
      <c r="C74" s="40" t="s">
        <v>307</v>
      </c>
      <c r="D74" s="41" t="s">
        <v>308</v>
      </c>
      <c r="E74" s="44">
        <v>101</v>
      </c>
      <c r="F74" s="39"/>
      <c r="G74" s="44">
        <f>SmtRes!CX10</f>
        <v>33.734000000000002</v>
      </c>
      <c r="H74" s="45">
        <f>SmtRes!CZ10</f>
        <v>357</v>
      </c>
      <c r="I74" s="43"/>
      <c r="J74" s="45"/>
      <c r="K74" s="40"/>
      <c r="L74" s="45">
        <f>SmtRes!DF10</f>
        <v>12043.04</v>
      </c>
    </row>
    <row r="75" spans="1:83" ht="28.5" x14ac:dyDescent="0.2">
      <c r="A75" s="40"/>
      <c r="B75" s="40" t="s">
        <v>309</v>
      </c>
      <c r="C75" s="40" t="s">
        <v>311</v>
      </c>
      <c r="D75" s="41" t="s">
        <v>162</v>
      </c>
      <c r="E75" s="44">
        <v>0.16</v>
      </c>
      <c r="F75" s="39"/>
      <c r="G75" s="44">
        <f>SmtRes!CX11</f>
        <v>5.3440000000000001E-2</v>
      </c>
      <c r="H75" s="45">
        <f>SmtRes!CZ11</f>
        <v>1815.16</v>
      </c>
      <c r="I75" s="43">
        <f>SmtRes!AI11</f>
        <v>1.08</v>
      </c>
      <c r="J75" s="45">
        <f>ROUND(H75*I75, 2)</f>
        <v>1960.37</v>
      </c>
      <c r="K75" s="40"/>
      <c r="L75" s="45">
        <f>SmtRes!DF11</f>
        <v>104.76</v>
      </c>
    </row>
    <row r="76" spans="1:83" ht="28.5" x14ac:dyDescent="0.2">
      <c r="A76" s="40"/>
      <c r="B76" s="40" t="s">
        <v>312</v>
      </c>
      <c r="C76" s="40" t="s">
        <v>314</v>
      </c>
      <c r="D76" s="41" t="s">
        <v>162</v>
      </c>
      <c r="E76" s="44">
        <v>0.4</v>
      </c>
      <c r="F76" s="39"/>
      <c r="G76" s="44">
        <f>SmtRes!CX12</f>
        <v>0.1336</v>
      </c>
      <c r="H76" s="45">
        <f>SmtRes!CZ12</f>
        <v>1448.4</v>
      </c>
      <c r="I76" s="43">
        <f>SmtRes!AI12</f>
        <v>1.08</v>
      </c>
      <c r="J76" s="45">
        <f>ROUND(H76*I76, 2)</f>
        <v>1564.27</v>
      </c>
      <c r="K76" s="40"/>
      <c r="L76" s="45">
        <f>SmtRes!DF12</f>
        <v>208.99</v>
      </c>
    </row>
    <row r="77" spans="1:83" ht="28.5" x14ac:dyDescent="0.2">
      <c r="A77" s="40"/>
      <c r="B77" s="40" t="s">
        <v>315</v>
      </c>
      <c r="C77" s="40" t="s">
        <v>317</v>
      </c>
      <c r="D77" s="41" t="s">
        <v>162</v>
      </c>
      <c r="E77" s="44">
        <v>0.14000000000000001</v>
      </c>
      <c r="F77" s="39"/>
      <c r="G77" s="44">
        <f>SmtRes!CX13</f>
        <v>4.6760000000000003E-2</v>
      </c>
      <c r="H77" s="45">
        <f>SmtRes!CZ13</f>
        <v>1275.1199999999999</v>
      </c>
      <c r="I77" s="43">
        <f>SmtRes!AI13</f>
        <v>1.08</v>
      </c>
      <c r="J77" s="45">
        <f>ROUND(H77*I77, 2)</f>
        <v>1377.13</v>
      </c>
      <c r="K77" s="40"/>
      <c r="L77" s="45">
        <f>SmtRes!DF13</f>
        <v>64.39</v>
      </c>
    </row>
    <row r="78" spans="1:83" ht="14.25" x14ac:dyDescent="0.2">
      <c r="A78" s="40"/>
      <c r="B78" s="40" t="str">
        <f>EtalonRes!I10</f>
        <v>11.3.03.06</v>
      </c>
      <c r="C78" s="55" t="str">
        <f>EtalonRes!K10</f>
        <v>Плинтуса для полов пластиковые</v>
      </c>
      <c r="D78" s="48" t="str">
        <f>EtalonRes!O10</f>
        <v>м</v>
      </c>
      <c r="E78" s="49">
        <f>EtalonRes!X10</f>
        <v>101</v>
      </c>
      <c r="F78" s="47"/>
      <c r="G78" s="49">
        <f>ROUND(EtalonRes!AG10*Source!I25, 7)</f>
        <v>33.734000000000002</v>
      </c>
      <c r="H78" s="56"/>
      <c r="I78" s="57"/>
      <c r="J78" s="56"/>
      <c r="K78" s="55"/>
      <c r="L78" s="56"/>
    </row>
    <row r="79" spans="1:83" ht="15" x14ac:dyDescent="0.2">
      <c r="A79" s="40"/>
      <c r="B79" s="40"/>
      <c r="C79" s="53" t="s">
        <v>472</v>
      </c>
      <c r="D79" s="41"/>
      <c r="E79" s="44"/>
      <c r="F79" s="39"/>
      <c r="G79" s="44"/>
      <c r="H79" s="45"/>
      <c r="I79" s="43"/>
      <c r="J79" s="45"/>
      <c r="K79" s="40"/>
      <c r="L79" s="45">
        <f>L62+L64+L65+L70</f>
        <v>13128.25</v>
      </c>
    </row>
    <row r="80" spans="1:83" ht="14.25" x14ac:dyDescent="0.2">
      <c r="A80" s="40"/>
      <c r="B80" s="40"/>
      <c r="C80" s="40" t="s">
        <v>473</v>
      </c>
      <c r="D80" s="41"/>
      <c r="E80" s="44"/>
      <c r="F80" s="39"/>
      <c r="G80" s="44"/>
      <c r="H80" s="45"/>
      <c r="I80" s="43"/>
      <c r="J80" s="45"/>
      <c r="K80" s="40"/>
      <c r="L80" s="45">
        <f>SUM(AR61:AR83)+SUM(AS61:AS83)+SUM(AT61:AT83)+SUM(AU61:AU83)+SUM(AV61:AV83)</f>
        <v>658.46</v>
      </c>
    </row>
    <row r="81" spans="1:83" ht="28.5" x14ac:dyDescent="0.2">
      <c r="A81" s="40"/>
      <c r="B81" s="40" t="s">
        <v>484</v>
      </c>
      <c r="C81" s="40" t="s">
        <v>474</v>
      </c>
      <c r="D81" s="41" t="s">
        <v>384</v>
      </c>
      <c r="E81" s="44">
        <f>Source!BZ25</f>
        <v>112</v>
      </c>
      <c r="F81" s="39">
        <f>ROUND(0.9,7)</f>
        <v>0.9</v>
      </c>
      <c r="G81" s="44">
        <f>Source!AT25</f>
        <v>100.8</v>
      </c>
      <c r="H81" s="45"/>
      <c r="I81" s="43"/>
      <c r="J81" s="45"/>
      <c r="K81" s="40"/>
      <c r="L81" s="45">
        <f>SUM(AZ61:AZ83)</f>
        <v>663.73</v>
      </c>
    </row>
    <row r="82" spans="1:83" ht="28.5" x14ac:dyDescent="0.2">
      <c r="A82" s="55"/>
      <c r="B82" s="55" t="s">
        <v>485</v>
      </c>
      <c r="C82" s="55" t="s">
        <v>475</v>
      </c>
      <c r="D82" s="48" t="s">
        <v>384</v>
      </c>
      <c r="E82" s="49">
        <f>Source!CA25</f>
        <v>65</v>
      </c>
      <c r="F82" s="47">
        <f>ROUND(0.85,7)</f>
        <v>0.85</v>
      </c>
      <c r="G82" s="49">
        <f>Source!AU25</f>
        <v>55.25</v>
      </c>
      <c r="H82" s="56"/>
      <c r="I82" s="57"/>
      <c r="J82" s="56"/>
      <c r="K82" s="55"/>
      <c r="L82" s="56">
        <f>SUM(BA61:BA83)</f>
        <v>363.8</v>
      </c>
    </row>
    <row r="83" spans="1:83" ht="15" x14ac:dyDescent="0.2">
      <c r="C83" s="163" t="s">
        <v>476</v>
      </c>
      <c r="D83" s="163"/>
      <c r="E83" s="163"/>
      <c r="F83" s="163"/>
      <c r="G83" s="163"/>
      <c r="H83" s="163"/>
      <c r="I83" s="164">
        <f>K83/E61</f>
        <v>42382.574850299396</v>
      </c>
      <c r="J83" s="164"/>
      <c r="K83" s="164">
        <f>L62+L64+L70+L81+L82+L65</f>
        <v>14155.779999999999</v>
      </c>
      <c r="L83" s="164"/>
      <c r="AD83">
        <f>ROUND((Source!AT25/100)*((ROUND(SUMIF(SmtRes!AQ3:'SmtRes'!AQ13,"=1",SmtRes!AD3:'SmtRes'!AD13)*Source!I25, 2)+ROUND(SUMIF(SmtRes!AQ3:'SmtRes'!AQ13,"=1",SmtRes!AC3:'SmtRes'!AC13)*Source!I25, 2))), 2)</f>
        <v>255.67</v>
      </c>
      <c r="AE83">
        <f>ROUND((Source!AU25/100)*((ROUND(SUMIF(SmtRes!AQ3:'SmtRes'!AQ13,"=1",SmtRes!AD3:'SmtRes'!AD13)*Source!I25, 2)+ROUND(SUMIF(SmtRes!AQ3:'SmtRes'!AQ13,"=1",SmtRes!AC3:'SmtRes'!AC13)*Source!I25, 2))), 2)</f>
        <v>140.13999999999999</v>
      </c>
      <c r="AN83" s="52">
        <f>L62+L64+L70+L81+L82+L65</f>
        <v>14155.779999999999</v>
      </c>
      <c r="AO83" s="52">
        <f>L64</f>
        <v>6.8600000000000012</v>
      </c>
      <c r="AQ83" t="s">
        <v>477</v>
      </c>
      <c r="AR83" s="52">
        <f>L62</f>
        <v>654.61</v>
      </c>
      <c r="AT83" s="52">
        <f>L65</f>
        <v>3.85</v>
      </c>
      <c r="AV83" t="s">
        <v>477</v>
      </c>
      <c r="AW83" s="52">
        <f>L70</f>
        <v>12462.93</v>
      </c>
      <c r="AZ83">
        <f>Source!X25</f>
        <v>663.73</v>
      </c>
      <c r="BA83">
        <f>Source!Y25</f>
        <v>363.8</v>
      </c>
      <c r="CD83">
        <v>1</v>
      </c>
    </row>
    <row r="84" spans="1:83" ht="92.25" x14ac:dyDescent="0.2">
      <c r="A84" s="38" t="s">
        <v>36</v>
      </c>
      <c r="B84" s="40" t="s">
        <v>486</v>
      </c>
      <c r="C84" s="40" t="s">
        <v>487</v>
      </c>
      <c r="D84" s="41" t="str">
        <f>Source!H26</f>
        <v>100 м2</v>
      </c>
      <c r="E84" s="44">
        <f>Source!K26</f>
        <v>0.65</v>
      </c>
      <c r="F84" s="39"/>
      <c r="G84" s="44">
        <f>Source!I26</f>
        <v>0.65</v>
      </c>
      <c r="H84" s="45"/>
      <c r="I84" s="43"/>
      <c r="J84" s="45"/>
      <c r="K84" s="40"/>
      <c r="L84" s="45"/>
    </row>
    <row r="85" spans="1:83" ht="15" x14ac:dyDescent="0.2">
      <c r="A85" s="39"/>
      <c r="B85" s="42">
        <v>1</v>
      </c>
      <c r="C85" s="39" t="s">
        <v>470</v>
      </c>
      <c r="D85" s="41" t="s">
        <v>278</v>
      </c>
      <c r="E85" s="44"/>
      <c r="F85" s="42"/>
      <c r="G85" s="44">
        <f>Source!U26</f>
        <v>11.726000000000003</v>
      </c>
      <c r="H85" s="42"/>
      <c r="I85" s="42"/>
      <c r="J85" s="42"/>
      <c r="K85" s="42"/>
      <c r="L85" s="46">
        <f>SUM(L86:L86)-SUMIF(CE86:CE86, 1, L86:L86)</f>
        <v>2781.29</v>
      </c>
    </row>
    <row r="86" spans="1:83" ht="28.5" x14ac:dyDescent="0.2">
      <c r="A86" s="40"/>
      <c r="B86" s="40" t="s">
        <v>318</v>
      </c>
      <c r="C86" s="40" t="s">
        <v>319</v>
      </c>
      <c r="D86" s="41" t="s">
        <v>278</v>
      </c>
      <c r="E86" s="44">
        <v>22.55</v>
      </c>
      <c r="F86" s="39">
        <f>ROUND(0.8,7)</f>
        <v>0.8</v>
      </c>
      <c r="G86" s="44">
        <f>SmtRes!CX14</f>
        <v>11.726000000000001</v>
      </c>
      <c r="H86" s="45"/>
      <c r="I86" s="43"/>
      <c r="J86" s="45">
        <f>SmtRes!CZ14</f>
        <v>237.19</v>
      </c>
      <c r="K86" s="40"/>
      <c r="L86" s="45">
        <f>SmtRes!DI14</f>
        <v>2781.29</v>
      </c>
    </row>
    <row r="87" spans="1:83" ht="15" x14ac:dyDescent="0.2">
      <c r="A87" s="39"/>
      <c r="B87" s="42">
        <v>2</v>
      </c>
      <c r="C87" s="39" t="s">
        <v>480</v>
      </c>
      <c r="D87" s="41"/>
      <c r="E87" s="44"/>
      <c r="F87" s="42"/>
      <c r="G87" s="44"/>
      <c r="H87" s="42"/>
      <c r="I87" s="42"/>
      <c r="J87" s="42"/>
      <c r="K87" s="42"/>
      <c r="L87" s="46">
        <f>SUM(L88:L90)-SUMIF(CE88:CE90, 1, L88:L90)</f>
        <v>28.08</v>
      </c>
    </row>
    <row r="88" spans="1:83" ht="15" x14ac:dyDescent="0.2">
      <c r="A88" s="39"/>
      <c r="B88" s="42"/>
      <c r="C88" s="39" t="s">
        <v>483</v>
      </c>
      <c r="D88" s="41" t="s">
        <v>278</v>
      </c>
      <c r="E88" s="44"/>
      <c r="F88" s="42"/>
      <c r="G88" s="44">
        <f>Source!V26</f>
        <v>5.2000000000000011E-2</v>
      </c>
      <c r="H88" s="42"/>
      <c r="I88" s="42"/>
      <c r="J88" s="42"/>
      <c r="K88" s="42"/>
      <c r="L88" s="46">
        <f>SUMIF(CE89:CE90, 1, L89:L90)</f>
        <v>13.89</v>
      </c>
      <c r="CE88">
        <v>1</v>
      </c>
    </row>
    <row r="89" spans="1:83" ht="28.5" x14ac:dyDescent="0.2">
      <c r="A89" s="40"/>
      <c r="B89" s="40" t="s">
        <v>291</v>
      </c>
      <c r="C89" s="40" t="s">
        <v>293</v>
      </c>
      <c r="D89" s="41" t="s">
        <v>289</v>
      </c>
      <c r="E89" s="44">
        <v>0.1</v>
      </c>
      <c r="F89" s="39">
        <f>ROUND(0.8,7)</f>
        <v>0.8</v>
      </c>
      <c r="G89" s="44">
        <f>SmtRes!CX16</f>
        <v>5.1999999999999998E-2</v>
      </c>
      <c r="H89" s="45">
        <f>SmtRes!CZ16</f>
        <v>477.92</v>
      </c>
      <c r="I89" s="43">
        <f>SmtRes!AJ16</f>
        <v>1.1299999999999999</v>
      </c>
      <c r="J89" s="45">
        <f>ROUND(H89*I89, 2)</f>
        <v>540.04999999999995</v>
      </c>
      <c r="K89" s="40"/>
      <c r="L89" s="45">
        <f>SmtRes!DG16</f>
        <v>28.08</v>
      </c>
    </row>
    <row r="90" spans="1:83" ht="28.5" x14ac:dyDescent="0.2">
      <c r="A90" s="40"/>
      <c r="B90" s="40" t="s">
        <v>294</v>
      </c>
      <c r="C90" s="40" t="s">
        <v>482</v>
      </c>
      <c r="D90" s="41" t="s">
        <v>278</v>
      </c>
      <c r="E90" s="44">
        <f>SmtRes!DO16*SmtRes!AT16</f>
        <v>0.1</v>
      </c>
      <c r="F90" s="39">
        <f>ROUND(0.8,7)</f>
        <v>0.8</v>
      </c>
      <c r="G90" s="44">
        <f>SmtRes!DO16*SmtRes!CX16</f>
        <v>5.1999999999999998E-2</v>
      </c>
      <c r="H90" s="45"/>
      <c r="I90" s="43"/>
      <c r="J90" s="45">
        <f>ROUND(SmtRes!AG16/SmtRes!DO16, 2)</f>
        <v>267.08999999999997</v>
      </c>
      <c r="K90" s="40"/>
      <c r="L90" s="45">
        <f>SmtRes!DH16</f>
        <v>13.89</v>
      </c>
      <c r="CE90">
        <v>1</v>
      </c>
    </row>
    <row r="91" spans="1:83" ht="15" x14ac:dyDescent="0.2">
      <c r="A91" s="39"/>
      <c r="B91" s="42">
        <v>4</v>
      </c>
      <c r="C91" s="39" t="s">
        <v>471</v>
      </c>
      <c r="D91" s="41"/>
      <c r="E91" s="44"/>
      <c r="F91" s="42"/>
      <c r="G91" s="44"/>
      <c r="H91" s="42"/>
      <c r="I91" s="42"/>
      <c r="J91" s="42"/>
      <c r="K91" s="42"/>
      <c r="L91" s="46">
        <f>0</f>
        <v>0</v>
      </c>
    </row>
    <row r="92" spans="1:83" ht="28.5" x14ac:dyDescent="0.2">
      <c r="A92" s="40"/>
      <c r="B92" s="40" t="str">
        <f>EtalonRes!I18</f>
        <v>11.2.03.02</v>
      </c>
      <c r="C92" s="55" t="str">
        <f>EtalonRes!K18</f>
        <v>Покрытие напольное ламинированное (ламинат)</v>
      </c>
      <c r="D92" s="48" t="str">
        <f>EtalonRes!O18</f>
        <v>м2</v>
      </c>
      <c r="E92" s="49">
        <f>EtalonRes!X18</f>
        <v>102.5</v>
      </c>
      <c r="F92" s="47">
        <f>ROUND(0,7)</f>
        <v>0</v>
      </c>
      <c r="G92" s="49">
        <f>ROUND(EtalonRes!AG18*Source!I26, 7)</f>
        <v>0</v>
      </c>
      <c r="H92" s="56"/>
      <c r="I92" s="57"/>
      <c r="J92" s="56"/>
      <c r="K92" s="55"/>
      <c r="L92" s="56"/>
    </row>
    <row r="93" spans="1:83" ht="15" x14ac:dyDescent="0.2">
      <c r="A93" s="40"/>
      <c r="B93" s="40"/>
      <c r="C93" s="53" t="s">
        <v>472</v>
      </c>
      <c r="D93" s="41"/>
      <c r="E93" s="44"/>
      <c r="F93" s="39"/>
      <c r="G93" s="44"/>
      <c r="H93" s="45"/>
      <c r="I93" s="43"/>
      <c r="J93" s="45"/>
      <c r="K93" s="40"/>
      <c r="L93" s="45">
        <f>L85+L87+L88+L91</f>
        <v>2823.2599999999998</v>
      </c>
    </row>
    <row r="94" spans="1:83" ht="14.25" x14ac:dyDescent="0.2">
      <c r="A94" s="40"/>
      <c r="B94" s="40"/>
      <c r="C94" s="40" t="s">
        <v>473</v>
      </c>
      <c r="D94" s="41"/>
      <c r="E94" s="44"/>
      <c r="F94" s="39"/>
      <c r="G94" s="44"/>
      <c r="H94" s="45"/>
      <c r="I94" s="43"/>
      <c r="J94" s="45"/>
      <c r="K94" s="40"/>
      <c r="L94" s="45">
        <f>SUM(AR84:AR97)+SUM(AS84:AS97)+SUM(AT84:AT97)+SUM(AU84:AU97)+SUM(AV84:AV97)</f>
        <v>2795.18</v>
      </c>
    </row>
    <row r="95" spans="1:83" ht="14.25" x14ac:dyDescent="0.2">
      <c r="A95" s="40"/>
      <c r="B95" s="40" t="s">
        <v>34</v>
      </c>
      <c r="C95" s="40" t="s">
        <v>474</v>
      </c>
      <c r="D95" s="41" t="s">
        <v>384</v>
      </c>
      <c r="E95" s="44">
        <f>Source!BZ26</f>
        <v>112</v>
      </c>
      <c r="F95" s="39"/>
      <c r="G95" s="44">
        <f>Source!AT26</f>
        <v>112</v>
      </c>
      <c r="H95" s="45"/>
      <c r="I95" s="43"/>
      <c r="J95" s="45"/>
      <c r="K95" s="40"/>
      <c r="L95" s="45">
        <f>SUM(AZ84:AZ97)</f>
        <v>3130.6</v>
      </c>
    </row>
    <row r="96" spans="1:83" ht="14.25" x14ac:dyDescent="0.2">
      <c r="A96" s="55"/>
      <c r="B96" s="55" t="s">
        <v>35</v>
      </c>
      <c r="C96" s="55" t="s">
        <v>475</v>
      </c>
      <c r="D96" s="48" t="s">
        <v>384</v>
      </c>
      <c r="E96" s="49">
        <f>Source!CA26</f>
        <v>65</v>
      </c>
      <c r="F96" s="47"/>
      <c r="G96" s="49">
        <f>Source!AU26</f>
        <v>65</v>
      </c>
      <c r="H96" s="56"/>
      <c r="I96" s="57"/>
      <c r="J96" s="56"/>
      <c r="K96" s="55"/>
      <c r="L96" s="56">
        <f>SUM(BA84:BA97)</f>
        <v>1816.87</v>
      </c>
    </row>
    <row r="97" spans="1:83" ht="15" x14ac:dyDescent="0.2">
      <c r="C97" s="163" t="s">
        <v>476</v>
      </c>
      <c r="D97" s="163"/>
      <c r="E97" s="163"/>
      <c r="F97" s="163"/>
      <c r="G97" s="163"/>
      <c r="H97" s="163"/>
      <c r="I97" s="164">
        <f>K97/E84</f>
        <v>11954.969230769229</v>
      </c>
      <c r="J97" s="164"/>
      <c r="K97" s="164">
        <f>L85+L87+L91+L95+L96+L88</f>
        <v>7770.73</v>
      </c>
      <c r="L97" s="164"/>
      <c r="AD97">
        <f>ROUND((Source!AT26/100)*((ROUND(SUMIF(SmtRes!AQ14:'SmtRes'!AQ19,"=1",SmtRes!AD14:'SmtRes'!AD19)*Source!I26, 2)+ROUND(SUMIF(SmtRes!AQ14:'SmtRes'!AQ19,"=1",SmtRes!AC14:'SmtRes'!AC19)*Source!I26, 2))), 2)</f>
        <v>367.11</v>
      </c>
      <c r="AE97">
        <f>ROUND((Source!AU26/100)*((ROUND(SUMIF(SmtRes!AQ14:'SmtRes'!AQ19,"=1",SmtRes!AD14:'SmtRes'!AD19)*Source!I26, 2)+ROUND(SUMIF(SmtRes!AQ14:'SmtRes'!AQ19,"=1",SmtRes!AC14:'SmtRes'!AC19)*Source!I26, 2))), 2)</f>
        <v>213.06</v>
      </c>
      <c r="AN97" s="52">
        <f>L85+L87+L91+L95+L96+L88</f>
        <v>7770.73</v>
      </c>
      <c r="AO97" s="52">
        <f>L87</f>
        <v>28.08</v>
      </c>
      <c r="AQ97" t="s">
        <v>477</v>
      </c>
      <c r="AR97" s="52">
        <f>L85</f>
        <v>2781.29</v>
      </c>
      <c r="AT97" s="52">
        <f>L88</f>
        <v>13.89</v>
      </c>
      <c r="AV97" t="s">
        <v>477</v>
      </c>
      <c r="AW97" s="52">
        <f>L91</f>
        <v>0</v>
      </c>
      <c r="AZ97">
        <f>Source!X26</f>
        <v>3130.6</v>
      </c>
      <c r="BA97">
        <f>Source!Y26</f>
        <v>1816.87</v>
      </c>
      <c r="CD97">
        <v>1</v>
      </c>
    </row>
    <row r="98" spans="1:83" ht="105" x14ac:dyDescent="0.2">
      <c r="A98" s="38" t="s">
        <v>43</v>
      </c>
      <c r="B98" s="40" t="s">
        <v>486</v>
      </c>
      <c r="C98" s="40" t="s">
        <v>488</v>
      </c>
      <c r="D98" s="41" t="str">
        <f>Source!H27</f>
        <v>100 м2</v>
      </c>
      <c r="E98" s="44">
        <f>Source!K27</f>
        <v>0.65</v>
      </c>
      <c r="F98" s="39"/>
      <c r="G98" s="44">
        <f>Source!I27</f>
        <v>0.65</v>
      </c>
      <c r="H98" s="45"/>
      <c r="I98" s="43"/>
      <c r="J98" s="45"/>
      <c r="K98" s="40"/>
      <c r="L98" s="45"/>
    </row>
    <row r="99" spans="1:83" ht="15" x14ac:dyDescent="0.2">
      <c r="A99" s="39"/>
      <c r="B99" s="42">
        <v>1</v>
      </c>
      <c r="C99" s="39" t="s">
        <v>470</v>
      </c>
      <c r="D99" s="41" t="s">
        <v>278</v>
      </c>
      <c r="E99" s="44"/>
      <c r="F99" s="42"/>
      <c r="G99" s="44">
        <f>Source!U27</f>
        <v>16.856124999999999</v>
      </c>
      <c r="H99" s="42"/>
      <c r="I99" s="42"/>
      <c r="J99" s="42"/>
      <c r="K99" s="42"/>
      <c r="L99" s="46">
        <f>SUM(L100:L100)-SUMIF(CE100:CE100, 1, L100:L100)</f>
        <v>3998.1</v>
      </c>
    </row>
    <row r="100" spans="1:83" ht="28.5" x14ac:dyDescent="0.2">
      <c r="A100" s="40"/>
      <c r="B100" s="40" t="s">
        <v>318</v>
      </c>
      <c r="C100" s="40" t="s">
        <v>319</v>
      </c>
      <c r="D100" s="41" t="s">
        <v>278</v>
      </c>
      <c r="E100" s="44">
        <v>22.55</v>
      </c>
      <c r="F100" s="39">
        <f>ROUND(1.15,7)</f>
        <v>1.1499999999999999</v>
      </c>
      <c r="G100" s="44">
        <f>SmtRes!CX20</f>
        <v>16.856124999999999</v>
      </c>
      <c r="H100" s="45"/>
      <c r="I100" s="43"/>
      <c r="J100" s="45">
        <f>SmtRes!CZ20</f>
        <v>237.19</v>
      </c>
      <c r="K100" s="40"/>
      <c r="L100" s="45">
        <f>SmtRes!DI20</f>
        <v>3998.1</v>
      </c>
    </row>
    <row r="101" spans="1:83" ht="15" x14ac:dyDescent="0.2">
      <c r="A101" s="39"/>
      <c r="B101" s="42">
        <v>2</v>
      </c>
      <c r="C101" s="39" t="s">
        <v>480</v>
      </c>
      <c r="D101" s="41"/>
      <c r="E101" s="44"/>
      <c r="F101" s="42"/>
      <c r="G101" s="44"/>
      <c r="H101" s="42"/>
      <c r="I101" s="42"/>
      <c r="J101" s="42"/>
      <c r="K101" s="42"/>
      <c r="L101" s="46">
        <f>SUM(L102:L104)-SUMIF(CE102:CE104, 1, L102:L104)</f>
        <v>43.88</v>
      </c>
    </row>
    <row r="102" spans="1:83" ht="15" x14ac:dyDescent="0.2">
      <c r="A102" s="39"/>
      <c r="B102" s="42"/>
      <c r="C102" s="39" t="s">
        <v>483</v>
      </c>
      <c r="D102" s="41" t="s">
        <v>278</v>
      </c>
      <c r="E102" s="44"/>
      <c r="F102" s="42"/>
      <c r="G102" s="44">
        <f>Source!V27</f>
        <v>8.1250000000000003E-2</v>
      </c>
      <c r="H102" s="42"/>
      <c r="I102" s="42"/>
      <c r="J102" s="42"/>
      <c r="K102" s="42"/>
      <c r="L102" s="46">
        <f>SUMIF(CE103:CE104, 1, L103:L104)</f>
        <v>21.7</v>
      </c>
      <c r="CE102">
        <v>1</v>
      </c>
    </row>
    <row r="103" spans="1:83" ht="28.5" x14ac:dyDescent="0.2">
      <c r="A103" s="40"/>
      <c r="B103" s="40" t="s">
        <v>291</v>
      </c>
      <c r="C103" s="40" t="s">
        <v>293</v>
      </c>
      <c r="D103" s="41" t="s">
        <v>289</v>
      </c>
      <c r="E103" s="44">
        <v>0.1</v>
      </c>
      <c r="F103" s="39">
        <f>ROUND(1.25,7)</f>
        <v>1.25</v>
      </c>
      <c r="G103" s="44">
        <f>SmtRes!CX22</f>
        <v>8.1250000000000003E-2</v>
      </c>
      <c r="H103" s="45">
        <f>SmtRes!CZ22</f>
        <v>477.92</v>
      </c>
      <c r="I103" s="43">
        <f>SmtRes!AJ22</f>
        <v>1.1299999999999999</v>
      </c>
      <c r="J103" s="45">
        <f>ROUND(H103*I103, 2)</f>
        <v>540.04999999999995</v>
      </c>
      <c r="K103" s="40"/>
      <c r="L103" s="45">
        <f>SmtRes!DG22</f>
        <v>43.88</v>
      </c>
    </row>
    <row r="104" spans="1:83" ht="28.5" x14ac:dyDescent="0.2">
      <c r="A104" s="40"/>
      <c r="B104" s="40" t="s">
        <v>294</v>
      </c>
      <c r="C104" s="40" t="s">
        <v>482</v>
      </c>
      <c r="D104" s="41" t="s">
        <v>278</v>
      </c>
      <c r="E104" s="44">
        <f>SmtRes!DO22*SmtRes!AT22</f>
        <v>0.1</v>
      </c>
      <c r="F104" s="39">
        <f>ROUND(1.25,7)</f>
        <v>1.25</v>
      </c>
      <c r="G104" s="44">
        <f>SmtRes!DO22*SmtRes!CX22</f>
        <v>8.1250000000000003E-2</v>
      </c>
      <c r="H104" s="45"/>
      <c r="I104" s="43"/>
      <c r="J104" s="45">
        <f>ROUND(SmtRes!AG22/SmtRes!DO22, 2)</f>
        <v>267.08999999999997</v>
      </c>
      <c r="K104" s="40"/>
      <c r="L104" s="45">
        <f>SmtRes!DH22</f>
        <v>21.7</v>
      </c>
      <c r="CE104">
        <v>1</v>
      </c>
    </row>
    <row r="105" spans="1:83" ht="15" x14ac:dyDescent="0.2">
      <c r="A105" s="39"/>
      <c r="B105" s="42">
        <v>4</v>
      </c>
      <c r="C105" s="39" t="s">
        <v>471</v>
      </c>
      <c r="D105" s="41"/>
      <c r="E105" s="44"/>
      <c r="F105" s="42"/>
      <c r="G105" s="44"/>
      <c r="H105" s="42"/>
      <c r="I105" s="42"/>
      <c r="J105" s="42"/>
      <c r="K105" s="42"/>
      <c r="L105" s="46">
        <f>SUM(L106:L108)-SUMIF(CE106:CE108, 1, L106:L108)</f>
        <v>68155.11</v>
      </c>
    </row>
    <row r="106" spans="1:83" ht="14.25" x14ac:dyDescent="0.2">
      <c r="A106" s="40"/>
      <c r="B106" s="40" t="s">
        <v>295</v>
      </c>
      <c r="C106" s="40" t="s">
        <v>297</v>
      </c>
      <c r="D106" s="41" t="s">
        <v>298</v>
      </c>
      <c r="E106" s="44">
        <v>0.58099999999999996</v>
      </c>
      <c r="F106" s="39"/>
      <c r="G106" s="44">
        <f>SmtRes!CX23</f>
        <v>0.37764999999999999</v>
      </c>
      <c r="H106" s="45"/>
      <c r="I106" s="43"/>
      <c r="J106" s="45">
        <f>SmtRes!CZ23</f>
        <v>6.92</v>
      </c>
      <c r="K106" s="40"/>
      <c r="L106" s="45">
        <f>SmtRes!DF23</f>
        <v>2.61</v>
      </c>
    </row>
    <row r="107" spans="1:83" ht="14.25" x14ac:dyDescent="0.2">
      <c r="A107" s="40"/>
      <c r="B107" s="40" t="s">
        <v>326</v>
      </c>
      <c r="C107" s="40" t="s">
        <v>327</v>
      </c>
      <c r="D107" s="41" t="s">
        <v>49</v>
      </c>
      <c r="E107" s="44">
        <v>105</v>
      </c>
      <c r="F107" s="39"/>
      <c r="G107" s="44">
        <f>SmtRes!CX24</f>
        <v>68.25</v>
      </c>
      <c r="H107" s="45">
        <f>SmtRes!CZ24</f>
        <v>120</v>
      </c>
      <c r="I107" s="43"/>
      <c r="J107" s="45"/>
      <c r="K107" s="40"/>
      <c r="L107" s="45">
        <f>SmtRes!DF24</f>
        <v>8190</v>
      </c>
    </row>
    <row r="108" spans="1:83" ht="28.5" x14ac:dyDescent="0.2">
      <c r="A108" s="40"/>
      <c r="B108" s="40" t="s">
        <v>326</v>
      </c>
      <c r="C108" s="40" t="s">
        <v>328</v>
      </c>
      <c r="D108" s="41" t="s">
        <v>49</v>
      </c>
      <c r="E108" s="44">
        <v>102.5</v>
      </c>
      <c r="F108" s="39"/>
      <c r="G108" s="44">
        <f>SmtRes!CX25</f>
        <v>66.625</v>
      </c>
      <c r="H108" s="45">
        <f>SmtRes!CZ25</f>
        <v>900</v>
      </c>
      <c r="I108" s="43"/>
      <c r="J108" s="45"/>
      <c r="K108" s="40"/>
      <c r="L108" s="45">
        <f>SmtRes!DF25</f>
        <v>59962.5</v>
      </c>
    </row>
    <row r="109" spans="1:83" ht="28.5" x14ac:dyDescent="0.2">
      <c r="A109" s="40"/>
      <c r="B109" s="40" t="str">
        <f>EtalonRes!I24</f>
        <v>11.2.03.02</v>
      </c>
      <c r="C109" s="55" t="str">
        <f>EtalonRes!K24</f>
        <v>Покрытие напольное ламинированное (ламинат)</v>
      </c>
      <c r="D109" s="48" t="str">
        <f>EtalonRes!O24</f>
        <v>м2</v>
      </c>
      <c r="E109" s="49">
        <f>EtalonRes!X24</f>
        <v>102.5</v>
      </c>
      <c r="F109" s="47"/>
      <c r="G109" s="49">
        <f>ROUND(EtalonRes!AG24*Source!I27, 7)</f>
        <v>66.625</v>
      </c>
      <c r="H109" s="56"/>
      <c r="I109" s="57"/>
      <c r="J109" s="56"/>
      <c r="K109" s="55"/>
      <c r="L109" s="56"/>
    </row>
    <row r="110" spans="1:83" ht="15" x14ac:dyDescent="0.2">
      <c r="A110" s="40"/>
      <c r="B110" s="40"/>
      <c r="C110" s="53" t="s">
        <v>472</v>
      </c>
      <c r="D110" s="41"/>
      <c r="E110" s="44"/>
      <c r="F110" s="39"/>
      <c r="G110" s="44"/>
      <c r="H110" s="45"/>
      <c r="I110" s="43"/>
      <c r="J110" s="45"/>
      <c r="K110" s="40"/>
      <c r="L110" s="45">
        <f>L99+L101+L102+L105</f>
        <v>72218.789999999994</v>
      </c>
    </row>
    <row r="111" spans="1:83" ht="14.25" x14ac:dyDescent="0.2">
      <c r="A111" s="40"/>
      <c r="B111" s="40"/>
      <c r="C111" s="40" t="s">
        <v>473</v>
      </c>
      <c r="D111" s="41"/>
      <c r="E111" s="44"/>
      <c r="F111" s="39"/>
      <c r="G111" s="44"/>
      <c r="H111" s="45"/>
      <c r="I111" s="43"/>
      <c r="J111" s="45"/>
      <c r="K111" s="40"/>
      <c r="L111" s="45">
        <f>SUM(AR98:AR114)+SUM(AS98:AS114)+SUM(AT98:AT114)+SUM(AU98:AU114)+SUM(AV98:AV114)</f>
        <v>4019.7999999999997</v>
      </c>
    </row>
    <row r="112" spans="1:83" ht="28.5" x14ac:dyDescent="0.2">
      <c r="A112" s="40"/>
      <c r="B112" s="40" t="s">
        <v>484</v>
      </c>
      <c r="C112" s="40" t="s">
        <v>474</v>
      </c>
      <c r="D112" s="41" t="s">
        <v>384</v>
      </c>
      <c r="E112" s="44">
        <f>Source!BZ27</f>
        <v>112</v>
      </c>
      <c r="F112" s="39">
        <f>ROUND(0.9,7)</f>
        <v>0.9</v>
      </c>
      <c r="G112" s="44">
        <f>Source!AT27</f>
        <v>100.8</v>
      </c>
      <c r="H112" s="45"/>
      <c r="I112" s="43"/>
      <c r="J112" s="45"/>
      <c r="K112" s="40"/>
      <c r="L112" s="45">
        <f>SUM(AZ98:AZ114)</f>
        <v>4051.96</v>
      </c>
    </row>
    <row r="113" spans="1:82" ht="28.5" x14ac:dyDescent="0.2">
      <c r="A113" s="55"/>
      <c r="B113" s="55" t="s">
        <v>485</v>
      </c>
      <c r="C113" s="55" t="s">
        <v>475</v>
      </c>
      <c r="D113" s="48" t="s">
        <v>384</v>
      </c>
      <c r="E113" s="49">
        <f>Source!CA27</f>
        <v>65</v>
      </c>
      <c r="F113" s="47">
        <f>ROUND(0.85,7)</f>
        <v>0.85</v>
      </c>
      <c r="G113" s="49">
        <f>Source!AU27</f>
        <v>55.25</v>
      </c>
      <c r="H113" s="56"/>
      <c r="I113" s="57"/>
      <c r="J113" s="56"/>
      <c r="K113" s="55"/>
      <c r="L113" s="56">
        <f>SUM(BA98:BA114)</f>
        <v>2220.94</v>
      </c>
    </row>
    <row r="114" spans="1:82" ht="15" x14ac:dyDescent="0.2">
      <c r="C114" s="163" t="s">
        <v>476</v>
      </c>
      <c r="D114" s="163"/>
      <c r="E114" s="163"/>
      <c r="F114" s="163"/>
      <c r="G114" s="163"/>
      <c r="H114" s="163"/>
      <c r="I114" s="164">
        <f>K114/E98</f>
        <v>120756.44615384615</v>
      </c>
      <c r="J114" s="164"/>
      <c r="K114" s="164">
        <f>L99+L101+L105+L112+L113+L102</f>
        <v>78491.69</v>
      </c>
      <c r="L114" s="164"/>
      <c r="AD114">
        <f>ROUND((Source!AT27/100)*((ROUND(SUMIF(SmtRes!AQ20:'SmtRes'!AQ25,"=1",SmtRes!AD20:'SmtRes'!AD25)*Source!I27, 2)+ROUND(SUMIF(SmtRes!AQ20:'SmtRes'!AQ25,"=1",SmtRes!AC20:'SmtRes'!AC25)*Source!I27, 2))), 2)</f>
        <v>330.4</v>
      </c>
      <c r="AE114">
        <f>ROUND((Source!AU27/100)*((ROUND(SUMIF(SmtRes!AQ20:'SmtRes'!AQ25,"=1",SmtRes!AD20:'SmtRes'!AD25)*Source!I27, 2)+ROUND(SUMIF(SmtRes!AQ20:'SmtRes'!AQ25,"=1",SmtRes!AC20:'SmtRes'!AC25)*Source!I27, 2))), 2)</f>
        <v>181.1</v>
      </c>
      <c r="AN114" s="52">
        <f>L99+L101+L105+L112+L113+L102</f>
        <v>78491.69</v>
      </c>
      <c r="AO114" s="52">
        <f>L101</f>
        <v>43.88</v>
      </c>
      <c r="AQ114" t="s">
        <v>477</v>
      </c>
      <c r="AR114" s="52">
        <f>L99</f>
        <v>3998.1</v>
      </c>
      <c r="AT114" s="52">
        <f>L102</f>
        <v>21.7</v>
      </c>
      <c r="AV114" t="s">
        <v>477</v>
      </c>
      <c r="AW114" s="52">
        <f>L105</f>
        <v>68155.11</v>
      </c>
      <c r="AZ114">
        <f>Source!X27</f>
        <v>4051.96</v>
      </c>
      <c r="BA114">
        <f>Source!Y27</f>
        <v>2220.94</v>
      </c>
      <c r="CD114">
        <v>1</v>
      </c>
    </row>
    <row r="116" spans="1:82" ht="16.5" x14ac:dyDescent="0.2">
      <c r="A116" s="165" t="s">
        <v>489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</row>
    <row r="117" spans="1:82" ht="28.5" x14ac:dyDescent="0.2">
      <c r="A117" s="38" t="s">
        <v>14</v>
      </c>
      <c r="B117" s="40" t="s">
        <v>490</v>
      </c>
      <c r="C117" s="40" t="str">
        <f>Source!G33</f>
        <v>Расчистка поверхностей шпателем, щетками от старых покрасок(Стен)</v>
      </c>
      <c r="D117" s="41" t="str">
        <f>Source!H33</f>
        <v>м2</v>
      </c>
      <c r="E117" s="44">
        <f>Source!K33</f>
        <v>81.03</v>
      </c>
      <c r="F117" s="39"/>
      <c r="G117" s="44">
        <f>Source!I33</f>
        <v>81.03</v>
      </c>
      <c r="H117" s="45"/>
      <c r="I117" s="43"/>
      <c r="J117" s="45"/>
      <c r="K117" s="40"/>
      <c r="L117" s="45"/>
    </row>
    <row r="118" spans="1:82" ht="15" x14ac:dyDescent="0.2">
      <c r="A118" s="39"/>
      <c r="B118" s="42">
        <v>1</v>
      </c>
      <c r="C118" s="39" t="s">
        <v>470</v>
      </c>
      <c r="D118" s="41" t="s">
        <v>278</v>
      </c>
      <c r="E118" s="44"/>
      <c r="F118" s="42"/>
      <c r="G118" s="44">
        <f>Source!U33</f>
        <v>46.997399999999999</v>
      </c>
      <c r="H118" s="42"/>
      <c r="I118" s="42"/>
      <c r="J118" s="42"/>
      <c r="K118" s="42"/>
      <c r="L118" s="46">
        <f>SUM(L119:L119)-SUMIF(CE119:CE119, 1, L119:L119)</f>
        <v>9873.2099999999991</v>
      </c>
    </row>
    <row r="119" spans="1:82" ht="28.5" x14ac:dyDescent="0.2">
      <c r="A119" s="40"/>
      <c r="B119" s="40" t="s">
        <v>329</v>
      </c>
      <c r="C119" s="55" t="s">
        <v>330</v>
      </c>
      <c r="D119" s="48" t="s">
        <v>278</v>
      </c>
      <c r="E119" s="49">
        <v>0.57999999999999996</v>
      </c>
      <c r="F119" s="47"/>
      <c r="G119" s="49">
        <f>SmtRes!CX26</f>
        <v>46.997399999999999</v>
      </c>
      <c r="H119" s="56"/>
      <c r="I119" s="57"/>
      <c r="J119" s="56">
        <f>SmtRes!CZ26</f>
        <v>210.08</v>
      </c>
      <c r="K119" s="55"/>
      <c r="L119" s="56">
        <f>SmtRes!DI26</f>
        <v>9873.2099999999991</v>
      </c>
    </row>
    <row r="120" spans="1:82" ht="15" x14ac:dyDescent="0.2">
      <c r="A120" s="40"/>
      <c r="B120" s="40"/>
      <c r="C120" s="53" t="s">
        <v>472</v>
      </c>
      <c r="D120" s="41"/>
      <c r="E120" s="44"/>
      <c r="F120" s="39"/>
      <c r="G120" s="44"/>
      <c r="H120" s="45"/>
      <c r="I120" s="43"/>
      <c r="J120" s="45"/>
      <c r="K120" s="40"/>
      <c r="L120" s="45">
        <f>L118</f>
        <v>9873.2099999999991</v>
      </c>
    </row>
    <row r="121" spans="1:82" ht="14.25" x14ac:dyDescent="0.2">
      <c r="A121" s="40"/>
      <c r="B121" s="40"/>
      <c r="C121" s="40" t="s">
        <v>473</v>
      </c>
      <c r="D121" s="41"/>
      <c r="E121" s="44"/>
      <c r="F121" s="39"/>
      <c r="G121" s="44"/>
      <c r="H121" s="45"/>
      <c r="I121" s="43"/>
      <c r="J121" s="45"/>
      <c r="K121" s="40"/>
      <c r="L121" s="45">
        <f>SUM(AR117:AR124)+SUM(AS117:AS124)+SUM(AT117:AT124)+SUM(AU117:AU124)+SUM(AV117:AV124)</f>
        <v>9873.2099999999991</v>
      </c>
    </row>
    <row r="122" spans="1:82" ht="14.25" x14ac:dyDescent="0.2">
      <c r="A122" s="40"/>
      <c r="B122" s="40" t="s">
        <v>53</v>
      </c>
      <c r="C122" s="40" t="s">
        <v>491</v>
      </c>
      <c r="D122" s="41" t="s">
        <v>384</v>
      </c>
      <c r="E122" s="44">
        <f>Source!BZ33</f>
        <v>90</v>
      </c>
      <c r="F122" s="39"/>
      <c r="G122" s="44">
        <f>Source!AT33</f>
        <v>90</v>
      </c>
      <c r="H122" s="45"/>
      <c r="I122" s="43"/>
      <c r="J122" s="45"/>
      <c r="K122" s="40"/>
      <c r="L122" s="45">
        <f>SUM(AZ117:AZ124)</f>
        <v>8885.89</v>
      </c>
    </row>
    <row r="123" spans="1:82" ht="14.25" x14ac:dyDescent="0.2">
      <c r="A123" s="55"/>
      <c r="B123" s="55" t="s">
        <v>54</v>
      </c>
      <c r="C123" s="55" t="s">
        <v>492</v>
      </c>
      <c r="D123" s="48" t="s">
        <v>384</v>
      </c>
      <c r="E123" s="49">
        <f>Source!CA33</f>
        <v>46</v>
      </c>
      <c r="F123" s="47"/>
      <c r="G123" s="49">
        <f>Source!AU33</f>
        <v>46</v>
      </c>
      <c r="H123" s="56"/>
      <c r="I123" s="57"/>
      <c r="J123" s="56"/>
      <c r="K123" s="55"/>
      <c r="L123" s="56">
        <f>SUM(BA117:BA124)</f>
        <v>4541.68</v>
      </c>
    </row>
    <row r="124" spans="1:82" ht="15" x14ac:dyDescent="0.2">
      <c r="C124" s="163" t="s">
        <v>476</v>
      </c>
      <c r="D124" s="163"/>
      <c r="E124" s="163"/>
      <c r="F124" s="163"/>
      <c r="G124" s="163"/>
      <c r="H124" s="163"/>
      <c r="I124" s="164">
        <f>K124/E117</f>
        <v>287.55744785881768</v>
      </c>
      <c r="J124" s="164"/>
      <c r="K124" s="164">
        <f>L118+L122+L123</f>
        <v>23300.78</v>
      </c>
      <c r="L124" s="164"/>
      <c r="AD124">
        <f>ROUND((Source!AT33/100)*((ROUND(SUMIF(SmtRes!AQ26:'SmtRes'!AQ26,"=1",SmtRes!AD26:'SmtRes'!AD26)*Source!I33, 2)+ROUND(SUMIF(SmtRes!AQ26:'SmtRes'!AQ26,"=1",SmtRes!AC26:'SmtRes'!AC26)*Source!I33, 2))), 2)</f>
        <v>15320.5</v>
      </c>
      <c r="AE124">
        <f>ROUND((Source!AU33/100)*((ROUND(SUMIF(SmtRes!AQ26:'SmtRes'!AQ26,"=1",SmtRes!AD26:'SmtRes'!AD26)*Source!I33, 2)+ROUND(SUMIF(SmtRes!AQ26:'SmtRes'!AQ26,"=1",SmtRes!AC26:'SmtRes'!AC26)*Source!I33, 2))), 2)</f>
        <v>7830.48</v>
      </c>
      <c r="AN124" s="52">
        <f>L118+L122+L123</f>
        <v>23300.78</v>
      </c>
      <c r="AO124">
        <f>0</f>
        <v>0</v>
      </c>
      <c r="AQ124" t="s">
        <v>477</v>
      </c>
      <c r="AR124" s="52">
        <f>L118</f>
        <v>9873.2099999999991</v>
      </c>
      <c r="AT124">
        <f>0</f>
        <v>0</v>
      </c>
      <c r="AV124" t="s">
        <v>477</v>
      </c>
      <c r="AW124">
        <f>0</f>
        <v>0</v>
      </c>
      <c r="AZ124">
        <f>Source!X33</f>
        <v>8885.89</v>
      </c>
      <c r="BA124">
        <f>Source!Y33</f>
        <v>4541.68</v>
      </c>
      <c r="CD124">
        <v>1</v>
      </c>
    </row>
    <row r="125" spans="1:82" ht="28.5" x14ac:dyDescent="0.2">
      <c r="A125" s="38" t="s">
        <v>24</v>
      </c>
      <c r="B125" s="40" t="s">
        <v>490</v>
      </c>
      <c r="C125" s="40" t="str">
        <f>Source!G34</f>
        <v>Расчистка поверхностей шпателем, щетками от старых покрасок(потолков)</v>
      </c>
      <c r="D125" s="41" t="str">
        <f>Source!H34</f>
        <v>м2</v>
      </c>
      <c r="E125" s="44">
        <f>Source!K34</f>
        <v>65</v>
      </c>
      <c r="F125" s="39"/>
      <c r="G125" s="44">
        <f>Source!I34</f>
        <v>65</v>
      </c>
      <c r="H125" s="45"/>
      <c r="I125" s="43"/>
      <c r="J125" s="45"/>
      <c r="K125" s="40"/>
      <c r="L125" s="45"/>
    </row>
    <row r="126" spans="1:82" ht="15" x14ac:dyDescent="0.2">
      <c r="A126" s="39"/>
      <c r="B126" s="42">
        <v>1</v>
      </c>
      <c r="C126" s="39" t="s">
        <v>470</v>
      </c>
      <c r="D126" s="41" t="s">
        <v>278</v>
      </c>
      <c r="E126" s="44"/>
      <c r="F126" s="42"/>
      <c r="G126" s="44">
        <f>Source!U34</f>
        <v>37.699999999999996</v>
      </c>
      <c r="H126" s="42"/>
      <c r="I126" s="42"/>
      <c r="J126" s="42"/>
      <c r="K126" s="42"/>
      <c r="L126" s="46">
        <f>SUM(L127:L127)-SUMIF(CE127:CE127, 1, L127:L127)</f>
        <v>7920.02</v>
      </c>
    </row>
    <row r="127" spans="1:82" ht="28.5" x14ac:dyDescent="0.2">
      <c r="A127" s="40"/>
      <c r="B127" s="40" t="s">
        <v>329</v>
      </c>
      <c r="C127" s="55" t="s">
        <v>330</v>
      </c>
      <c r="D127" s="48" t="s">
        <v>278</v>
      </c>
      <c r="E127" s="49">
        <v>0.57999999999999996</v>
      </c>
      <c r="F127" s="47"/>
      <c r="G127" s="49">
        <f>SmtRes!CX27</f>
        <v>37.700000000000003</v>
      </c>
      <c r="H127" s="56"/>
      <c r="I127" s="57"/>
      <c r="J127" s="56">
        <f>SmtRes!CZ27</f>
        <v>210.08</v>
      </c>
      <c r="K127" s="55"/>
      <c r="L127" s="56">
        <f>SmtRes!DI27</f>
        <v>7920.02</v>
      </c>
    </row>
    <row r="128" spans="1:82" ht="15" x14ac:dyDescent="0.2">
      <c r="A128" s="40"/>
      <c r="B128" s="40"/>
      <c r="C128" s="53" t="s">
        <v>472</v>
      </c>
      <c r="D128" s="41"/>
      <c r="E128" s="44"/>
      <c r="F128" s="39"/>
      <c r="G128" s="44"/>
      <c r="H128" s="45"/>
      <c r="I128" s="43"/>
      <c r="J128" s="45"/>
      <c r="K128" s="40"/>
      <c r="L128" s="45">
        <f>L126</f>
        <v>7920.02</v>
      </c>
    </row>
    <row r="129" spans="1:83" ht="14.25" x14ac:dyDescent="0.2">
      <c r="A129" s="40"/>
      <c r="B129" s="40"/>
      <c r="C129" s="40" t="s">
        <v>473</v>
      </c>
      <c r="D129" s="41"/>
      <c r="E129" s="44"/>
      <c r="F129" s="39"/>
      <c r="G129" s="44"/>
      <c r="H129" s="45"/>
      <c r="I129" s="43"/>
      <c r="J129" s="45"/>
      <c r="K129" s="40"/>
      <c r="L129" s="45">
        <f>SUM(AR125:AR132)+SUM(AS125:AS132)+SUM(AT125:AT132)+SUM(AU125:AU132)+SUM(AV125:AV132)</f>
        <v>7920.02</v>
      </c>
    </row>
    <row r="130" spans="1:83" ht="14.25" x14ac:dyDescent="0.2">
      <c r="A130" s="40"/>
      <c r="B130" s="40" t="s">
        <v>53</v>
      </c>
      <c r="C130" s="40" t="s">
        <v>491</v>
      </c>
      <c r="D130" s="41" t="s">
        <v>384</v>
      </c>
      <c r="E130" s="44">
        <f>Source!BZ34</f>
        <v>90</v>
      </c>
      <c r="F130" s="39"/>
      <c r="G130" s="44">
        <f>Source!AT34</f>
        <v>90</v>
      </c>
      <c r="H130" s="45"/>
      <c r="I130" s="43"/>
      <c r="J130" s="45"/>
      <c r="K130" s="40"/>
      <c r="L130" s="45">
        <f>SUM(AZ125:AZ132)</f>
        <v>7128.02</v>
      </c>
    </row>
    <row r="131" spans="1:83" ht="14.25" x14ac:dyDescent="0.2">
      <c r="A131" s="55"/>
      <c r="B131" s="55" t="s">
        <v>54</v>
      </c>
      <c r="C131" s="55" t="s">
        <v>492</v>
      </c>
      <c r="D131" s="48" t="s">
        <v>384</v>
      </c>
      <c r="E131" s="49">
        <f>Source!CA34</f>
        <v>46</v>
      </c>
      <c r="F131" s="47"/>
      <c r="G131" s="49">
        <f>Source!AU34</f>
        <v>46</v>
      </c>
      <c r="H131" s="56"/>
      <c r="I131" s="57"/>
      <c r="J131" s="56"/>
      <c r="K131" s="55"/>
      <c r="L131" s="56">
        <f>SUM(BA125:BA132)</f>
        <v>3643.21</v>
      </c>
    </row>
    <row r="132" spans="1:83" ht="15" x14ac:dyDescent="0.2">
      <c r="C132" s="163" t="s">
        <v>476</v>
      </c>
      <c r="D132" s="163"/>
      <c r="E132" s="163"/>
      <c r="F132" s="163"/>
      <c r="G132" s="163"/>
      <c r="H132" s="163"/>
      <c r="I132" s="164">
        <f>K132/E125</f>
        <v>287.55769230769232</v>
      </c>
      <c r="J132" s="164"/>
      <c r="K132" s="164">
        <f>L126+L130+L131</f>
        <v>18691.25</v>
      </c>
      <c r="L132" s="164"/>
      <c r="AD132">
        <f>ROUND((Source!AT34/100)*((ROUND(SUMIF(SmtRes!AQ27:'SmtRes'!AQ27,"=1",SmtRes!AD27:'SmtRes'!AD27)*Source!I34, 2)+ROUND(SUMIF(SmtRes!AQ27:'SmtRes'!AQ27,"=1",SmtRes!AC27:'SmtRes'!AC27)*Source!I34, 2))), 2)</f>
        <v>12289.68</v>
      </c>
      <c r="AE132">
        <f>ROUND((Source!AU34/100)*((ROUND(SUMIF(SmtRes!AQ27:'SmtRes'!AQ27,"=1",SmtRes!AD27:'SmtRes'!AD27)*Source!I34, 2)+ROUND(SUMIF(SmtRes!AQ27:'SmtRes'!AQ27,"=1",SmtRes!AC27:'SmtRes'!AC27)*Source!I34, 2))), 2)</f>
        <v>6281.39</v>
      </c>
      <c r="AN132" s="52">
        <f>L126+L130+L131</f>
        <v>18691.25</v>
      </c>
      <c r="AO132">
        <f>0</f>
        <v>0</v>
      </c>
      <c r="AQ132" t="s">
        <v>477</v>
      </c>
      <c r="AR132" s="52">
        <f>L126</f>
        <v>7920.02</v>
      </c>
      <c r="AT132">
        <f>0</f>
        <v>0</v>
      </c>
      <c r="AV132" t="s">
        <v>477</v>
      </c>
      <c r="AW132">
        <f>0</f>
        <v>0</v>
      </c>
      <c r="AZ132">
        <f>Source!X34</f>
        <v>7128.02</v>
      </c>
      <c r="BA132">
        <f>Source!Y34</f>
        <v>3643.21</v>
      </c>
      <c r="CD132">
        <v>1</v>
      </c>
    </row>
    <row r="133" spans="1:83" ht="105" x14ac:dyDescent="0.2">
      <c r="A133" s="38" t="s">
        <v>56</v>
      </c>
      <c r="B133" s="40" t="s">
        <v>493</v>
      </c>
      <c r="C133" s="40" t="s">
        <v>494</v>
      </c>
      <c r="D133" s="41" t="str">
        <f>Source!H35</f>
        <v>100 м2</v>
      </c>
      <c r="E133" s="44">
        <f>Source!K35</f>
        <v>0.81030000000000002</v>
      </c>
      <c r="F133" s="39"/>
      <c r="G133" s="44">
        <f>Source!I35</f>
        <v>0.81030000000000002</v>
      </c>
      <c r="H133" s="45"/>
      <c r="I133" s="43"/>
      <c r="J133" s="45"/>
      <c r="K133" s="40"/>
      <c r="L133" s="45"/>
    </row>
    <row r="134" spans="1:83" ht="15" x14ac:dyDescent="0.2">
      <c r="A134" s="39"/>
      <c r="B134" s="42">
        <v>1</v>
      </c>
      <c r="C134" s="39" t="s">
        <v>470</v>
      </c>
      <c r="D134" s="41" t="s">
        <v>278</v>
      </c>
      <c r="E134" s="44"/>
      <c r="F134" s="42"/>
      <c r="G134" s="44">
        <f>Source!U35</f>
        <v>4.3330792499999999</v>
      </c>
      <c r="H134" s="42"/>
      <c r="I134" s="42"/>
      <c r="J134" s="42"/>
      <c r="K134" s="42"/>
      <c r="L134" s="46">
        <f>SUM(L135:L135)-SUMIF(CE135:CE135, 1, L135:L135)</f>
        <v>1157.32</v>
      </c>
    </row>
    <row r="135" spans="1:83" ht="28.5" x14ac:dyDescent="0.2">
      <c r="A135" s="40"/>
      <c r="B135" s="40" t="s">
        <v>331</v>
      </c>
      <c r="C135" s="40" t="s">
        <v>332</v>
      </c>
      <c r="D135" s="41" t="s">
        <v>278</v>
      </c>
      <c r="E135" s="44">
        <v>4.6500000000000004</v>
      </c>
      <c r="F135" s="39">
        <f>ROUND(1.15,7)</f>
        <v>1.1499999999999999</v>
      </c>
      <c r="G135" s="44">
        <f>SmtRes!CX28</f>
        <v>4.3330792999999996</v>
      </c>
      <c r="H135" s="45"/>
      <c r="I135" s="43"/>
      <c r="J135" s="45">
        <f>SmtRes!CZ28</f>
        <v>267.08999999999997</v>
      </c>
      <c r="K135" s="40"/>
      <c r="L135" s="45">
        <f>SmtRes!DI28</f>
        <v>1157.32</v>
      </c>
    </row>
    <row r="136" spans="1:83" ht="15" x14ac:dyDescent="0.2">
      <c r="A136" s="39"/>
      <c r="B136" s="42">
        <v>2</v>
      </c>
      <c r="C136" s="39" t="s">
        <v>480</v>
      </c>
      <c r="D136" s="41"/>
      <c r="E136" s="44"/>
      <c r="F136" s="42"/>
      <c r="G136" s="44"/>
      <c r="H136" s="42"/>
      <c r="I136" s="42"/>
      <c r="J136" s="42"/>
      <c r="K136" s="42"/>
      <c r="L136" s="46">
        <f>SUM(L137:L141)-SUMIF(CE137:CE141, 1, L137:L141)</f>
        <v>5.9700000000000024</v>
      </c>
    </row>
    <row r="137" spans="1:83" ht="15" x14ac:dyDescent="0.2">
      <c r="A137" s="39"/>
      <c r="B137" s="42"/>
      <c r="C137" s="39" t="s">
        <v>483</v>
      </c>
      <c r="D137" s="41" t="s">
        <v>278</v>
      </c>
      <c r="E137" s="44"/>
      <c r="F137" s="42"/>
      <c r="G137" s="44">
        <f>Source!V35</f>
        <v>2.0257500000000001E-2</v>
      </c>
      <c r="H137" s="42"/>
      <c r="I137" s="42"/>
      <c r="J137" s="42"/>
      <c r="K137" s="42"/>
      <c r="L137" s="46">
        <f>SUMIF(CE138:CE141, 1, L138:L141)</f>
        <v>5.1099999999999994</v>
      </c>
      <c r="CE137">
        <v>1</v>
      </c>
    </row>
    <row r="138" spans="1:83" ht="42.75" x14ac:dyDescent="0.2">
      <c r="A138" s="40"/>
      <c r="B138" s="40" t="s">
        <v>286</v>
      </c>
      <c r="C138" s="40" t="s">
        <v>288</v>
      </c>
      <c r="D138" s="41" t="s">
        <v>289</v>
      </c>
      <c r="E138" s="44">
        <v>0.01</v>
      </c>
      <c r="F138" s="39">
        <f>ROUND(1.25,7)</f>
        <v>1.25</v>
      </c>
      <c r="G138" s="44">
        <f>SmtRes!CX30</f>
        <v>1.01288E-2</v>
      </c>
      <c r="H138" s="45">
        <f>SmtRes!CZ30</f>
        <v>37.32</v>
      </c>
      <c r="I138" s="43">
        <f>SmtRes!AJ30</f>
        <v>1.31</v>
      </c>
      <c r="J138" s="45">
        <f>ROUND(H138*I138, 2)</f>
        <v>48.89</v>
      </c>
      <c r="K138" s="40"/>
      <c r="L138" s="45">
        <f>SmtRes!DG30</f>
        <v>0.5</v>
      </c>
    </row>
    <row r="139" spans="1:83" ht="28.5" x14ac:dyDescent="0.2">
      <c r="A139" s="40"/>
      <c r="B139" s="40" t="s">
        <v>290</v>
      </c>
      <c r="C139" s="40" t="s">
        <v>481</v>
      </c>
      <c r="D139" s="41" t="s">
        <v>278</v>
      </c>
      <c r="E139" s="44">
        <f>SmtRes!DO30*SmtRes!AT30</f>
        <v>0.01</v>
      </c>
      <c r="F139" s="39">
        <f>ROUND(1.25,7)</f>
        <v>1.25</v>
      </c>
      <c r="G139" s="44">
        <f>SmtRes!DO30*SmtRes!CX30</f>
        <v>1.01288E-2</v>
      </c>
      <c r="H139" s="45"/>
      <c r="I139" s="43"/>
      <c r="J139" s="45">
        <f>ROUND(SmtRes!AG30/SmtRes!DO30, 2)</f>
        <v>237.19</v>
      </c>
      <c r="K139" s="40"/>
      <c r="L139" s="45">
        <f>SmtRes!DH30</f>
        <v>2.4</v>
      </c>
      <c r="CE139">
        <v>1</v>
      </c>
    </row>
    <row r="140" spans="1:83" ht="28.5" x14ac:dyDescent="0.2">
      <c r="A140" s="40"/>
      <c r="B140" s="40" t="s">
        <v>291</v>
      </c>
      <c r="C140" s="40" t="s">
        <v>293</v>
      </c>
      <c r="D140" s="41" t="s">
        <v>289</v>
      </c>
      <c r="E140" s="44">
        <v>0.01</v>
      </c>
      <c r="F140" s="39">
        <f>ROUND(1.25,7)</f>
        <v>1.25</v>
      </c>
      <c r="G140" s="44">
        <f>SmtRes!CX31</f>
        <v>1.01288E-2</v>
      </c>
      <c r="H140" s="45">
        <f>SmtRes!CZ31</f>
        <v>477.92</v>
      </c>
      <c r="I140" s="43">
        <f>SmtRes!AJ31</f>
        <v>1.1299999999999999</v>
      </c>
      <c r="J140" s="45">
        <f>ROUND(H140*I140, 2)</f>
        <v>540.04999999999995</v>
      </c>
      <c r="K140" s="40"/>
      <c r="L140" s="45">
        <f>SmtRes!DG31</f>
        <v>5.47</v>
      </c>
    </row>
    <row r="141" spans="1:83" ht="28.5" x14ac:dyDescent="0.2">
      <c r="A141" s="40"/>
      <c r="B141" s="40" t="s">
        <v>294</v>
      </c>
      <c r="C141" s="40" t="s">
        <v>482</v>
      </c>
      <c r="D141" s="41" t="s">
        <v>278</v>
      </c>
      <c r="E141" s="44">
        <f>SmtRes!DO31*SmtRes!AT31</f>
        <v>0.01</v>
      </c>
      <c r="F141" s="39">
        <f>ROUND(1.25,7)</f>
        <v>1.25</v>
      </c>
      <c r="G141" s="44">
        <f>SmtRes!DO31*SmtRes!CX31</f>
        <v>1.01288E-2</v>
      </c>
      <c r="H141" s="45"/>
      <c r="I141" s="43"/>
      <c r="J141" s="45">
        <f>ROUND(SmtRes!AG31/SmtRes!DO31, 2)</f>
        <v>267.08999999999997</v>
      </c>
      <c r="K141" s="40"/>
      <c r="L141" s="45">
        <f>SmtRes!DH31</f>
        <v>2.71</v>
      </c>
      <c r="CE141">
        <v>1</v>
      </c>
    </row>
    <row r="142" spans="1:83" ht="15" x14ac:dyDescent="0.2">
      <c r="A142" s="39"/>
      <c r="B142" s="42">
        <v>4</v>
      </c>
      <c r="C142" s="39" t="s">
        <v>471</v>
      </c>
      <c r="D142" s="41"/>
      <c r="E142" s="44"/>
      <c r="F142" s="42"/>
      <c r="G142" s="44"/>
      <c r="H142" s="42"/>
      <c r="I142" s="42"/>
      <c r="J142" s="42"/>
      <c r="K142" s="42"/>
      <c r="L142" s="46">
        <f>SUM(L143:L144)-SUMIF(CE143:CE144, 1, L143:L144)</f>
        <v>985.1</v>
      </c>
    </row>
    <row r="143" spans="1:83" ht="14.25" x14ac:dyDescent="0.2">
      <c r="A143" s="40"/>
      <c r="B143" s="40" t="s">
        <v>333</v>
      </c>
      <c r="C143" s="40" t="s">
        <v>335</v>
      </c>
      <c r="D143" s="41" t="s">
        <v>336</v>
      </c>
      <c r="E143" s="44">
        <v>0.1</v>
      </c>
      <c r="F143" s="39"/>
      <c r="G143" s="44">
        <f>SmtRes!CX32</f>
        <v>8.1030000000000005E-2</v>
      </c>
      <c r="H143" s="45">
        <f>SmtRes!CZ32</f>
        <v>56.81</v>
      </c>
      <c r="I143" s="43">
        <f>SmtRes!AI32</f>
        <v>1.87</v>
      </c>
      <c r="J143" s="45">
        <f>ROUND(H143*I143, 2)</f>
        <v>106.23</v>
      </c>
      <c r="K143" s="40"/>
      <c r="L143" s="45">
        <f>SmtRes!DF32</f>
        <v>8.61</v>
      </c>
    </row>
    <row r="144" spans="1:83" ht="14.25" x14ac:dyDescent="0.2">
      <c r="A144" s="40"/>
      <c r="B144" s="40" t="s">
        <v>326</v>
      </c>
      <c r="C144" s="40" t="s">
        <v>337</v>
      </c>
      <c r="D144" s="41" t="s">
        <v>281</v>
      </c>
      <c r="E144" s="44">
        <v>1.0300012341108231E-2</v>
      </c>
      <c r="F144" s="39"/>
      <c r="G144" s="44">
        <f>SmtRes!CX33</f>
        <v>8.3461000000000004E-3</v>
      </c>
      <c r="H144" s="45">
        <f>SmtRes!CZ33</f>
        <v>117000</v>
      </c>
      <c r="I144" s="43"/>
      <c r="J144" s="45"/>
      <c r="K144" s="40"/>
      <c r="L144" s="45">
        <f>SmtRes!DF33</f>
        <v>976.49</v>
      </c>
    </row>
    <row r="145" spans="1:83" ht="14.25" x14ac:dyDescent="0.2">
      <c r="A145" s="40"/>
      <c r="B145" s="40" t="str">
        <f>EtalonRes!I33</f>
        <v>14.3.01.03</v>
      </c>
      <c r="C145" s="55" t="str">
        <f>EtalonRes!K33</f>
        <v>Грунтовка</v>
      </c>
      <c r="D145" s="48" t="str">
        <f>EtalonRes!O33</f>
        <v>т</v>
      </c>
      <c r="E145" s="49">
        <f>EtalonRes!X33</f>
        <v>1.03E-2</v>
      </c>
      <c r="F145" s="47"/>
      <c r="G145" s="49">
        <f>ROUND(EtalonRes!AG33*Source!I35, 7)</f>
        <v>8.3461000000000004E-3</v>
      </c>
      <c r="H145" s="56"/>
      <c r="I145" s="57"/>
      <c r="J145" s="56"/>
      <c r="K145" s="55"/>
      <c r="L145" s="56"/>
    </row>
    <row r="146" spans="1:83" ht="15" x14ac:dyDescent="0.2">
      <c r="A146" s="40"/>
      <c r="B146" s="40"/>
      <c r="C146" s="53" t="s">
        <v>472</v>
      </c>
      <c r="D146" s="41"/>
      <c r="E146" s="44"/>
      <c r="F146" s="39"/>
      <c r="G146" s="44"/>
      <c r="H146" s="45"/>
      <c r="I146" s="43"/>
      <c r="J146" s="45"/>
      <c r="K146" s="40"/>
      <c r="L146" s="45">
        <f>L134+L136+L137+L142</f>
        <v>2153.5</v>
      </c>
    </row>
    <row r="147" spans="1:83" ht="14.25" x14ac:dyDescent="0.2">
      <c r="A147" s="40"/>
      <c r="B147" s="40"/>
      <c r="C147" s="40" t="s">
        <v>473</v>
      </c>
      <c r="D147" s="41"/>
      <c r="E147" s="44"/>
      <c r="F147" s="39"/>
      <c r="G147" s="44"/>
      <c r="H147" s="45"/>
      <c r="I147" s="43"/>
      <c r="J147" s="45"/>
      <c r="K147" s="40"/>
      <c r="L147" s="45">
        <f>SUM(AR133:AR150)+SUM(AS133:AS150)+SUM(AT133:AT150)+SUM(AU133:AU150)+SUM(AV133:AV150)</f>
        <v>1162.4299999999998</v>
      </c>
    </row>
    <row r="148" spans="1:83" ht="28.5" x14ac:dyDescent="0.2">
      <c r="A148" s="40"/>
      <c r="B148" s="40" t="s">
        <v>495</v>
      </c>
      <c r="C148" s="40" t="s">
        <v>496</v>
      </c>
      <c r="D148" s="41" t="s">
        <v>384</v>
      </c>
      <c r="E148" s="44">
        <f>Source!BZ35</f>
        <v>100</v>
      </c>
      <c r="F148" s="39">
        <f>ROUND(0.9,7)</f>
        <v>0.9</v>
      </c>
      <c r="G148" s="44">
        <f>Source!AT35</f>
        <v>90</v>
      </c>
      <c r="H148" s="45"/>
      <c r="I148" s="43"/>
      <c r="J148" s="45"/>
      <c r="K148" s="40"/>
      <c r="L148" s="45">
        <f>SUM(AZ133:AZ150)</f>
        <v>1046.19</v>
      </c>
    </row>
    <row r="149" spans="1:83" ht="28.5" x14ac:dyDescent="0.2">
      <c r="A149" s="55"/>
      <c r="B149" s="55" t="s">
        <v>497</v>
      </c>
      <c r="C149" s="55" t="s">
        <v>498</v>
      </c>
      <c r="D149" s="48" t="s">
        <v>384</v>
      </c>
      <c r="E149" s="49">
        <f>Source!CA35</f>
        <v>49</v>
      </c>
      <c r="F149" s="47">
        <f>ROUND(0.85,7)</f>
        <v>0.85</v>
      </c>
      <c r="G149" s="49">
        <f>Source!AU35</f>
        <v>41.65</v>
      </c>
      <c r="H149" s="56"/>
      <c r="I149" s="57"/>
      <c r="J149" s="56"/>
      <c r="K149" s="55"/>
      <c r="L149" s="56">
        <f>SUM(BA133:BA150)</f>
        <v>484.15</v>
      </c>
    </row>
    <row r="150" spans="1:83" ht="15" x14ac:dyDescent="0.2">
      <c r="C150" s="163" t="s">
        <v>476</v>
      </c>
      <c r="D150" s="163"/>
      <c r="E150" s="163"/>
      <c r="F150" s="163"/>
      <c r="G150" s="163"/>
      <c r="H150" s="163"/>
      <c r="I150" s="164">
        <f>K150/E133</f>
        <v>4546.2668147599652</v>
      </c>
      <c r="J150" s="164"/>
      <c r="K150" s="164">
        <f>L134+L136+L142+L148+L149+L137</f>
        <v>3683.84</v>
      </c>
      <c r="L150" s="164"/>
      <c r="AD150">
        <f>ROUND((Source!AT35/100)*((ROUND(SUMIF(SmtRes!AQ28:'SmtRes'!AQ33,"=1",SmtRes!AD28:'SmtRes'!AD33)*Source!I35, 2)+ROUND(SUMIF(SmtRes!AQ28:'SmtRes'!AQ33,"=1",SmtRes!AC28:'SmtRes'!AC33)*Source!I35, 2))), 2)</f>
        <v>562.54</v>
      </c>
      <c r="AE150">
        <f>ROUND((Source!AU35/100)*((ROUND(SUMIF(SmtRes!AQ28:'SmtRes'!AQ33,"=1",SmtRes!AD28:'SmtRes'!AD33)*Source!I35, 2)+ROUND(SUMIF(SmtRes!AQ28:'SmtRes'!AQ33,"=1",SmtRes!AC28:'SmtRes'!AC33)*Source!I35, 2))), 2)</f>
        <v>260.33</v>
      </c>
      <c r="AN150" s="52">
        <f>L134+L136+L142+L148+L149+L137</f>
        <v>3683.84</v>
      </c>
      <c r="AO150" s="52">
        <f>L136</f>
        <v>5.9700000000000024</v>
      </c>
      <c r="AQ150" t="s">
        <v>477</v>
      </c>
      <c r="AR150" s="52">
        <f>L134</f>
        <v>1157.32</v>
      </c>
      <c r="AT150" s="52">
        <f>L137</f>
        <v>5.1099999999999994</v>
      </c>
      <c r="AV150" t="s">
        <v>477</v>
      </c>
      <c r="AW150" s="52">
        <f>L142</f>
        <v>985.1</v>
      </c>
      <c r="AZ150">
        <f>Source!X35</f>
        <v>1046.19</v>
      </c>
      <c r="BA150">
        <f>Source!Y35</f>
        <v>484.15</v>
      </c>
      <c r="CD150">
        <v>1</v>
      </c>
    </row>
    <row r="151" spans="1:83" ht="42.75" x14ac:dyDescent="0.2">
      <c r="A151" s="38" t="s">
        <v>43</v>
      </c>
      <c r="B151" s="40" t="s">
        <v>499</v>
      </c>
      <c r="C151" s="40" t="str">
        <f>Source!G36</f>
        <v>Наклеивание сетки штукатурной стеклотканевой по готовому основанию(стыки гипсокартона (прим.)</v>
      </c>
      <c r="D151" s="41" t="str">
        <f>Source!H36</f>
        <v>100 м2</v>
      </c>
      <c r="E151" s="44">
        <f>Source!K36</f>
        <v>0.04</v>
      </c>
      <c r="F151" s="39"/>
      <c r="G151" s="44">
        <f>Source!I36</f>
        <v>0.04</v>
      </c>
      <c r="H151" s="45"/>
      <c r="I151" s="43"/>
      <c r="J151" s="45"/>
      <c r="K151" s="40"/>
      <c r="L151" s="45"/>
    </row>
    <row r="152" spans="1:83" ht="15" x14ac:dyDescent="0.2">
      <c r="A152" s="39"/>
      <c r="B152" s="42">
        <v>1</v>
      </c>
      <c r="C152" s="39" t="s">
        <v>470</v>
      </c>
      <c r="D152" s="41" t="s">
        <v>278</v>
      </c>
      <c r="E152" s="44"/>
      <c r="F152" s="42"/>
      <c r="G152" s="44">
        <f>Source!U36</f>
        <v>0.84519999999999995</v>
      </c>
      <c r="H152" s="42"/>
      <c r="I152" s="42"/>
      <c r="J152" s="42"/>
      <c r="K152" s="42"/>
      <c r="L152" s="46">
        <f>SUM(L153:L153)-SUMIF(CE153:CE153, 1, L153:L153)</f>
        <v>210.58</v>
      </c>
    </row>
    <row r="153" spans="1:83" ht="28.5" x14ac:dyDescent="0.2">
      <c r="A153" s="40"/>
      <c r="B153" s="40" t="s">
        <v>338</v>
      </c>
      <c r="C153" s="40" t="s">
        <v>339</v>
      </c>
      <c r="D153" s="41" t="s">
        <v>278</v>
      </c>
      <c r="E153" s="44">
        <v>21.13</v>
      </c>
      <c r="F153" s="39"/>
      <c r="G153" s="44">
        <f>SmtRes!CX34</f>
        <v>0.84519999999999995</v>
      </c>
      <c r="H153" s="45"/>
      <c r="I153" s="43"/>
      <c r="J153" s="45">
        <f>SmtRes!CZ34</f>
        <v>249.15</v>
      </c>
      <c r="K153" s="40"/>
      <c r="L153" s="45">
        <f>SmtRes!DI34</f>
        <v>210.58</v>
      </c>
    </row>
    <row r="154" spans="1:83" ht="15" x14ac:dyDescent="0.2">
      <c r="A154" s="39"/>
      <c r="B154" s="42">
        <v>2</v>
      </c>
      <c r="C154" s="39" t="s">
        <v>480</v>
      </c>
      <c r="D154" s="41"/>
      <c r="E154" s="44"/>
      <c r="F154" s="42"/>
      <c r="G154" s="44"/>
      <c r="H154" s="42"/>
      <c r="I154" s="42"/>
      <c r="J154" s="42"/>
      <c r="K154" s="42"/>
      <c r="L154" s="46">
        <f>SUM(L155:L157)-SUMIF(CE155:CE157, 1, L155:L157)</f>
        <v>1.3</v>
      </c>
    </row>
    <row r="155" spans="1:83" ht="15" x14ac:dyDescent="0.2">
      <c r="A155" s="39"/>
      <c r="B155" s="42"/>
      <c r="C155" s="39" t="s">
        <v>483</v>
      </c>
      <c r="D155" s="41" t="s">
        <v>278</v>
      </c>
      <c r="E155" s="44"/>
      <c r="F155" s="42"/>
      <c r="G155" s="44">
        <f>Source!V36</f>
        <v>2.3999999999999998E-3</v>
      </c>
      <c r="H155" s="42"/>
      <c r="I155" s="42"/>
      <c r="J155" s="42"/>
      <c r="K155" s="42"/>
      <c r="L155" s="46">
        <f>SUMIF(CE156:CE157, 1, L156:L157)</f>
        <v>0.64</v>
      </c>
      <c r="CE155">
        <v>1</v>
      </c>
    </row>
    <row r="156" spans="1:83" ht="28.5" x14ac:dyDescent="0.2">
      <c r="A156" s="40"/>
      <c r="B156" s="40" t="s">
        <v>291</v>
      </c>
      <c r="C156" s="40" t="s">
        <v>293</v>
      </c>
      <c r="D156" s="41" t="s">
        <v>289</v>
      </c>
      <c r="E156" s="44">
        <v>0.06</v>
      </c>
      <c r="F156" s="39"/>
      <c r="G156" s="44">
        <f>SmtRes!CX36</f>
        <v>2.3999999999999998E-3</v>
      </c>
      <c r="H156" s="45">
        <f>SmtRes!CZ36</f>
        <v>477.92</v>
      </c>
      <c r="I156" s="43">
        <f>SmtRes!AJ36</f>
        <v>1.1299999999999999</v>
      </c>
      <c r="J156" s="45">
        <f>ROUND(H156*I156, 2)</f>
        <v>540.04999999999995</v>
      </c>
      <c r="K156" s="40"/>
      <c r="L156" s="45">
        <f>SmtRes!DG36</f>
        <v>1.3</v>
      </c>
    </row>
    <row r="157" spans="1:83" ht="28.5" x14ac:dyDescent="0.2">
      <c r="A157" s="40"/>
      <c r="B157" s="40" t="s">
        <v>294</v>
      </c>
      <c r="C157" s="40" t="s">
        <v>482</v>
      </c>
      <c r="D157" s="41" t="s">
        <v>278</v>
      </c>
      <c r="E157" s="44">
        <f>SmtRes!DO36*SmtRes!AT36</f>
        <v>0.06</v>
      </c>
      <c r="F157" s="39"/>
      <c r="G157" s="44">
        <f>SmtRes!DO36*SmtRes!CX36</f>
        <v>2.3999999999999998E-3</v>
      </c>
      <c r="H157" s="45"/>
      <c r="I157" s="43"/>
      <c r="J157" s="45">
        <f>ROUND(SmtRes!AG36/SmtRes!DO36, 2)</f>
        <v>267.08999999999997</v>
      </c>
      <c r="K157" s="40"/>
      <c r="L157" s="45">
        <f>SmtRes!DH36</f>
        <v>0.64</v>
      </c>
      <c r="CE157">
        <v>1</v>
      </c>
    </row>
    <row r="158" spans="1:83" ht="15" x14ac:dyDescent="0.2">
      <c r="A158" s="39"/>
      <c r="B158" s="42">
        <v>4</v>
      </c>
      <c r="C158" s="39" t="s">
        <v>471</v>
      </c>
      <c r="D158" s="41"/>
      <c r="E158" s="44"/>
      <c r="F158" s="42"/>
      <c r="G158" s="44"/>
      <c r="H158" s="42"/>
      <c r="I158" s="42"/>
      <c r="J158" s="42"/>
      <c r="K158" s="42"/>
      <c r="L158" s="46">
        <f>SUM(L159:L161)-SUMIF(CE159:CE161, 1, L159:L161)</f>
        <v>192.63</v>
      </c>
    </row>
    <row r="159" spans="1:83" ht="14.25" x14ac:dyDescent="0.2">
      <c r="A159" s="40"/>
      <c r="B159" s="40" t="s">
        <v>340</v>
      </c>
      <c r="C159" s="40" t="s">
        <v>342</v>
      </c>
      <c r="D159" s="41" t="s">
        <v>336</v>
      </c>
      <c r="E159" s="44">
        <v>20.6</v>
      </c>
      <c r="F159" s="39"/>
      <c r="G159" s="44">
        <f>SmtRes!CX37</f>
        <v>0.82399999999999995</v>
      </c>
      <c r="H159" s="45">
        <f>SmtRes!CZ37</f>
        <v>65.33</v>
      </c>
      <c r="I159" s="43">
        <f>SmtRes!AI37</f>
        <v>1.45</v>
      </c>
      <c r="J159" s="45">
        <f>ROUND(H159*I159, 2)</f>
        <v>94.73</v>
      </c>
      <c r="K159" s="40"/>
      <c r="L159" s="45">
        <f>SmtRes!DF37</f>
        <v>78.06</v>
      </c>
    </row>
    <row r="160" spans="1:83" ht="42.75" x14ac:dyDescent="0.2">
      <c r="A160" s="40"/>
      <c r="B160" s="40" t="s">
        <v>343</v>
      </c>
      <c r="C160" s="40" t="s">
        <v>345</v>
      </c>
      <c r="D160" s="41" t="s">
        <v>336</v>
      </c>
      <c r="E160" s="44">
        <v>10.3</v>
      </c>
      <c r="F160" s="39"/>
      <c r="G160" s="44">
        <f>SmtRes!CX38</f>
        <v>0.41199999999999998</v>
      </c>
      <c r="H160" s="45">
        <f>SmtRes!CZ38</f>
        <v>144.12</v>
      </c>
      <c r="I160" s="43">
        <f>SmtRes!AI38</f>
        <v>1.08</v>
      </c>
      <c r="J160" s="45">
        <f>ROUND(H160*I160, 2)</f>
        <v>155.65</v>
      </c>
      <c r="K160" s="40"/>
      <c r="L160" s="45">
        <f>SmtRes!DF38</f>
        <v>64.13</v>
      </c>
    </row>
    <row r="161" spans="1:83" ht="14.25" x14ac:dyDescent="0.2">
      <c r="A161" s="40"/>
      <c r="B161" s="40" t="s">
        <v>326</v>
      </c>
      <c r="C161" s="40" t="s">
        <v>346</v>
      </c>
      <c r="D161" s="41" t="s">
        <v>49</v>
      </c>
      <c r="E161" s="44">
        <v>111.1</v>
      </c>
      <c r="F161" s="39"/>
      <c r="G161" s="44">
        <f>SmtRes!CX39</f>
        <v>4.444</v>
      </c>
      <c r="H161" s="45">
        <f>SmtRes!CZ39</f>
        <v>11.35</v>
      </c>
      <c r="I161" s="43"/>
      <c r="J161" s="45"/>
      <c r="K161" s="40"/>
      <c r="L161" s="45">
        <f>SmtRes!DF39</f>
        <v>50.44</v>
      </c>
    </row>
    <row r="162" spans="1:83" ht="14.25" x14ac:dyDescent="0.2">
      <c r="A162" s="40"/>
      <c r="B162" s="40" t="str">
        <f>EtalonRes!I37</f>
        <v>01.8.01.06</v>
      </c>
      <c r="C162" s="55" t="str">
        <f>EtalonRes!K37</f>
        <v>Сетки стеклянные</v>
      </c>
      <c r="D162" s="48" t="str">
        <f>EtalonRes!O37</f>
        <v>м2</v>
      </c>
      <c r="E162" s="49">
        <f>EtalonRes!X37</f>
        <v>111.1</v>
      </c>
      <c r="F162" s="47"/>
      <c r="G162" s="49">
        <f>ROUND(EtalonRes!AG37*Source!I36, 7)</f>
        <v>4.444</v>
      </c>
      <c r="H162" s="56"/>
      <c r="I162" s="57"/>
      <c r="J162" s="56"/>
      <c r="K162" s="55"/>
      <c r="L162" s="56"/>
    </row>
    <row r="163" spans="1:83" ht="15" x14ac:dyDescent="0.2">
      <c r="A163" s="40"/>
      <c r="B163" s="40"/>
      <c r="C163" s="53" t="s">
        <v>472</v>
      </c>
      <c r="D163" s="41"/>
      <c r="E163" s="44"/>
      <c r="F163" s="39"/>
      <c r="G163" s="44"/>
      <c r="H163" s="45"/>
      <c r="I163" s="43"/>
      <c r="J163" s="45"/>
      <c r="K163" s="40"/>
      <c r="L163" s="45">
        <f>L152+L154+L155+L158</f>
        <v>405.15</v>
      </c>
    </row>
    <row r="164" spans="1:83" ht="14.25" x14ac:dyDescent="0.2">
      <c r="A164" s="40"/>
      <c r="B164" s="40"/>
      <c r="C164" s="40" t="s">
        <v>473</v>
      </c>
      <c r="D164" s="41"/>
      <c r="E164" s="44"/>
      <c r="F164" s="39"/>
      <c r="G164" s="44"/>
      <c r="H164" s="45"/>
      <c r="I164" s="43"/>
      <c r="J164" s="45"/>
      <c r="K164" s="40"/>
      <c r="L164" s="45">
        <f>SUM(AR151:AR167)+SUM(AS151:AS167)+SUM(AT151:AT167)+SUM(AU151:AU167)+SUM(AV151:AV167)</f>
        <v>211.22</v>
      </c>
    </row>
    <row r="165" spans="1:83" ht="14.25" x14ac:dyDescent="0.2">
      <c r="A165" s="40"/>
      <c r="B165" s="40" t="s">
        <v>69</v>
      </c>
      <c r="C165" s="40" t="s">
        <v>500</v>
      </c>
      <c r="D165" s="41" t="s">
        <v>384</v>
      </c>
      <c r="E165" s="44">
        <f>Source!BZ36</f>
        <v>89</v>
      </c>
      <c r="F165" s="39"/>
      <c r="G165" s="44">
        <f>Source!AT36</f>
        <v>89</v>
      </c>
      <c r="H165" s="45"/>
      <c r="I165" s="43"/>
      <c r="J165" s="45"/>
      <c r="K165" s="40"/>
      <c r="L165" s="45">
        <f>SUM(AZ151:AZ167)</f>
        <v>187.99</v>
      </c>
    </row>
    <row r="166" spans="1:83" ht="14.25" x14ac:dyDescent="0.2">
      <c r="A166" s="55"/>
      <c r="B166" s="55" t="s">
        <v>70</v>
      </c>
      <c r="C166" s="55" t="s">
        <v>501</v>
      </c>
      <c r="D166" s="48" t="s">
        <v>384</v>
      </c>
      <c r="E166" s="49">
        <f>Source!CA36</f>
        <v>44</v>
      </c>
      <c r="F166" s="47"/>
      <c r="G166" s="49">
        <f>Source!AU36</f>
        <v>44</v>
      </c>
      <c r="H166" s="56"/>
      <c r="I166" s="57"/>
      <c r="J166" s="56"/>
      <c r="K166" s="55"/>
      <c r="L166" s="56">
        <f>SUM(BA151:BA167)</f>
        <v>92.94</v>
      </c>
    </row>
    <row r="167" spans="1:83" ht="15" x14ac:dyDescent="0.2">
      <c r="C167" s="163" t="s">
        <v>476</v>
      </c>
      <c r="D167" s="163"/>
      <c r="E167" s="163"/>
      <c r="F167" s="163"/>
      <c r="G167" s="163"/>
      <c r="H167" s="163"/>
      <c r="I167" s="164">
        <f>K167/E151</f>
        <v>17152</v>
      </c>
      <c r="J167" s="164"/>
      <c r="K167" s="164">
        <f>L152+L154+L158+L165+L166+L155</f>
        <v>686.08</v>
      </c>
      <c r="L167" s="164"/>
      <c r="AD167">
        <f>ROUND((Source!AT36/100)*((ROUND(SUMIF(SmtRes!AQ34:'SmtRes'!AQ39,"=1",SmtRes!AD34:'SmtRes'!AD39)*Source!I36, 2)+ROUND(SUMIF(SmtRes!AQ34:'SmtRes'!AQ39,"=1",SmtRes!AC34:'SmtRes'!AC39)*Source!I36, 2))), 2)</f>
        <v>18.38</v>
      </c>
      <c r="AE167">
        <f>ROUND((Source!AU36/100)*((ROUND(SUMIF(SmtRes!AQ34:'SmtRes'!AQ39,"=1",SmtRes!AD34:'SmtRes'!AD39)*Source!I36, 2)+ROUND(SUMIF(SmtRes!AQ34:'SmtRes'!AQ39,"=1",SmtRes!AC34:'SmtRes'!AC39)*Source!I36, 2))), 2)</f>
        <v>9.09</v>
      </c>
      <c r="AN167" s="52">
        <f>L152+L154+L158+L165+L166+L155</f>
        <v>686.08</v>
      </c>
      <c r="AO167" s="52">
        <f>L154</f>
        <v>1.3</v>
      </c>
      <c r="AQ167" t="s">
        <v>477</v>
      </c>
      <c r="AR167" s="52">
        <f>L152</f>
        <v>210.58</v>
      </c>
      <c r="AT167" s="52">
        <f>L155</f>
        <v>0.64</v>
      </c>
      <c r="AV167" t="s">
        <v>477</v>
      </c>
      <c r="AW167" s="52">
        <f>L158</f>
        <v>192.63</v>
      </c>
      <c r="AZ167">
        <f>Source!X36</f>
        <v>187.99</v>
      </c>
      <c r="BA167">
        <f>Source!Y36</f>
        <v>92.94</v>
      </c>
      <c r="CD167">
        <v>1</v>
      </c>
    </row>
    <row r="168" spans="1:83" ht="133.5" x14ac:dyDescent="0.2">
      <c r="A168" s="38" t="s">
        <v>71</v>
      </c>
      <c r="B168" s="40" t="s">
        <v>502</v>
      </c>
      <c r="C168" s="40" t="s">
        <v>503</v>
      </c>
      <c r="D168" s="41" t="str">
        <f>Source!H37</f>
        <v>100 м2</v>
      </c>
      <c r="E168" s="44">
        <f>Source!K37</f>
        <v>0.04</v>
      </c>
      <c r="F168" s="39"/>
      <c r="G168" s="44">
        <f>Source!I37</f>
        <v>0.04</v>
      </c>
      <c r="H168" s="45"/>
      <c r="I168" s="43"/>
      <c r="J168" s="45"/>
      <c r="K168" s="40"/>
      <c r="L168" s="45"/>
    </row>
    <row r="169" spans="1:83" ht="15" x14ac:dyDescent="0.2">
      <c r="A169" s="39"/>
      <c r="B169" s="42">
        <v>1</v>
      </c>
      <c r="C169" s="39" t="s">
        <v>470</v>
      </c>
      <c r="D169" s="41" t="s">
        <v>278</v>
      </c>
      <c r="E169" s="44"/>
      <c r="F169" s="42"/>
      <c r="G169" s="44">
        <f>Source!U37</f>
        <v>2.8989199999999999</v>
      </c>
      <c r="H169" s="42"/>
      <c r="I169" s="42"/>
      <c r="J169" s="42"/>
      <c r="K169" s="42"/>
      <c r="L169" s="46">
        <f>SUM(L170:L170)-SUMIF(CE170:CE170, 1, L170:L170)</f>
        <v>704.93</v>
      </c>
    </row>
    <row r="170" spans="1:83" ht="28.5" x14ac:dyDescent="0.2">
      <c r="A170" s="40"/>
      <c r="B170" s="40" t="s">
        <v>347</v>
      </c>
      <c r="C170" s="40" t="s">
        <v>348</v>
      </c>
      <c r="D170" s="41" t="s">
        <v>278</v>
      </c>
      <c r="E170" s="44">
        <v>63.02</v>
      </c>
      <c r="F170" s="39">
        <f>ROUND(1.15,7)</f>
        <v>1.1499999999999999</v>
      </c>
      <c r="G170" s="44">
        <f>SmtRes!CX40</f>
        <v>2.8989199999999999</v>
      </c>
      <c r="H170" s="45"/>
      <c r="I170" s="43"/>
      <c r="J170" s="45">
        <f>SmtRes!CZ40</f>
        <v>243.17</v>
      </c>
      <c r="K170" s="40"/>
      <c r="L170" s="45">
        <f>SmtRes!DI40</f>
        <v>704.93</v>
      </c>
    </row>
    <row r="171" spans="1:83" ht="15" x14ac:dyDescent="0.2">
      <c r="A171" s="39"/>
      <c r="B171" s="42">
        <v>2</v>
      </c>
      <c r="C171" s="39" t="s">
        <v>480</v>
      </c>
      <c r="D171" s="41"/>
      <c r="E171" s="44"/>
      <c r="F171" s="42"/>
      <c r="G171" s="44"/>
      <c r="H171" s="42"/>
      <c r="I171" s="42"/>
      <c r="J171" s="42"/>
      <c r="K171" s="42"/>
      <c r="L171" s="46">
        <f>SUM(L172:L176)-SUMIF(CE172:CE176, 1, L172:L176)</f>
        <v>6</v>
      </c>
    </row>
    <row r="172" spans="1:83" ht="15" x14ac:dyDescent="0.2">
      <c r="A172" s="39"/>
      <c r="B172" s="42"/>
      <c r="C172" s="39" t="s">
        <v>483</v>
      </c>
      <c r="D172" s="41" t="s">
        <v>278</v>
      </c>
      <c r="E172" s="44"/>
      <c r="F172" s="42"/>
      <c r="G172" s="44">
        <f>Source!V37</f>
        <v>1.2500000000000001E-2</v>
      </c>
      <c r="H172" s="42"/>
      <c r="I172" s="42"/>
      <c r="J172" s="42"/>
      <c r="K172" s="42"/>
      <c r="L172" s="46">
        <f>SUMIF(CE173:CE176, 1, L173:L176)</f>
        <v>3.3</v>
      </c>
      <c r="CE172">
        <v>1</v>
      </c>
    </row>
    <row r="173" spans="1:83" ht="42.75" x14ac:dyDescent="0.2">
      <c r="A173" s="40"/>
      <c r="B173" s="40" t="s">
        <v>349</v>
      </c>
      <c r="C173" s="40" t="s">
        <v>351</v>
      </c>
      <c r="D173" s="41" t="s">
        <v>289</v>
      </c>
      <c r="E173" s="44">
        <v>0.03</v>
      </c>
      <c r="F173" s="39">
        <f>ROUND(1.25,7)</f>
        <v>1.25</v>
      </c>
      <c r="G173" s="44">
        <f>SmtRes!CX42</f>
        <v>1.5E-3</v>
      </c>
      <c r="H173" s="45">
        <f>SmtRes!CZ42</f>
        <v>30.61</v>
      </c>
      <c r="I173" s="43">
        <f>SmtRes!AJ42</f>
        <v>1.31</v>
      </c>
      <c r="J173" s="45">
        <f>ROUND(H173*I173, 2)</f>
        <v>40.1</v>
      </c>
      <c r="K173" s="40"/>
      <c r="L173" s="45">
        <f>SmtRes!DG42</f>
        <v>0.06</v>
      </c>
    </row>
    <row r="174" spans="1:83" ht="28.5" x14ac:dyDescent="0.2">
      <c r="A174" s="40"/>
      <c r="B174" s="40" t="s">
        <v>290</v>
      </c>
      <c r="C174" s="40" t="s">
        <v>481</v>
      </c>
      <c r="D174" s="41" t="s">
        <v>278</v>
      </c>
      <c r="E174" s="44">
        <f>SmtRes!DO42*SmtRes!AT42</f>
        <v>0.03</v>
      </c>
      <c r="F174" s="39">
        <f>ROUND(1.25,7)</f>
        <v>1.25</v>
      </c>
      <c r="G174" s="44">
        <f>SmtRes!DO42*SmtRes!CX42</f>
        <v>1.5E-3</v>
      </c>
      <c r="H174" s="45"/>
      <c r="I174" s="43"/>
      <c r="J174" s="45">
        <f>ROUND(SmtRes!AG42/SmtRes!DO42, 2)</f>
        <v>237.19</v>
      </c>
      <c r="K174" s="40"/>
      <c r="L174" s="45">
        <f>SmtRes!DH42</f>
        <v>0.36</v>
      </c>
      <c r="CE174">
        <v>1</v>
      </c>
    </row>
    <row r="175" spans="1:83" ht="28.5" x14ac:dyDescent="0.2">
      <c r="A175" s="40"/>
      <c r="B175" s="40" t="s">
        <v>291</v>
      </c>
      <c r="C175" s="40" t="s">
        <v>293</v>
      </c>
      <c r="D175" s="41" t="s">
        <v>289</v>
      </c>
      <c r="E175" s="44">
        <v>0.22</v>
      </c>
      <c r="F175" s="39">
        <f>ROUND(1.25,7)</f>
        <v>1.25</v>
      </c>
      <c r="G175" s="44">
        <f>SmtRes!CX43</f>
        <v>1.0999999999999999E-2</v>
      </c>
      <c r="H175" s="45">
        <f>SmtRes!CZ43</f>
        <v>477.92</v>
      </c>
      <c r="I175" s="43">
        <f>SmtRes!AJ43</f>
        <v>1.1299999999999999</v>
      </c>
      <c r="J175" s="45">
        <f>ROUND(H175*I175, 2)</f>
        <v>540.04999999999995</v>
      </c>
      <c r="K175" s="40"/>
      <c r="L175" s="45">
        <f>SmtRes!DG43</f>
        <v>5.94</v>
      </c>
    </row>
    <row r="176" spans="1:83" ht="28.5" x14ac:dyDescent="0.2">
      <c r="A176" s="40"/>
      <c r="B176" s="40" t="s">
        <v>294</v>
      </c>
      <c r="C176" s="40" t="s">
        <v>482</v>
      </c>
      <c r="D176" s="41" t="s">
        <v>278</v>
      </c>
      <c r="E176" s="44">
        <f>SmtRes!DO43*SmtRes!AT43</f>
        <v>0.22</v>
      </c>
      <c r="F176" s="39">
        <f>ROUND(1.25,7)</f>
        <v>1.25</v>
      </c>
      <c r="G176" s="44">
        <f>SmtRes!DO43*SmtRes!CX43</f>
        <v>1.0999999999999999E-2</v>
      </c>
      <c r="H176" s="45"/>
      <c r="I176" s="43"/>
      <c r="J176" s="45">
        <f>ROUND(SmtRes!AG43/SmtRes!DO43, 2)</f>
        <v>267.08999999999997</v>
      </c>
      <c r="K176" s="40"/>
      <c r="L176" s="45">
        <f>SmtRes!DH43</f>
        <v>2.94</v>
      </c>
      <c r="CE176">
        <v>1</v>
      </c>
    </row>
    <row r="177" spans="1:82" ht="15" x14ac:dyDescent="0.2">
      <c r="A177" s="39"/>
      <c r="B177" s="42">
        <v>4</v>
      </c>
      <c r="C177" s="39" t="s">
        <v>471</v>
      </c>
      <c r="D177" s="41"/>
      <c r="E177" s="44"/>
      <c r="F177" s="42"/>
      <c r="G177" s="44"/>
      <c r="H177" s="42"/>
      <c r="I177" s="42"/>
      <c r="J177" s="42"/>
      <c r="K177" s="42"/>
      <c r="L177" s="46">
        <f>SUM(L178:L182)-SUMIF(CE178:CE182, 1, L178:L182)</f>
        <v>868.54</v>
      </c>
    </row>
    <row r="178" spans="1:82" ht="28.5" x14ac:dyDescent="0.2">
      <c r="A178" s="40"/>
      <c r="B178" s="40" t="s">
        <v>352</v>
      </c>
      <c r="C178" s="40" t="s">
        <v>354</v>
      </c>
      <c r="D178" s="41" t="s">
        <v>49</v>
      </c>
      <c r="E178" s="44">
        <v>0.88</v>
      </c>
      <c r="F178" s="39"/>
      <c r="G178" s="44">
        <f>SmtRes!CX44</f>
        <v>3.5200000000000002E-2</v>
      </c>
      <c r="H178" s="45">
        <f>SmtRes!CZ44</f>
        <v>531.44000000000005</v>
      </c>
      <c r="I178" s="43">
        <f>SmtRes!AI44</f>
        <v>1.02</v>
      </c>
      <c r="J178" s="45">
        <f>ROUND(H178*I178, 2)</f>
        <v>542.07000000000005</v>
      </c>
      <c r="K178" s="40"/>
      <c r="L178" s="45">
        <f>SmtRes!DF44</f>
        <v>19.079999999999998</v>
      </c>
    </row>
    <row r="179" spans="1:82" ht="14.25" x14ac:dyDescent="0.2">
      <c r="A179" s="40"/>
      <c r="B179" s="40" t="s">
        <v>333</v>
      </c>
      <c r="C179" s="40" t="s">
        <v>335</v>
      </c>
      <c r="D179" s="41" t="s">
        <v>336</v>
      </c>
      <c r="E179" s="44">
        <v>0.36</v>
      </c>
      <c r="F179" s="39"/>
      <c r="G179" s="44">
        <f>SmtRes!CX45</f>
        <v>1.44E-2</v>
      </c>
      <c r="H179" s="45">
        <f>SmtRes!CZ45</f>
        <v>56.81</v>
      </c>
      <c r="I179" s="43">
        <f>SmtRes!AI45</f>
        <v>1.87</v>
      </c>
      <c r="J179" s="45">
        <f>ROUND(H179*I179, 2)</f>
        <v>106.23</v>
      </c>
      <c r="K179" s="40"/>
      <c r="L179" s="45">
        <f>SmtRes!DF45</f>
        <v>1.53</v>
      </c>
    </row>
    <row r="180" spans="1:82" ht="14.25" x14ac:dyDescent="0.2">
      <c r="A180" s="40"/>
      <c r="B180" s="40" t="s">
        <v>326</v>
      </c>
      <c r="C180" s="40" t="s">
        <v>355</v>
      </c>
      <c r="D180" s="41" t="s">
        <v>281</v>
      </c>
      <c r="E180" s="44">
        <v>3.3000000000000002E-2</v>
      </c>
      <c r="F180" s="39"/>
      <c r="G180" s="44">
        <f>SmtRes!CX46</f>
        <v>1.32E-3</v>
      </c>
      <c r="H180" s="45">
        <f>SmtRes!CZ46</f>
        <v>306015</v>
      </c>
      <c r="I180" s="43"/>
      <c r="J180" s="45"/>
      <c r="K180" s="40"/>
      <c r="L180" s="45">
        <f>SmtRes!DF46</f>
        <v>403.94</v>
      </c>
    </row>
    <row r="181" spans="1:82" ht="14.25" x14ac:dyDescent="0.2">
      <c r="A181" s="40"/>
      <c r="B181" s="40" t="s">
        <v>326</v>
      </c>
      <c r="C181" s="40" t="s">
        <v>337</v>
      </c>
      <c r="D181" s="41" t="s">
        <v>281</v>
      </c>
      <c r="E181" s="44">
        <v>2.1999999999999999E-2</v>
      </c>
      <c r="F181" s="39"/>
      <c r="G181" s="44">
        <f>SmtRes!CX47</f>
        <v>8.8000000000000003E-4</v>
      </c>
      <c r="H181" s="45">
        <f>SmtRes!CZ47</f>
        <v>117000</v>
      </c>
      <c r="I181" s="43"/>
      <c r="J181" s="45"/>
      <c r="K181" s="40"/>
      <c r="L181" s="45">
        <f>SmtRes!DF47</f>
        <v>102.96</v>
      </c>
    </row>
    <row r="182" spans="1:82" ht="14.25" x14ac:dyDescent="0.2">
      <c r="A182" s="40"/>
      <c r="B182" s="40" t="s">
        <v>326</v>
      </c>
      <c r="C182" s="40" t="s">
        <v>356</v>
      </c>
      <c r="D182" s="41" t="s">
        <v>281</v>
      </c>
      <c r="E182" s="44">
        <v>9.1999999999999998E-2</v>
      </c>
      <c r="F182" s="39"/>
      <c r="G182" s="44">
        <f>SmtRes!CX48</f>
        <v>3.6800000000000001E-3</v>
      </c>
      <c r="H182" s="45">
        <f>SmtRes!CZ48</f>
        <v>92670</v>
      </c>
      <c r="I182" s="43"/>
      <c r="J182" s="45"/>
      <c r="K182" s="40"/>
      <c r="L182" s="45">
        <f>SmtRes!DF48</f>
        <v>341.03</v>
      </c>
    </row>
    <row r="183" spans="1:82" ht="14.25" x14ac:dyDescent="0.2">
      <c r="A183" s="40"/>
      <c r="B183" s="40" t="str">
        <f>EtalonRes!I46</f>
        <v>14.3.02.01</v>
      </c>
      <c r="C183" s="40" t="str">
        <f>EtalonRes!K46</f>
        <v>Краска акриловая</v>
      </c>
      <c r="D183" s="41" t="str">
        <f>EtalonRes!O46</f>
        <v>т</v>
      </c>
      <c r="E183" s="44">
        <f>EtalonRes!X46</f>
        <v>3.3000000000000002E-2</v>
      </c>
      <c r="F183" s="39"/>
      <c r="G183" s="44">
        <f>ROUND(EtalonRes!AG46*Source!I37, 7)</f>
        <v>1.32E-3</v>
      </c>
      <c r="H183" s="45"/>
      <c r="I183" s="43"/>
      <c r="J183" s="45"/>
      <c r="K183" s="40"/>
      <c r="L183" s="45"/>
    </row>
    <row r="184" spans="1:82" ht="14.25" x14ac:dyDescent="0.2">
      <c r="A184" s="40"/>
      <c r="B184" s="40" t="str">
        <f>EtalonRes!I47</f>
        <v>14.4.01.02</v>
      </c>
      <c r="C184" s="55" t="str">
        <f>EtalonRes!K47</f>
        <v>Грунтовка</v>
      </c>
      <c r="D184" s="48" t="str">
        <f>EtalonRes!O47</f>
        <v>т</v>
      </c>
      <c r="E184" s="49">
        <f>EtalonRes!X47</f>
        <v>2.1999999999999999E-2</v>
      </c>
      <c r="F184" s="47"/>
      <c r="G184" s="49">
        <f>ROUND(EtalonRes!AG47*Source!I37, 7)</f>
        <v>8.8000000000000003E-4</v>
      </c>
      <c r="H184" s="56"/>
      <c r="I184" s="57"/>
      <c r="J184" s="56"/>
      <c r="K184" s="55"/>
      <c r="L184" s="56"/>
    </row>
    <row r="185" spans="1:82" ht="15" x14ac:dyDescent="0.2">
      <c r="A185" s="40"/>
      <c r="B185" s="40"/>
      <c r="C185" s="53" t="s">
        <v>472</v>
      </c>
      <c r="D185" s="41"/>
      <c r="E185" s="44"/>
      <c r="F185" s="39"/>
      <c r="G185" s="44"/>
      <c r="H185" s="45"/>
      <c r="I185" s="43"/>
      <c r="J185" s="45"/>
      <c r="K185" s="40"/>
      <c r="L185" s="45">
        <f>L169+L171+L172+L177</f>
        <v>1582.77</v>
      </c>
    </row>
    <row r="186" spans="1:82" ht="14.25" x14ac:dyDescent="0.2">
      <c r="A186" s="40"/>
      <c r="B186" s="40"/>
      <c r="C186" s="40" t="s">
        <v>473</v>
      </c>
      <c r="D186" s="41"/>
      <c r="E186" s="44"/>
      <c r="F186" s="39"/>
      <c r="G186" s="44"/>
      <c r="H186" s="45"/>
      <c r="I186" s="43"/>
      <c r="J186" s="45"/>
      <c r="K186" s="40"/>
      <c r="L186" s="45">
        <f>SUM(AR168:AR189)+SUM(AS168:AS189)+SUM(AT168:AT189)+SUM(AU168:AU189)+SUM(AV168:AV189)</f>
        <v>708.2299999999999</v>
      </c>
    </row>
    <row r="187" spans="1:82" ht="28.5" x14ac:dyDescent="0.2">
      <c r="A187" s="40"/>
      <c r="B187" s="40" t="s">
        <v>495</v>
      </c>
      <c r="C187" s="40" t="s">
        <v>496</v>
      </c>
      <c r="D187" s="41" t="s">
        <v>384</v>
      </c>
      <c r="E187" s="44">
        <f>Source!BZ37</f>
        <v>100</v>
      </c>
      <c r="F187" s="39">
        <f>ROUND(0.9,7)</f>
        <v>0.9</v>
      </c>
      <c r="G187" s="44">
        <f>Source!AT37</f>
        <v>90</v>
      </c>
      <c r="H187" s="45"/>
      <c r="I187" s="43"/>
      <c r="J187" s="45"/>
      <c r="K187" s="40"/>
      <c r="L187" s="45">
        <f>SUM(AZ168:AZ189)</f>
        <v>637.41</v>
      </c>
    </row>
    <row r="188" spans="1:82" ht="28.5" x14ac:dyDescent="0.2">
      <c r="A188" s="55"/>
      <c r="B188" s="55" t="s">
        <v>497</v>
      </c>
      <c r="C188" s="55" t="s">
        <v>498</v>
      </c>
      <c r="D188" s="48" t="s">
        <v>384</v>
      </c>
      <c r="E188" s="49">
        <f>Source!CA37</f>
        <v>49</v>
      </c>
      <c r="F188" s="47">
        <f>ROUND(0.85,7)</f>
        <v>0.85</v>
      </c>
      <c r="G188" s="49">
        <f>Source!AU37</f>
        <v>41.65</v>
      </c>
      <c r="H188" s="56"/>
      <c r="I188" s="57"/>
      <c r="J188" s="56"/>
      <c r="K188" s="55"/>
      <c r="L188" s="56">
        <f>SUM(BA168:BA189)</f>
        <v>294.98</v>
      </c>
    </row>
    <row r="189" spans="1:82" ht="15" x14ac:dyDescent="0.2">
      <c r="C189" s="163" t="s">
        <v>476</v>
      </c>
      <c r="D189" s="163"/>
      <c r="E189" s="163"/>
      <c r="F189" s="163"/>
      <c r="G189" s="163"/>
      <c r="H189" s="163"/>
      <c r="I189" s="164">
        <f>K189/E168</f>
        <v>62878.999999999993</v>
      </c>
      <c r="J189" s="164"/>
      <c r="K189" s="164">
        <f>L169+L171+L177+L187+L188+L172</f>
        <v>2515.16</v>
      </c>
      <c r="L189" s="164"/>
      <c r="AD189">
        <f>ROUND((Source!AT37/100)*((ROUND(SUMIF(SmtRes!AQ40:'SmtRes'!AQ48,"=1",SmtRes!AD40:'SmtRes'!AD48)*Source!I37, 2)+ROUND(SUMIF(SmtRes!AQ40:'SmtRes'!AQ48,"=1",SmtRes!AC40:'SmtRes'!AC48)*Source!I37, 2))), 2)</f>
        <v>26.91</v>
      </c>
      <c r="AE189">
        <f>ROUND((Source!AU37/100)*((ROUND(SUMIF(SmtRes!AQ40:'SmtRes'!AQ48,"=1",SmtRes!AD40:'SmtRes'!AD48)*Source!I37, 2)+ROUND(SUMIF(SmtRes!AQ40:'SmtRes'!AQ48,"=1",SmtRes!AC40:'SmtRes'!AC48)*Source!I37, 2))), 2)</f>
        <v>12.45</v>
      </c>
      <c r="AN189" s="52">
        <f>L169+L171+L177+L187+L188+L172</f>
        <v>2515.16</v>
      </c>
      <c r="AO189" s="52">
        <f>L171</f>
        <v>6</v>
      </c>
      <c r="AQ189" t="s">
        <v>477</v>
      </c>
      <c r="AR189" s="52">
        <f>L169</f>
        <v>704.93</v>
      </c>
      <c r="AT189" s="52">
        <f>L172</f>
        <v>3.3</v>
      </c>
      <c r="AV189" t="s">
        <v>477</v>
      </c>
      <c r="AW189" s="52">
        <f>L177</f>
        <v>868.54</v>
      </c>
      <c r="AZ189">
        <f>Source!X37</f>
        <v>637.41</v>
      </c>
      <c r="BA189">
        <f>Source!Y37</f>
        <v>294.98</v>
      </c>
      <c r="CD189">
        <v>1</v>
      </c>
    </row>
    <row r="190" spans="1:82" ht="119.25" x14ac:dyDescent="0.2">
      <c r="A190" s="38" t="s">
        <v>75</v>
      </c>
      <c r="B190" s="40" t="s">
        <v>504</v>
      </c>
      <c r="C190" s="40" t="s">
        <v>505</v>
      </c>
      <c r="D190" s="41" t="str">
        <f>Source!H38</f>
        <v>100 м2</v>
      </c>
      <c r="E190" s="44">
        <f>Source!K38</f>
        <v>0.65</v>
      </c>
      <c r="F190" s="39"/>
      <c r="G190" s="44">
        <f>Source!I38</f>
        <v>0.65</v>
      </c>
      <c r="H190" s="45"/>
      <c r="I190" s="43"/>
      <c r="J190" s="45"/>
      <c r="K190" s="40"/>
      <c r="L190" s="45"/>
    </row>
    <row r="191" spans="1:82" ht="15" x14ac:dyDescent="0.2">
      <c r="A191" s="39"/>
      <c r="B191" s="42">
        <v>1</v>
      </c>
      <c r="C191" s="39" t="s">
        <v>470</v>
      </c>
      <c r="D191" s="41" t="s">
        <v>278</v>
      </c>
      <c r="E191" s="44"/>
      <c r="F191" s="42"/>
      <c r="G191" s="44">
        <f>Source!U38</f>
        <v>4.2458</v>
      </c>
      <c r="H191" s="42"/>
      <c r="I191" s="42"/>
      <c r="J191" s="42"/>
      <c r="K191" s="42"/>
      <c r="L191" s="46">
        <f>SUM(L192:L192)-SUMIF(CE192:CE192, 1, L192:L192)</f>
        <v>1134.01</v>
      </c>
    </row>
    <row r="192" spans="1:82" ht="28.5" x14ac:dyDescent="0.2">
      <c r="A192" s="40"/>
      <c r="B192" s="40" t="s">
        <v>331</v>
      </c>
      <c r="C192" s="40" t="s">
        <v>332</v>
      </c>
      <c r="D192" s="41" t="s">
        <v>278</v>
      </c>
      <c r="E192" s="44">
        <v>5.68</v>
      </c>
      <c r="F192" s="39">
        <f>ROUND(1.15,7)</f>
        <v>1.1499999999999999</v>
      </c>
      <c r="G192" s="44">
        <f>SmtRes!CX49</f>
        <v>4.2458</v>
      </c>
      <c r="H192" s="45"/>
      <c r="I192" s="43"/>
      <c r="J192" s="45">
        <f>SmtRes!CZ49</f>
        <v>267.08999999999997</v>
      </c>
      <c r="K192" s="40"/>
      <c r="L192" s="45">
        <f>SmtRes!DI49</f>
        <v>1134.01</v>
      </c>
    </row>
    <row r="193" spans="1:83" ht="15" x14ac:dyDescent="0.2">
      <c r="A193" s="39"/>
      <c r="B193" s="42">
        <v>2</v>
      </c>
      <c r="C193" s="39" t="s">
        <v>480</v>
      </c>
      <c r="D193" s="41"/>
      <c r="E193" s="44"/>
      <c r="F193" s="42"/>
      <c r="G193" s="44"/>
      <c r="H193" s="42"/>
      <c r="I193" s="42"/>
      <c r="J193" s="42"/>
      <c r="K193" s="42"/>
      <c r="L193" s="46">
        <f>SUM(L194:L198)-SUMIF(CE194:CE198, 1, L194:L198)</f>
        <v>4.7900000000000009</v>
      </c>
    </row>
    <row r="194" spans="1:83" ht="15" x14ac:dyDescent="0.2">
      <c r="A194" s="39"/>
      <c r="B194" s="42"/>
      <c r="C194" s="39" t="s">
        <v>483</v>
      </c>
      <c r="D194" s="41" t="s">
        <v>278</v>
      </c>
      <c r="E194" s="44"/>
      <c r="F194" s="42"/>
      <c r="G194" s="44">
        <f>Source!V38</f>
        <v>1.6250000000000001E-2</v>
      </c>
      <c r="H194" s="42"/>
      <c r="I194" s="42"/>
      <c r="J194" s="42"/>
      <c r="K194" s="42"/>
      <c r="L194" s="46">
        <f>SUMIF(CE195:CE198, 1, L195:L198)</f>
        <v>4.0999999999999996</v>
      </c>
      <c r="CE194">
        <v>1</v>
      </c>
    </row>
    <row r="195" spans="1:83" ht="42.75" x14ac:dyDescent="0.2">
      <c r="A195" s="40"/>
      <c r="B195" s="40" t="s">
        <v>286</v>
      </c>
      <c r="C195" s="40" t="s">
        <v>288</v>
      </c>
      <c r="D195" s="41" t="s">
        <v>289</v>
      </c>
      <c r="E195" s="44">
        <v>0.01</v>
      </c>
      <c r="F195" s="39">
        <f>ROUND(1.25,7)</f>
        <v>1.25</v>
      </c>
      <c r="G195" s="44">
        <f>SmtRes!CX51</f>
        <v>8.1250000000000003E-3</v>
      </c>
      <c r="H195" s="45">
        <f>SmtRes!CZ51</f>
        <v>37.32</v>
      </c>
      <c r="I195" s="43">
        <f>SmtRes!AJ51</f>
        <v>1.31</v>
      </c>
      <c r="J195" s="45">
        <f>ROUND(H195*I195, 2)</f>
        <v>48.89</v>
      </c>
      <c r="K195" s="40"/>
      <c r="L195" s="45">
        <f>SmtRes!DG51</f>
        <v>0.4</v>
      </c>
    </row>
    <row r="196" spans="1:83" ht="28.5" x14ac:dyDescent="0.2">
      <c r="A196" s="40"/>
      <c r="B196" s="40" t="s">
        <v>290</v>
      </c>
      <c r="C196" s="40" t="s">
        <v>481</v>
      </c>
      <c r="D196" s="41" t="s">
        <v>278</v>
      </c>
      <c r="E196" s="44">
        <f>SmtRes!DO51*SmtRes!AT51</f>
        <v>0.01</v>
      </c>
      <c r="F196" s="39">
        <f>ROUND(1.25,7)</f>
        <v>1.25</v>
      </c>
      <c r="G196" s="44">
        <f>SmtRes!DO51*SmtRes!CX51</f>
        <v>8.1250000000000003E-3</v>
      </c>
      <c r="H196" s="45"/>
      <c r="I196" s="43"/>
      <c r="J196" s="45">
        <f>ROUND(SmtRes!AG51/SmtRes!DO51, 2)</f>
        <v>237.19</v>
      </c>
      <c r="K196" s="40"/>
      <c r="L196" s="45">
        <f>SmtRes!DH51</f>
        <v>1.93</v>
      </c>
      <c r="CE196">
        <v>1</v>
      </c>
    </row>
    <row r="197" spans="1:83" ht="28.5" x14ac:dyDescent="0.2">
      <c r="A197" s="40"/>
      <c r="B197" s="40" t="s">
        <v>291</v>
      </c>
      <c r="C197" s="40" t="s">
        <v>293</v>
      </c>
      <c r="D197" s="41" t="s">
        <v>289</v>
      </c>
      <c r="E197" s="44">
        <v>0.01</v>
      </c>
      <c r="F197" s="39">
        <f>ROUND(1.25,7)</f>
        <v>1.25</v>
      </c>
      <c r="G197" s="44">
        <f>SmtRes!CX52</f>
        <v>8.1250000000000003E-3</v>
      </c>
      <c r="H197" s="45">
        <f>SmtRes!CZ52</f>
        <v>477.92</v>
      </c>
      <c r="I197" s="43">
        <f>SmtRes!AJ52</f>
        <v>1.1299999999999999</v>
      </c>
      <c r="J197" s="45">
        <f>ROUND(H197*I197, 2)</f>
        <v>540.04999999999995</v>
      </c>
      <c r="K197" s="40"/>
      <c r="L197" s="45">
        <f>SmtRes!DG52</f>
        <v>4.3899999999999997</v>
      </c>
    </row>
    <row r="198" spans="1:83" ht="28.5" x14ac:dyDescent="0.2">
      <c r="A198" s="40"/>
      <c r="B198" s="40" t="s">
        <v>294</v>
      </c>
      <c r="C198" s="40" t="s">
        <v>482</v>
      </c>
      <c r="D198" s="41" t="s">
        <v>278</v>
      </c>
      <c r="E198" s="44">
        <f>SmtRes!DO52*SmtRes!AT52</f>
        <v>0.01</v>
      </c>
      <c r="F198" s="39">
        <f>ROUND(1.25,7)</f>
        <v>1.25</v>
      </c>
      <c r="G198" s="44">
        <f>SmtRes!DO52*SmtRes!CX52</f>
        <v>8.1250000000000003E-3</v>
      </c>
      <c r="H198" s="45"/>
      <c r="I198" s="43"/>
      <c r="J198" s="45">
        <f>ROUND(SmtRes!AG52/SmtRes!DO52, 2)</f>
        <v>267.08999999999997</v>
      </c>
      <c r="K198" s="40"/>
      <c r="L198" s="45">
        <f>SmtRes!DH52</f>
        <v>2.17</v>
      </c>
      <c r="CE198">
        <v>1</v>
      </c>
    </row>
    <row r="199" spans="1:83" ht="15" x14ac:dyDescent="0.2">
      <c r="A199" s="39"/>
      <c r="B199" s="42">
        <v>4</v>
      </c>
      <c r="C199" s="39" t="s">
        <v>471</v>
      </c>
      <c r="D199" s="41"/>
      <c r="E199" s="44"/>
      <c r="F199" s="42"/>
      <c r="G199" s="44"/>
      <c r="H199" s="42"/>
      <c r="I199" s="42"/>
      <c r="J199" s="42"/>
      <c r="K199" s="42"/>
      <c r="L199" s="46">
        <f>SUM(L200:L201)-SUMIF(CE200:CE201, 1, L200:L201)</f>
        <v>790.22</v>
      </c>
    </row>
    <row r="200" spans="1:83" ht="14.25" x14ac:dyDescent="0.2">
      <c r="A200" s="40"/>
      <c r="B200" s="40" t="s">
        <v>333</v>
      </c>
      <c r="C200" s="40" t="s">
        <v>335</v>
      </c>
      <c r="D200" s="41" t="s">
        <v>336</v>
      </c>
      <c r="E200" s="44">
        <v>0.1</v>
      </c>
      <c r="F200" s="39"/>
      <c r="G200" s="44">
        <f>SmtRes!CX53</f>
        <v>6.5000000000000002E-2</v>
      </c>
      <c r="H200" s="45">
        <f>SmtRes!CZ53</f>
        <v>56.81</v>
      </c>
      <c r="I200" s="43">
        <f>SmtRes!AI53</f>
        <v>1.87</v>
      </c>
      <c r="J200" s="45">
        <f>ROUND(H200*I200, 2)</f>
        <v>106.23</v>
      </c>
      <c r="K200" s="40"/>
      <c r="L200" s="45">
        <f>SmtRes!DF53</f>
        <v>6.9</v>
      </c>
    </row>
    <row r="201" spans="1:83" ht="14.25" x14ac:dyDescent="0.2">
      <c r="A201" s="40"/>
      <c r="B201" s="40" t="s">
        <v>326</v>
      </c>
      <c r="C201" s="40" t="s">
        <v>337</v>
      </c>
      <c r="D201" s="41" t="s">
        <v>281</v>
      </c>
      <c r="E201" s="44">
        <v>1.03E-2</v>
      </c>
      <c r="F201" s="39"/>
      <c r="G201" s="44">
        <f>SmtRes!CX54</f>
        <v>6.6950000000000004E-3</v>
      </c>
      <c r="H201" s="45">
        <f>SmtRes!CZ54</f>
        <v>117000</v>
      </c>
      <c r="I201" s="43"/>
      <c r="J201" s="45"/>
      <c r="K201" s="40"/>
      <c r="L201" s="45">
        <f>SmtRes!DF54</f>
        <v>783.32</v>
      </c>
    </row>
    <row r="202" spans="1:83" ht="14.25" x14ac:dyDescent="0.2">
      <c r="A202" s="40"/>
      <c r="B202" s="40" t="str">
        <f>EtalonRes!I54</f>
        <v>14.3.01.03</v>
      </c>
      <c r="C202" s="55" t="str">
        <f>EtalonRes!K54</f>
        <v>Грунтовка</v>
      </c>
      <c r="D202" s="48" t="str">
        <f>EtalonRes!O54</f>
        <v>т</v>
      </c>
      <c r="E202" s="49">
        <f>EtalonRes!X54</f>
        <v>1.03E-2</v>
      </c>
      <c r="F202" s="47"/>
      <c r="G202" s="49">
        <f>ROUND(EtalonRes!AG54*Source!I38, 7)</f>
        <v>6.6950000000000004E-3</v>
      </c>
      <c r="H202" s="56"/>
      <c r="I202" s="57"/>
      <c r="J202" s="56"/>
      <c r="K202" s="55"/>
      <c r="L202" s="56"/>
    </row>
    <row r="203" spans="1:83" ht="15" x14ac:dyDescent="0.2">
      <c r="A203" s="40"/>
      <c r="B203" s="40"/>
      <c r="C203" s="53" t="s">
        <v>472</v>
      </c>
      <c r="D203" s="41"/>
      <c r="E203" s="44"/>
      <c r="F203" s="39"/>
      <c r="G203" s="44"/>
      <c r="H203" s="45"/>
      <c r="I203" s="43"/>
      <c r="J203" s="45"/>
      <c r="K203" s="40"/>
      <c r="L203" s="45">
        <f>L191+L193+L194+L199</f>
        <v>1933.12</v>
      </c>
    </row>
    <row r="204" spans="1:83" ht="14.25" x14ac:dyDescent="0.2">
      <c r="A204" s="40"/>
      <c r="B204" s="40"/>
      <c r="C204" s="40" t="s">
        <v>473</v>
      </c>
      <c r="D204" s="41"/>
      <c r="E204" s="44"/>
      <c r="F204" s="39"/>
      <c r="G204" s="44"/>
      <c r="H204" s="45"/>
      <c r="I204" s="43"/>
      <c r="J204" s="45"/>
      <c r="K204" s="40"/>
      <c r="L204" s="45">
        <f>SUM(AR190:AR207)+SUM(AS190:AS207)+SUM(AT190:AT207)+SUM(AU190:AU207)+SUM(AV190:AV207)</f>
        <v>1138.1099999999999</v>
      </c>
    </row>
    <row r="205" spans="1:83" ht="28.5" x14ac:dyDescent="0.2">
      <c r="A205" s="40"/>
      <c r="B205" s="40" t="s">
        <v>495</v>
      </c>
      <c r="C205" s="40" t="s">
        <v>496</v>
      </c>
      <c r="D205" s="41" t="s">
        <v>384</v>
      </c>
      <c r="E205" s="44">
        <f>Source!BZ38</f>
        <v>100</v>
      </c>
      <c r="F205" s="39">
        <f>ROUND(0.9,7)</f>
        <v>0.9</v>
      </c>
      <c r="G205" s="44">
        <f>Source!AT38</f>
        <v>90</v>
      </c>
      <c r="H205" s="45"/>
      <c r="I205" s="43"/>
      <c r="J205" s="45"/>
      <c r="K205" s="40"/>
      <c r="L205" s="45">
        <f>SUM(AZ190:AZ207)</f>
        <v>1024.3</v>
      </c>
    </row>
    <row r="206" spans="1:83" ht="28.5" x14ac:dyDescent="0.2">
      <c r="A206" s="55"/>
      <c r="B206" s="55" t="s">
        <v>497</v>
      </c>
      <c r="C206" s="55" t="s">
        <v>498</v>
      </c>
      <c r="D206" s="48" t="s">
        <v>384</v>
      </c>
      <c r="E206" s="49">
        <f>Source!CA38</f>
        <v>49</v>
      </c>
      <c r="F206" s="47">
        <f>ROUND(0.85,7)</f>
        <v>0.85</v>
      </c>
      <c r="G206" s="49">
        <f>Source!AU38</f>
        <v>41.65</v>
      </c>
      <c r="H206" s="56"/>
      <c r="I206" s="57"/>
      <c r="J206" s="56"/>
      <c r="K206" s="55"/>
      <c r="L206" s="56">
        <f>SUM(BA190:BA207)</f>
        <v>474.02</v>
      </c>
    </row>
    <row r="207" spans="1:83" ht="15" x14ac:dyDescent="0.2">
      <c r="C207" s="163" t="s">
        <v>476</v>
      </c>
      <c r="D207" s="163"/>
      <c r="E207" s="163"/>
      <c r="F207" s="163"/>
      <c r="G207" s="163"/>
      <c r="H207" s="163"/>
      <c r="I207" s="164">
        <f>K207/E190</f>
        <v>5279.1384615384604</v>
      </c>
      <c r="J207" s="164"/>
      <c r="K207" s="164">
        <f>L191+L193+L199+L205+L206+L194</f>
        <v>3431.4399999999996</v>
      </c>
      <c r="L207" s="164"/>
      <c r="AD207">
        <f>ROUND((Source!AT38/100)*((ROUND(SUMIF(SmtRes!AQ49:'SmtRes'!AQ54,"=1",SmtRes!AD49:'SmtRes'!AD54)*Source!I38, 2)+ROUND(SUMIF(SmtRes!AQ49:'SmtRes'!AQ54,"=1",SmtRes!AC49:'SmtRes'!AC54)*Source!I38, 2))), 2)</f>
        <v>451.25</v>
      </c>
      <c r="AE207">
        <f>ROUND((Source!AU38/100)*((ROUND(SUMIF(SmtRes!AQ49:'SmtRes'!AQ54,"=1",SmtRes!AD49:'SmtRes'!AD54)*Source!I38, 2)+ROUND(SUMIF(SmtRes!AQ49:'SmtRes'!AQ54,"=1",SmtRes!AC49:'SmtRes'!AC54)*Source!I38, 2))), 2)</f>
        <v>208.83</v>
      </c>
      <c r="AN207" s="52">
        <f>L191+L193+L199+L205+L206+L194</f>
        <v>3431.4399999999996</v>
      </c>
      <c r="AO207" s="52">
        <f>L193</f>
        <v>4.7900000000000009</v>
      </c>
      <c r="AQ207" t="s">
        <v>477</v>
      </c>
      <c r="AR207" s="52">
        <f>L191</f>
        <v>1134.01</v>
      </c>
      <c r="AT207" s="52">
        <f>L194</f>
        <v>4.0999999999999996</v>
      </c>
      <c r="AV207" t="s">
        <v>477</v>
      </c>
      <c r="AW207" s="52">
        <f>L199</f>
        <v>790.22</v>
      </c>
      <c r="AZ207">
        <f>Source!X38</f>
        <v>1024.3</v>
      </c>
      <c r="BA207">
        <f>Source!Y38</f>
        <v>474.02</v>
      </c>
      <c r="CD207">
        <v>1</v>
      </c>
    </row>
    <row r="208" spans="1:83" ht="133.5" x14ac:dyDescent="0.2">
      <c r="A208" s="38" t="s">
        <v>79</v>
      </c>
      <c r="B208" s="40" t="s">
        <v>506</v>
      </c>
      <c r="C208" s="40" t="s">
        <v>507</v>
      </c>
      <c r="D208" s="41" t="str">
        <f>Source!H39</f>
        <v>100 м2</v>
      </c>
      <c r="E208" s="44">
        <f>Source!K39</f>
        <v>0.81030000000000002</v>
      </c>
      <c r="F208" s="39"/>
      <c r="G208" s="44">
        <f>Source!I39</f>
        <v>0.81030000000000002</v>
      </c>
      <c r="H208" s="45"/>
      <c r="I208" s="43"/>
      <c r="J208" s="45"/>
      <c r="K208" s="40"/>
      <c r="L208" s="45"/>
    </row>
    <row r="209" spans="1:83" ht="15" x14ac:dyDescent="0.2">
      <c r="A209" s="39"/>
      <c r="B209" s="42">
        <v>1</v>
      </c>
      <c r="C209" s="39" t="s">
        <v>470</v>
      </c>
      <c r="D209" s="41" t="s">
        <v>278</v>
      </c>
      <c r="E209" s="44"/>
      <c r="F209" s="42"/>
      <c r="G209" s="44">
        <f>Source!U39</f>
        <v>10.1571105</v>
      </c>
      <c r="H209" s="42"/>
      <c r="I209" s="42"/>
      <c r="J209" s="42"/>
      <c r="K209" s="42"/>
      <c r="L209" s="46">
        <f>SUM(L210:L210)-SUMIF(CE210:CE210, 1, L210:L210)</f>
        <v>2682.49</v>
      </c>
    </row>
    <row r="210" spans="1:83" ht="28.5" x14ac:dyDescent="0.2">
      <c r="A210" s="40"/>
      <c r="B210" s="40" t="s">
        <v>357</v>
      </c>
      <c r="C210" s="40" t="s">
        <v>358</v>
      </c>
      <c r="D210" s="41" t="s">
        <v>278</v>
      </c>
      <c r="E210" s="44">
        <v>10.9</v>
      </c>
      <c r="F210" s="39">
        <f>ROUND(1.15,7)</f>
        <v>1.1499999999999999</v>
      </c>
      <c r="G210" s="44">
        <f>SmtRes!CX55</f>
        <v>10.1571105</v>
      </c>
      <c r="H210" s="45"/>
      <c r="I210" s="43"/>
      <c r="J210" s="45">
        <f>SmtRes!CZ55</f>
        <v>264.10000000000002</v>
      </c>
      <c r="K210" s="40"/>
      <c r="L210" s="45">
        <f>SmtRes!DI55</f>
        <v>2682.49</v>
      </c>
    </row>
    <row r="211" spans="1:83" ht="15" x14ac:dyDescent="0.2">
      <c r="A211" s="39"/>
      <c r="B211" s="42">
        <v>2</v>
      </c>
      <c r="C211" s="39" t="s">
        <v>480</v>
      </c>
      <c r="D211" s="41"/>
      <c r="E211" s="44"/>
      <c r="F211" s="42"/>
      <c r="G211" s="44"/>
      <c r="H211" s="42"/>
      <c r="I211" s="42"/>
      <c r="J211" s="42"/>
      <c r="K211" s="42"/>
      <c r="L211" s="46">
        <f>SUM(L212:L216)-SUMIF(CE212:CE216, 1, L212:L216)</f>
        <v>16.909999999999997</v>
      </c>
    </row>
    <row r="212" spans="1:83" ht="15" x14ac:dyDescent="0.2">
      <c r="A212" s="39"/>
      <c r="B212" s="42"/>
      <c r="C212" s="39" t="s">
        <v>483</v>
      </c>
      <c r="D212" s="41" t="s">
        <v>278</v>
      </c>
      <c r="E212" s="44"/>
      <c r="F212" s="42"/>
      <c r="G212" s="44">
        <f>Source!V39</f>
        <v>4.0515000000000002E-2</v>
      </c>
      <c r="H212" s="42"/>
      <c r="I212" s="42"/>
      <c r="J212" s="42"/>
      <c r="K212" s="42"/>
      <c r="L212" s="46">
        <f>SUMIF(CE213:CE216, 1, L213:L216)</f>
        <v>10.52</v>
      </c>
      <c r="CE212">
        <v>1</v>
      </c>
    </row>
    <row r="213" spans="1:83" ht="42.75" x14ac:dyDescent="0.2">
      <c r="A213" s="40"/>
      <c r="B213" s="40" t="s">
        <v>286</v>
      </c>
      <c r="C213" s="40" t="s">
        <v>288</v>
      </c>
      <c r="D213" s="41" t="s">
        <v>289</v>
      </c>
      <c r="E213" s="44">
        <v>0.01</v>
      </c>
      <c r="F213" s="39">
        <f>ROUND(1.25,7)</f>
        <v>1.25</v>
      </c>
      <c r="G213" s="44">
        <f>SmtRes!CX57</f>
        <v>1.01288E-2</v>
      </c>
      <c r="H213" s="45">
        <f>SmtRes!CZ57</f>
        <v>37.32</v>
      </c>
      <c r="I213" s="43">
        <f>SmtRes!AJ57</f>
        <v>1.31</v>
      </c>
      <c r="J213" s="45">
        <f>ROUND(H213*I213, 2)</f>
        <v>48.89</v>
      </c>
      <c r="K213" s="40"/>
      <c r="L213" s="45">
        <f>SmtRes!DG57</f>
        <v>0.5</v>
      </c>
    </row>
    <row r="214" spans="1:83" ht="28.5" x14ac:dyDescent="0.2">
      <c r="A214" s="40"/>
      <c r="B214" s="40" t="s">
        <v>290</v>
      </c>
      <c r="C214" s="40" t="s">
        <v>481</v>
      </c>
      <c r="D214" s="41" t="s">
        <v>278</v>
      </c>
      <c r="E214" s="44">
        <f>SmtRes!DO57*SmtRes!AT57</f>
        <v>0.01</v>
      </c>
      <c r="F214" s="39">
        <f>ROUND(1.25,7)</f>
        <v>1.25</v>
      </c>
      <c r="G214" s="44">
        <f>SmtRes!DO57*SmtRes!CX57</f>
        <v>1.01288E-2</v>
      </c>
      <c r="H214" s="45"/>
      <c r="I214" s="43"/>
      <c r="J214" s="45">
        <f>ROUND(SmtRes!AG57/SmtRes!DO57, 2)</f>
        <v>237.19</v>
      </c>
      <c r="K214" s="40"/>
      <c r="L214" s="45">
        <f>SmtRes!DH57</f>
        <v>2.4</v>
      </c>
      <c r="CE214">
        <v>1</v>
      </c>
    </row>
    <row r="215" spans="1:83" ht="28.5" x14ac:dyDescent="0.2">
      <c r="A215" s="40"/>
      <c r="B215" s="40" t="s">
        <v>291</v>
      </c>
      <c r="C215" s="40" t="s">
        <v>293</v>
      </c>
      <c r="D215" s="41" t="s">
        <v>289</v>
      </c>
      <c r="E215" s="44">
        <v>0.03</v>
      </c>
      <c r="F215" s="39">
        <f>ROUND(1.25,7)</f>
        <v>1.25</v>
      </c>
      <c r="G215" s="44">
        <f>SmtRes!CX58</f>
        <v>3.0386300000000002E-2</v>
      </c>
      <c r="H215" s="45">
        <f>SmtRes!CZ58</f>
        <v>477.92</v>
      </c>
      <c r="I215" s="43">
        <f>SmtRes!AJ58</f>
        <v>1.1299999999999999</v>
      </c>
      <c r="J215" s="45">
        <f>ROUND(H215*I215, 2)</f>
        <v>540.04999999999995</v>
      </c>
      <c r="K215" s="40"/>
      <c r="L215" s="45">
        <f>SmtRes!DG58</f>
        <v>16.41</v>
      </c>
    </row>
    <row r="216" spans="1:83" ht="28.5" x14ac:dyDescent="0.2">
      <c r="A216" s="40"/>
      <c r="B216" s="40" t="s">
        <v>294</v>
      </c>
      <c r="C216" s="40" t="s">
        <v>482</v>
      </c>
      <c r="D216" s="41" t="s">
        <v>278</v>
      </c>
      <c r="E216" s="44">
        <f>SmtRes!DO58*SmtRes!AT58</f>
        <v>0.03</v>
      </c>
      <c r="F216" s="39">
        <f>ROUND(1.25,7)</f>
        <v>1.25</v>
      </c>
      <c r="G216" s="44">
        <f>SmtRes!DO58*SmtRes!CX58</f>
        <v>3.0386300000000002E-2</v>
      </c>
      <c r="H216" s="45"/>
      <c r="I216" s="43"/>
      <c r="J216" s="45">
        <f>ROUND(SmtRes!AG58/SmtRes!DO58, 2)</f>
        <v>267.08999999999997</v>
      </c>
      <c r="K216" s="40"/>
      <c r="L216" s="45">
        <f>SmtRes!DH58</f>
        <v>8.1199999999999992</v>
      </c>
      <c r="CE216">
        <v>1</v>
      </c>
    </row>
    <row r="217" spans="1:83" ht="15" x14ac:dyDescent="0.2">
      <c r="A217" s="39"/>
      <c r="B217" s="42">
        <v>4</v>
      </c>
      <c r="C217" s="39" t="s">
        <v>471</v>
      </c>
      <c r="D217" s="41"/>
      <c r="E217" s="44"/>
      <c r="F217" s="42"/>
      <c r="G217" s="44"/>
      <c r="H217" s="42"/>
      <c r="I217" s="42"/>
      <c r="J217" s="42"/>
      <c r="K217" s="42"/>
      <c r="L217" s="46">
        <f>SUM(L218:L220)-SUMIF(CE218:CE220, 1, L218:L220)</f>
        <v>4123.18</v>
      </c>
    </row>
    <row r="218" spans="1:83" ht="28.5" x14ac:dyDescent="0.2">
      <c r="A218" s="40"/>
      <c r="B218" s="40" t="s">
        <v>352</v>
      </c>
      <c r="C218" s="40" t="s">
        <v>354</v>
      </c>
      <c r="D218" s="41" t="s">
        <v>49</v>
      </c>
      <c r="E218" s="44">
        <v>4.4000000000000004</v>
      </c>
      <c r="F218" s="39"/>
      <c r="G218" s="44">
        <f>SmtRes!CX59</f>
        <v>3.5653199999999998</v>
      </c>
      <c r="H218" s="45">
        <f>SmtRes!CZ59</f>
        <v>531.44000000000005</v>
      </c>
      <c r="I218" s="43">
        <f>SmtRes!AI59</f>
        <v>1.02</v>
      </c>
      <c r="J218" s="45">
        <f>ROUND(H218*I218, 2)</f>
        <v>542.07000000000005</v>
      </c>
      <c r="K218" s="40"/>
      <c r="L218" s="45">
        <f>SmtRes!DF59</f>
        <v>1932.65</v>
      </c>
    </row>
    <row r="219" spans="1:83" ht="14.25" x14ac:dyDescent="0.2">
      <c r="A219" s="40"/>
      <c r="B219" s="40" t="s">
        <v>333</v>
      </c>
      <c r="C219" s="40" t="s">
        <v>335</v>
      </c>
      <c r="D219" s="41" t="s">
        <v>336</v>
      </c>
      <c r="E219" s="44">
        <v>0.15</v>
      </c>
      <c r="F219" s="39"/>
      <c r="G219" s="44">
        <f>SmtRes!CX60</f>
        <v>0.121545</v>
      </c>
      <c r="H219" s="45">
        <f>SmtRes!CZ60</f>
        <v>56.81</v>
      </c>
      <c r="I219" s="43">
        <f>SmtRes!AI60</f>
        <v>1.87</v>
      </c>
      <c r="J219" s="45">
        <f>ROUND(H219*I219, 2)</f>
        <v>106.23</v>
      </c>
      <c r="K219" s="40"/>
      <c r="L219" s="45">
        <f>SmtRes!DF60</f>
        <v>12.91</v>
      </c>
    </row>
    <row r="220" spans="1:83" ht="14.25" x14ac:dyDescent="0.2">
      <c r="A220" s="40"/>
      <c r="B220" s="40" t="s">
        <v>326</v>
      </c>
      <c r="C220" s="55" t="s">
        <v>359</v>
      </c>
      <c r="D220" s="48" t="s">
        <v>281</v>
      </c>
      <c r="E220" s="49">
        <v>2.9000000000000001E-2</v>
      </c>
      <c r="F220" s="47"/>
      <c r="G220" s="49">
        <f>SmtRes!CX61</f>
        <v>2.3498700000000001E-2</v>
      </c>
      <c r="H220" s="56">
        <f>SmtRes!CZ61</f>
        <v>92670</v>
      </c>
      <c r="I220" s="57"/>
      <c r="J220" s="56"/>
      <c r="K220" s="55"/>
      <c r="L220" s="56">
        <f>SmtRes!DF61</f>
        <v>2177.62</v>
      </c>
    </row>
    <row r="221" spans="1:83" ht="15" x14ac:dyDescent="0.2">
      <c r="A221" s="40"/>
      <c r="B221" s="40"/>
      <c r="C221" s="53" t="s">
        <v>472</v>
      </c>
      <c r="D221" s="41"/>
      <c r="E221" s="44"/>
      <c r="F221" s="39"/>
      <c r="G221" s="44"/>
      <c r="H221" s="45"/>
      <c r="I221" s="43"/>
      <c r="J221" s="45"/>
      <c r="K221" s="40"/>
      <c r="L221" s="45">
        <f>L209+L211+L212+L217</f>
        <v>6833.1</v>
      </c>
    </row>
    <row r="222" spans="1:83" ht="14.25" x14ac:dyDescent="0.2">
      <c r="A222" s="40"/>
      <c r="B222" s="40"/>
      <c r="C222" s="40" t="s">
        <v>473</v>
      </c>
      <c r="D222" s="41"/>
      <c r="E222" s="44"/>
      <c r="F222" s="39"/>
      <c r="G222" s="44"/>
      <c r="H222" s="45"/>
      <c r="I222" s="43"/>
      <c r="J222" s="45"/>
      <c r="K222" s="40"/>
      <c r="L222" s="45">
        <f>SUM(AR208:AR225)+SUM(AS208:AS225)+SUM(AT208:AT225)+SUM(AU208:AU225)+SUM(AV208:AV225)</f>
        <v>2693.0099999999998</v>
      </c>
    </row>
    <row r="223" spans="1:83" ht="28.5" x14ac:dyDescent="0.2">
      <c r="A223" s="40"/>
      <c r="B223" s="40" t="s">
        <v>495</v>
      </c>
      <c r="C223" s="40" t="s">
        <v>496</v>
      </c>
      <c r="D223" s="41" t="s">
        <v>384</v>
      </c>
      <c r="E223" s="44">
        <f>Source!BZ39</f>
        <v>100</v>
      </c>
      <c r="F223" s="39">
        <f>ROUND(0.9,7)</f>
        <v>0.9</v>
      </c>
      <c r="G223" s="44">
        <f>Source!AT39</f>
        <v>90</v>
      </c>
      <c r="H223" s="45"/>
      <c r="I223" s="43"/>
      <c r="J223" s="45"/>
      <c r="K223" s="40"/>
      <c r="L223" s="45">
        <f>SUM(AZ208:AZ225)</f>
        <v>2423.71</v>
      </c>
    </row>
    <row r="224" spans="1:83" ht="28.5" x14ac:dyDescent="0.2">
      <c r="A224" s="55"/>
      <c r="B224" s="55" t="s">
        <v>497</v>
      </c>
      <c r="C224" s="55" t="s">
        <v>498</v>
      </c>
      <c r="D224" s="48" t="s">
        <v>384</v>
      </c>
      <c r="E224" s="49">
        <f>Source!CA39</f>
        <v>49</v>
      </c>
      <c r="F224" s="47">
        <f>ROUND(0.85,7)</f>
        <v>0.85</v>
      </c>
      <c r="G224" s="49">
        <f>Source!AU39</f>
        <v>41.65</v>
      </c>
      <c r="H224" s="56"/>
      <c r="I224" s="57"/>
      <c r="J224" s="56"/>
      <c r="K224" s="55"/>
      <c r="L224" s="56">
        <f>SUM(BA208:BA225)</f>
        <v>1121.6400000000001</v>
      </c>
    </row>
    <row r="225" spans="1:83" ht="15" x14ac:dyDescent="0.2">
      <c r="C225" s="163" t="s">
        <v>476</v>
      </c>
      <c r="D225" s="163"/>
      <c r="E225" s="163"/>
      <c r="F225" s="163"/>
      <c r="G225" s="163"/>
      <c r="H225" s="163"/>
      <c r="I225" s="164">
        <f>K225/E208</f>
        <v>12808.157472541036</v>
      </c>
      <c r="J225" s="164"/>
      <c r="K225" s="164">
        <f>L209+L211+L217+L223+L224+L212</f>
        <v>10378.450000000001</v>
      </c>
      <c r="L225" s="164"/>
      <c r="AD225">
        <f>ROUND((Source!AT39/100)*((ROUND(SUMIF(SmtRes!AQ55:'SmtRes'!AQ61,"=1",SmtRes!AD55:'SmtRes'!AD61)*Source!I39, 2)+ROUND(SUMIF(SmtRes!AQ55:'SmtRes'!AQ61,"=1",SmtRes!AC55:'SmtRes'!AC61)*Source!I39, 2))), 2)</f>
        <v>560.36</v>
      </c>
      <c r="AE225">
        <f>ROUND((Source!AU39/100)*((ROUND(SUMIF(SmtRes!AQ55:'SmtRes'!AQ61,"=1",SmtRes!AD55:'SmtRes'!AD61)*Source!I39, 2)+ROUND(SUMIF(SmtRes!AQ55:'SmtRes'!AQ61,"=1",SmtRes!AC55:'SmtRes'!AC61)*Source!I39, 2))), 2)</f>
        <v>259.32</v>
      </c>
      <c r="AN225" s="52">
        <f>L209+L211+L217+L223+L224+L212</f>
        <v>10378.450000000001</v>
      </c>
      <c r="AO225" s="52">
        <f>L211</f>
        <v>16.909999999999997</v>
      </c>
      <c r="AQ225" t="s">
        <v>477</v>
      </c>
      <c r="AR225" s="52">
        <f>L209</f>
        <v>2682.49</v>
      </c>
      <c r="AT225" s="52">
        <f>L212</f>
        <v>10.52</v>
      </c>
      <c r="AV225" t="s">
        <v>477</v>
      </c>
      <c r="AW225" s="52">
        <f>L217</f>
        <v>4123.18</v>
      </c>
      <c r="AZ225">
        <f>Source!X39</f>
        <v>2423.71</v>
      </c>
      <c r="BA225">
        <f>Source!Y39</f>
        <v>1121.6400000000001</v>
      </c>
      <c r="CD225">
        <v>1</v>
      </c>
    </row>
    <row r="226" spans="1:83" ht="133.5" x14ac:dyDescent="0.2">
      <c r="A226" s="38" t="s">
        <v>83</v>
      </c>
      <c r="B226" s="40" t="s">
        <v>508</v>
      </c>
      <c r="C226" s="40" t="s">
        <v>509</v>
      </c>
      <c r="D226" s="41" t="str">
        <f>Source!H40</f>
        <v>100 м2</v>
      </c>
      <c r="E226" s="44">
        <f>Source!K40</f>
        <v>0.65</v>
      </c>
      <c r="F226" s="39"/>
      <c r="G226" s="44">
        <f>Source!I40</f>
        <v>0.65</v>
      </c>
      <c r="H226" s="45"/>
      <c r="I226" s="43"/>
      <c r="J226" s="45"/>
      <c r="K226" s="40"/>
      <c r="L226" s="45"/>
    </row>
    <row r="227" spans="1:83" ht="15" x14ac:dyDescent="0.2">
      <c r="A227" s="39"/>
      <c r="B227" s="42">
        <v>1</v>
      </c>
      <c r="C227" s="39" t="s">
        <v>470</v>
      </c>
      <c r="D227" s="41" t="s">
        <v>278</v>
      </c>
      <c r="E227" s="44"/>
      <c r="F227" s="42"/>
      <c r="G227" s="44">
        <f>Source!U40</f>
        <v>11.2125</v>
      </c>
      <c r="H227" s="42"/>
      <c r="I227" s="42"/>
      <c r="J227" s="42"/>
      <c r="K227" s="42"/>
      <c r="L227" s="46">
        <f>SUM(L228:L228)-SUMIF(CE228:CE228, 1, L228:L228)</f>
        <v>2961.22</v>
      </c>
    </row>
    <row r="228" spans="1:83" ht="28.5" x14ac:dyDescent="0.2">
      <c r="A228" s="40"/>
      <c r="B228" s="40" t="s">
        <v>357</v>
      </c>
      <c r="C228" s="40" t="s">
        <v>358</v>
      </c>
      <c r="D228" s="41" t="s">
        <v>278</v>
      </c>
      <c r="E228" s="44">
        <v>15</v>
      </c>
      <c r="F228" s="39">
        <f>ROUND(1.15,7)</f>
        <v>1.1499999999999999</v>
      </c>
      <c r="G228" s="44">
        <f>SmtRes!CX62</f>
        <v>11.2125</v>
      </c>
      <c r="H228" s="45"/>
      <c r="I228" s="43"/>
      <c r="J228" s="45">
        <f>SmtRes!CZ62</f>
        <v>264.10000000000002</v>
      </c>
      <c r="K228" s="40"/>
      <c r="L228" s="45">
        <f>SmtRes!DI62</f>
        <v>2961.22</v>
      </c>
    </row>
    <row r="229" spans="1:83" ht="15" x14ac:dyDescent="0.2">
      <c r="A229" s="39"/>
      <c r="B229" s="42">
        <v>2</v>
      </c>
      <c r="C229" s="39" t="s">
        <v>480</v>
      </c>
      <c r="D229" s="41"/>
      <c r="E229" s="44"/>
      <c r="F229" s="42"/>
      <c r="G229" s="44"/>
      <c r="H229" s="42"/>
      <c r="I229" s="42"/>
      <c r="J229" s="42"/>
      <c r="K229" s="42"/>
      <c r="L229" s="46">
        <f>SUM(L230:L234)-SUMIF(CE230:CE234, 1, L230:L234)</f>
        <v>17.950000000000003</v>
      </c>
    </row>
    <row r="230" spans="1:83" ht="15" x14ac:dyDescent="0.2">
      <c r="A230" s="39"/>
      <c r="B230" s="42"/>
      <c r="C230" s="39" t="s">
        <v>483</v>
      </c>
      <c r="D230" s="41" t="s">
        <v>278</v>
      </c>
      <c r="E230" s="44"/>
      <c r="F230" s="42"/>
      <c r="G230" s="44">
        <f>Source!V40</f>
        <v>4.0625000000000001E-2</v>
      </c>
      <c r="H230" s="42"/>
      <c r="I230" s="42"/>
      <c r="J230" s="42"/>
      <c r="K230" s="42"/>
      <c r="L230" s="46">
        <f>SUMIF(CE231:CE234, 1, L231:L234)</f>
        <v>10.61</v>
      </c>
      <c r="CE230">
        <v>1</v>
      </c>
    </row>
    <row r="231" spans="1:83" ht="42.75" x14ac:dyDescent="0.2">
      <c r="A231" s="40"/>
      <c r="B231" s="40" t="s">
        <v>286</v>
      </c>
      <c r="C231" s="40" t="s">
        <v>288</v>
      </c>
      <c r="D231" s="41" t="s">
        <v>289</v>
      </c>
      <c r="E231" s="44">
        <v>0.01</v>
      </c>
      <c r="F231" s="39">
        <f>ROUND(1.25,7)</f>
        <v>1.25</v>
      </c>
      <c r="G231" s="44">
        <f>SmtRes!CX64</f>
        <v>8.1250000000000003E-3</v>
      </c>
      <c r="H231" s="45">
        <f>SmtRes!CZ64</f>
        <v>37.32</v>
      </c>
      <c r="I231" s="43">
        <f>SmtRes!AJ64</f>
        <v>1.31</v>
      </c>
      <c r="J231" s="45">
        <f>ROUND(H231*I231, 2)</f>
        <v>48.89</v>
      </c>
      <c r="K231" s="40"/>
      <c r="L231" s="45">
        <f>SmtRes!DG64</f>
        <v>0.4</v>
      </c>
    </row>
    <row r="232" spans="1:83" ht="28.5" x14ac:dyDescent="0.2">
      <c r="A232" s="40"/>
      <c r="B232" s="40" t="s">
        <v>290</v>
      </c>
      <c r="C232" s="40" t="s">
        <v>481</v>
      </c>
      <c r="D232" s="41" t="s">
        <v>278</v>
      </c>
      <c r="E232" s="44">
        <f>SmtRes!DO64*SmtRes!AT64</f>
        <v>0.01</v>
      </c>
      <c r="F232" s="39">
        <f>ROUND(1.25,7)</f>
        <v>1.25</v>
      </c>
      <c r="G232" s="44">
        <f>SmtRes!DO64*SmtRes!CX64</f>
        <v>8.1250000000000003E-3</v>
      </c>
      <c r="H232" s="45"/>
      <c r="I232" s="43"/>
      <c r="J232" s="45">
        <f>ROUND(SmtRes!AG64/SmtRes!DO64, 2)</f>
        <v>237.19</v>
      </c>
      <c r="K232" s="40"/>
      <c r="L232" s="45">
        <f>SmtRes!DH64</f>
        <v>1.93</v>
      </c>
      <c r="CE232">
        <v>1</v>
      </c>
    </row>
    <row r="233" spans="1:83" ht="28.5" x14ac:dyDescent="0.2">
      <c r="A233" s="40"/>
      <c r="B233" s="40" t="s">
        <v>291</v>
      </c>
      <c r="C233" s="40" t="s">
        <v>293</v>
      </c>
      <c r="D233" s="41" t="s">
        <v>289</v>
      </c>
      <c r="E233" s="44">
        <v>0.04</v>
      </c>
      <c r="F233" s="39">
        <f>ROUND(1.25,7)</f>
        <v>1.25</v>
      </c>
      <c r="G233" s="44">
        <f>SmtRes!CX65</f>
        <v>3.2500000000000001E-2</v>
      </c>
      <c r="H233" s="45">
        <f>SmtRes!CZ65</f>
        <v>477.92</v>
      </c>
      <c r="I233" s="43">
        <f>SmtRes!AJ65</f>
        <v>1.1299999999999999</v>
      </c>
      <c r="J233" s="45">
        <f>ROUND(H233*I233, 2)</f>
        <v>540.04999999999995</v>
      </c>
      <c r="K233" s="40"/>
      <c r="L233" s="45">
        <f>SmtRes!DG65</f>
        <v>17.55</v>
      </c>
    </row>
    <row r="234" spans="1:83" ht="28.5" x14ac:dyDescent="0.2">
      <c r="A234" s="40"/>
      <c r="B234" s="40" t="s">
        <v>294</v>
      </c>
      <c r="C234" s="40" t="s">
        <v>482</v>
      </c>
      <c r="D234" s="41" t="s">
        <v>278</v>
      </c>
      <c r="E234" s="44">
        <f>SmtRes!DO65*SmtRes!AT65</f>
        <v>0.04</v>
      </c>
      <c r="F234" s="39">
        <f>ROUND(1.25,7)</f>
        <v>1.25</v>
      </c>
      <c r="G234" s="44">
        <f>SmtRes!DO65*SmtRes!CX65</f>
        <v>3.2500000000000001E-2</v>
      </c>
      <c r="H234" s="45"/>
      <c r="I234" s="43"/>
      <c r="J234" s="45">
        <f>ROUND(SmtRes!AG65/SmtRes!DO65, 2)</f>
        <v>267.08999999999997</v>
      </c>
      <c r="K234" s="40"/>
      <c r="L234" s="45">
        <f>SmtRes!DH65</f>
        <v>8.68</v>
      </c>
      <c r="CE234">
        <v>1</v>
      </c>
    </row>
    <row r="235" spans="1:83" ht="15" x14ac:dyDescent="0.2">
      <c r="A235" s="39"/>
      <c r="B235" s="42">
        <v>4</v>
      </c>
      <c r="C235" s="39" t="s">
        <v>471</v>
      </c>
      <c r="D235" s="41"/>
      <c r="E235" s="44"/>
      <c r="F235" s="42"/>
      <c r="G235" s="44"/>
      <c r="H235" s="42"/>
      <c r="I235" s="42"/>
      <c r="J235" s="42"/>
      <c r="K235" s="42"/>
      <c r="L235" s="46">
        <f>SUM(L236:L238)-SUMIF(CE236:CE238, 1, L236:L238)</f>
        <v>3488.22</v>
      </c>
    </row>
    <row r="236" spans="1:83" ht="28.5" x14ac:dyDescent="0.2">
      <c r="A236" s="40"/>
      <c r="B236" s="40" t="s">
        <v>352</v>
      </c>
      <c r="C236" s="40" t="s">
        <v>354</v>
      </c>
      <c r="D236" s="41" t="s">
        <v>49</v>
      </c>
      <c r="E236" s="44">
        <v>4.4000000000000004</v>
      </c>
      <c r="F236" s="39"/>
      <c r="G236" s="44">
        <f>SmtRes!CX66</f>
        <v>2.86</v>
      </c>
      <c r="H236" s="45">
        <f>SmtRes!CZ66</f>
        <v>531.44000000000005</v>
      </c>
      <c r="I236" s="43">
        <f>SmtRes!AI66</f>
        <v>1.02</v>
      </c>
      <c r="J236" s="45">
        <f>ROUND(H236*I236, 2)</f>
        <v>542.07000000000005</v>
      </c>
      <c r="K236" s="40"/>
      <c r="L236" s="45">
        <f>SmtRes!DF66</f>
        <v>1550.32</v>
      </c>
    </row>
    <row r="237" spans="1:83" ht="14.25" x14ac:dyDescent="0.2">
      <c r="A237" s="40"/>
      <c r="B237" s="40" t="s">
        <v>333</v>
      </c>
      <c r="C237" s="40" t="s">
        <v>335</v>
      </c>
      <c r="D237" s="41" t="s">
        <v>336</v>
      </c>
      <c r="E237" s="44">
        <v>0.15</v>
      </c>
      <c r="F237" s="39"/>
      <c r="G237" s="44">
        <f>SmtRes!CX67</f>
        <v>9.7500000000000003E-2</v>
      </c>
      <c r="H237" s="45">
        <f>SmtRes!CZ67</f>
        <v>56.81</v>
      </c>
      <c r="I237" s="43">
        <f>SmtRes!AI67</f>
        <v>1.87</v>
      </c>
      <c r="J237" s="45">
        <f>ROUND(H237*I237, 2)</f>
        <v>106.23</v>
      </c>
      <c r="K237" s="40"/>
      <c r="L237" s="45">
        <f>SmtRes!DF67</f>
        <v>10.36</v>
      </c>
    </row>
    <row r="238" spans="1:83" ht="14.25" x14ac:dyDescent="0.2">
      <c r="A238" s="40"/>
      <c r="B238" s="40" t="s">
        <v>326</v>
      </c>
      <c r="C238" s="55" t="s">
        <v>359</v>
      </c>
      <c r="D238" s="48" t="s">
        <v>281</v>
      </c>
      <c r="E238" s="49">
        <v>3.2000000000000001E-2</v>
      </c>
      <c r="F238" s="47"/>
      <c r="G238" s="49">
        <f>SmtRes!CX68</f>
        <v>2.0799999999999999E-2</v>
      </c>
      <c r="H238" s="56">
        <f>SmtRes!CZ68</f>
        <v>92670</v>
      </c>
      <c r="I238" s="57"/>
      <c r="J238" s="56"/>
      <c r="K238" s="55"/>
      <c r="L238" s="56">
        <f>SmtRes!DF68</f>
        <v>1927.54</v>
      </c>
    </row>
    <row r="239" spans="1:83" ht="15" x14ac:dyDescent="0.2">
      <c r="A239" s="40"/>
      <c r="B239" s="40"/>
      <c r="C239" s="53" t="s">
        <v>472</v>
      </c>
      <c r="D239" s="41"/>
      <c r="E239" s="44"/>
      <c r="F239" s="39"/>
      <c r="G239" s="44"/>
      <c r="H239" s="45"/>
      <c r="I239" s="43"/>
      <c r="J239" s="45"/>
      <c r="K239" s="40"/>
      <c r="L239" s="45">
        <f>L227+L229+L230+L235</f>
        <v>6478</v>
      </c>
    </row>
    <row r="240" spans="1:83" ht="14.25" x14ac:dyDescent="0.2">
      <c r="A240" s="40"/>
      <c r="B240" s="40"/>
      <c r="C240" s="40" t="s">
        <v>473</v>
      </c>
      <c r="D240" s="41"/>
      <c r="E240" s="44"/>
      <c r="F240" s="39"/>
      <c r="G240" s="44"/>
      <c r="H240" s="45"/>
      <c r="I240" s="43"/>
      <c r="J240" s="45"/>
      <c r="K240" s="40"/>
      <c r="L240" s="45">
        <f>SUM(AR226:AR243)+SUM(AS226:AS243)+SUM(AT226:AT243)+SUM(AU226:AU243)+SUM(AV226:AV243)</f>
        <v>2971.83</v>
      </c>
    </row>
    <row r="241" spans="1:83" ht="28.5" x14ac:dyDescent="0.2">
      <c r="A241" s="40"/>
      <c r="B241" s="40" t="s">
        <v>495</v>
      </c>
      <c r="C241" s="40" t="s">
        <v>496</v>
      </c>
      <c r="D241" s="41" t="s">
        <v>384</v>
      </c>
      <c r="E241" s="44">
        <f>Source!BZ40</f>
        <v>100</v>
      </c>
      <c r="F241" s="39">
        <f>ROUND(0.9,7)</f>
        <v>0.9</v>
      </c>
      <c r="G241" s="44">
        <f>Source!AT40</f>
        <v>90</v>
      </c>
      <c r="H241" s="45"/>
      <c r="I241" s="43"/>
      <c r="J241" s="45"/>
      <c r="K241" s="40"/>
      <c r="L241" s="45">
        <f>SUM(AZ226:AZ243)</f>
        <v>2674.65</v>
      </c>
    </row>
    <row r="242" spans="1:83" ht="28.5" x14ac:dyDescent="0.2">
      <c r="A242" s="55"/>
      <c r="B242" s="55" t="s">
        <v>497</v>
      </c>
      <c r="C242" s="55" t="s">
        <v>498</v>
      </c>
      <c r="D242" s="48" t="s">
        <v>384</v>
      </c>
      <c r="E242" s="49">
        <f>Source!CA40</f>
        <v>49</v>
      </c>
      <c r="F242" s="47">
        <f>ROUND(0.85,7)</f>
        <v>0.85</v>
      </c>
      <c r="G242" s="49">
        <f>Source!AU40</f>
        <v>41.65</v>
      </c>
      <c r="H242" s="56"/>
      <c r="I242" s="57"/>
      <c r="J242" s="56"/>
      <c r="K242" s="55"/>
      <c r="L242" s="56">
        <f>SUM(BA226:BA243)</f>
        <v>1237.77</v>
      </c>
    </row>
    <row r="243" spans="1:83" ht="15" x14ac:dyDescent="0.2">
      <c r="C243" s="163" t="s">
        <v>476</v>
      </c>
      <c r="D243" s="163"/>
      <c r="E243" s="163"/>
      <c r="F243" s="163"/>
      <c r="G243" s="163"/>
      <c r="H243" s="163"/>
      <c r="I243" s="164">
        <f>K243/E226</f>
        <v>15985.261538461538</v>
      </c>
      <c r="J243" s="164"/>
      <c r="K243" s="164">
        <f>L227+L229+L235+L241+L242+L230</f>
        <v>10390.42</v>
      </c>
      <c r="L243" s="164"/>
      <c r="AD243">
        <f>ROUND((Source!AT40/100)*((ROUND(SUMIF(SmtRes!AQ62:'SmtRes'!AQ68,"=1",SmtRes!AD62:'SmtRes'!AD68)*Source!I40, 2)+ROUND(SUMIF(SmtRes!AQ62:'SmtRes'!AQ68,"=1",SmtRes!AC62:'SmtRes'!AC68)*Source!I40, 2))), 2)</f>
        <v>449.51</v>
      </c>
      <c r="AE243">
        <f>ROUND((Source!AU40/100)*((ROUND(SUMIF(SmtRes!AQ62:'SmtRes'!AQ68,"=1",SmtRes!AD62:'SmtRes'!AD68)*Source!I40, 2)+ROUND(SUMIF(SmtRes!AQ62:'SmtRes'!AQ68,"=1",SmtRes!AC62:'SmtRes'!AC68)*Source!I40, 2))), 2)</f>
        <v>208.02</v>
      </c>
      <c r="AN243" s="52">
        <f>L227+L229+L235+L241+L242+L230</f>
        <v>10390.42</v>
      </c>
      <c r="AO243" s="52">
        <f>L229</f>
        <v>17.950000000000003</v>
      </c>
      <c r="AQ243" t="s">
        <v>477</v>
      </c>
      <c r="AR243" s="52">
        <f>L227</f>
        <v>2961.22</v>
      </c>
      <c r="AT243" s="52">
        <f>L230</f>
        <v>10.61</v>
      </c>
      <c r="AV243" t="s">
        <v>477</v>
      </c>
      <c r="AW243" s="52">
        <f>L235</f>
        <v>3488.22</v>
      </c>
      <c r="AZ243">
        <f>Source!X40</f>
        <v>2674.65</v>
      </c>
      <c r="BA243">
        <f>Source!Y40</f>
        <v>1237.77</v>
      </c>
      <c r="CD243">
        <v>1</v>
      </c>
    </row>
    <row r="244" spans="1:83" ht="119.25" x14ac:dyDescent="0.2">
      <c r="A244" s="38" t="s">
        <v>87</v>
      </c>
      <c r="B244" s="40" t="s">
        <v>510</v>
      </c>
      <c r="C244" s="40" t="s">
        <v>511</v>
      </c>
      <c r="D244" s="41" t="str">
        <f>Source!H41</f>
        <v>100 м2</v>
      </c>
      <c r="E244" s="44">
        <f>Source!K41</f>
        <v>0.65</v>
      </c>
      <c r="F244" s="39"/>
      <c r="G244" s="44">
        <f>Source!I41</f>
        <v>0.65</v>
      </c>
      <c r="H244" s="45"/>
      <c r="I244" s="43"/>
      <c r="J244" s="45"/>
      <c r="K244" s="40"/>
      <c r="L244" s="45"/>
    </row>
    <row r="245" spans="1:83" ht="15" x14ac:dyDescent="0.2">
      <c r="A245" s="39"/>
      <c r="B245" s="42">
        <v>1</v>
      </c>
      <c r="C245" s="39" t="s">
        <v>470</v>
      </c>
      <c r="D245" s="41" t="s">
        <v>278</v>
      </c>
      <c r="E245" s="44"/>
      <c r="F245" s="42"/>
      <c r="G245" s="44">
        <f>Source!U41</f>
        <v>47.092499999999994</v>
      </c>
      <c r="H245" s="42"/>
      <c r="I245" s="42"/>
      <c r="J245" s="42"/>
      <c r="K245" s="42"/>
      <c r="L245" s="46">
        <f>SUM(L246:L246)-SUMIF(CE246:CE246, 1, L246:L246)</f>
        <v>11451.48</v>
      </c>
    </row>
    <row r="246" spans="1:83" ht="28.5" x14ac:dyDescent="0.2">
      <c r="A246" s="40"/>
      <c r="B246" s="40" t="s">
        <v>347</v>
      </c>
      <c r="C246" s="40" t="s">
        <v>348</v>
      </c>
      <c r="D246" s="41" t="s">
        <v>278</v>
      </c>
      <c r="E246" s="44">
        <v>63</v>
      </c>
      <c r="F246" s="39">
        <f>ROUND(1.15,7)</f>
        <v>1.1499999999999999</v>
      </c>
      <c r="G246" s="44">
        <f>SmtRes!CX69</f>
        <v>47.092500000000001</v>
      </c>
      <c r="H246" s="45"/>
      <c r="I246" s="43"/>
      <c r="J246" s="45">
        <f>SmtRes!CZ69</f>
        <v>243.17</v>
      </c>
      <c r="K246" s="40"/>
      <c r="L246" s="45">
        <f>SmtRes!DI69</f>
        <v>11451.48</v>
      </c>
    </row>
    <row r="247" spans="1:83" ht="15" x14ac:dyDescent="0.2">
      <c r="A247" s="39"/>
      <c r="B247" s="42">
        <v>2</v>
      </c>
      <c r="C247" s="39" t="s">
        <v>480</v>
      </c>
      <c r="D247" s="41"/>
      <c r="E247" s="44"/>
      <c r="F247" s="42"/>
      <c r="G247" s="44"/>
      <c r="H247" s="42"/>
      <c r="I247" s="42"/>
      <c r="J247" s="42"/>
      <c r="K247" s="42"/>
      <c r="L247" s="46">
        <f>SUM(L248:L252)-SUMIF(CE248:CE252, 1, L248:L252)</f>
        <v>70.86</v>
      </c>
    </row>
    <row r="248" spans="1:83" ht="15" x14ac:dyDescent="0.2">
      <c r="A248" s="39"/>
      <c r="B248" s="42"/>
      <c r="C248" s="39" t="s">
        <v>483</v>
      </c>
      <c r="D248" s="41" t="s">
        <v>278</v>
      </c>
      <c r="E248" s="44"/>
      <c r="F248" s="42"/>
      <c r="G248" s="44">
        <f>Source!V41</f>
        <v>0.14624999999999999</v>
      </c>
      <c r="H248" s="42"/>
      <c r="I248" s="42"/>
      <c r="J248" s="42"/>
      <c r="K248" s="42"/>
      <c r="L248" s="46">
        <f>SUMIF(CE249:CE252, 1, L249:L252)</f>
        <v>38.57</v>
      </c>
      <c r="CE248">
        <v>1</v>
      </c>
    </row>
    <row r="249" spans="1:83" ht="42.75" x14ac:dyDescent="0.2">
      <c r="A249" s="40"/>
      <c r="B249" s="40" t="s">
        <v>349</v>
      </c>
      <c r="C249" s="40" t="s">
        <v>351</v>
      </c>
      <c r="D249" s="41" t="s">
        <v>289</v>
      </c>
      <c r="E249" s="44">
        <v>0.02</v>
      </c>
      <c r="F249" s="39">
        <f>ROUND(1.25,7)</f>
        <v>1.25</v>
      </c>
      <c r="G249" s="44">
        <f>SmtRes!CX71</f>
        <v>1.6250000000000001E-2</v>
      </c>
      <c r="H249" s="45">
        <f>SmtRes!CZ71</f>
        <v>30.61</v>
      </c>
      <c r="I249" s="43">
        <f>SmtRes!AJ71</f>
        <v>1.31</v>
      </c>
      <c r="J249" s="45">
        <f>ROUND(H249*I249, 2)</f>
        <v>40.1</v>
      </c>
      <c r="K249" s="40"/>
      <c r="L249" s="45">
        <f>SmtRes!DG71</f>
        <v>0.65</v>
      </c>
    </row>
    <row r="250" spans="1:83" ht="28.5" x14ac:dyDescent="0.2">
      <c r="A250" s="40"/>
      <c r="B250" s="40" t="s">
        <v>290</v>
      </c>
      <c r="C250" s="40" t="s">
        <v>481</v>
      </c>
      <c r="D250" s="41" t="s">
        <v>278</v>
      </c>
      <c r="E250" s="44">
        <f>SmtRes!DO71*SmtRes!AT71</f>
        <v>0.02</v>
      </c>
      <c r="F250" s="39">
        <f>ROUND(1.25,7)</f>
        <v>1.25</v>
      </c>
      <c r="G250" s="44">
        <f>SmtRes!DO71*SmtRes!CX71</f>
        <v>1.6250000000000001E-2</v>
      </c>
      <c r="H250" s="45"/>
      <c r="I250" s="43"/>
      <c r="J250" s="45">
        <f>ROUND(SmtRes!AG71/SmtRes!DO71, 2)</f>
        <v>237.19</v>
      </c>
      <c r="K250" s="40"/>
      <c r="L250" s="45">
        <f>SmtRes!DH71</f>
        <v>3.85</v>
      </c>
      <c r="CE250">
        <v>1</v>
      </c>
    </row>
    <row r="251" spans="1:83" ht="28.5" x14ac:dyDescent="0.2">
      <c r="A251" s="40"/>
      <c r="B251" s="40" t="s">
        <v>291</v>
      </c>
      <c r="C251" s="40" t="s">
        <v>293</v>
      </c>
      <c r="D251" s="41" t="s">
        <v>289</v>
      </c>
      <c r="E251" s="44">
        <v>0.16</v>
      </c>
      <c r="F251" s="39">
        <f>ROUND(1.25,7)</f>
        <v>1.25</v>
      </c>
      <c r="G251" s="44">
        <f>SmtRes!CX72</f>
        <v>0.13</v>
      </c>
      <c r="H251" s="45">
        <f>SmtRes!CZ72</f>
        <v>477.92</v>
      </c>
      <c r="I251" s="43">
        <f>SmtRes!AJ72</f>
        <v>1.1299999999999999</v>
      </c>
      <c r="J251" s="45">
        <f>ROUND(H251*I251, 2)</f>
        <v>540.04999999999995</v>
      </c>
      <c r="K251" s="40"/>
      <c r="L251" s="45">
        <f>SmtRes!DG72</f>
        <v>70.209999999999994</v>
      </c>
    </row>
    <row r="252" spans="1:83" ht="28.5" x14ac:dyDescent="0.2">
      <c r="A252" s="40"/>
      <c r="B252" s="40" t="s">
        <v>294</v>
      </c>
      <c r="C252" s="40" t="s">
        <v>482</v>
      </c>
      <c r="D252" s="41" t="s">
        <v>278</v>
      </c>
      <c r="E252" s="44">
        <f>SmtRes!DO72*SmtRes!AT72</f>
        <v>0.16</v>
      </c>
      <c r="F252" s="39">
        <f>ROUND(1.25,7)</f>
        <v>1.25</v>
      </c>
      <c r="G252" s="44">
        <f>SmtRes!DO72*SmtRes!CX72</f>
        <v>0.13</v>
      </c>
      <c r="H252" s="45"/>
      <c r="I252" s="43"/>
      <c r="J252" s="45">
        <f>ROUND(SmtRes!AG72/SmtRes!DO72, 2)</f>
        <v>267.08999999999997</v>
      </c>
      <c r="K252" s="40"/>
      <c r="L252" s="45">
        <f>SmtRes!DH72</f>
        <v>34.72</v>
      </c>
      <c r="CE252">
        <v>1</v>
      </c>
    </row>
    <row r="253" spans="1:83" ht="15" x14ac:dyDescent="0.2">
      <c r="A253" s="39"/>
      <c r="B253" s="42">
        <v>4</v>
      </c>
      <c r="C253" s="39" t="s">
        <v>471</v>
      </c>
      <c r="D253" s="41"/>
      <c r="E253" s="44"/>
      <c r="F253" s="42"/>
      <c r="G253" s="44"/>
      <c r="H253" s="42"/>
      <c r="I253" s="42"/>
      <c r="J253" s="42"/>
      <c r="K253" s="42"/>
      <c r="L253" s="46">
        <f>SUM(L254:L258)-SUMIF(CE254:CE258, 1, L254:L258)</f>
        <v>11867.45</v>
      </c>
    </row>
    <row r="254" spans="1:83" ht="28.5" x14ac:dyDescent="0.2">
      <c r="A254" s="40"/>
      <c r="B254" s="40" t="s">
        <v>352</v>
      </c>
      <c r="C254" s="40" t="s">
        <v>354</v>
      </c>
      <c r="D254" s="41" t="s">
        <v>49</v>
      </c>
      <c r="E254" s="44">
        <v>0.84</v>
      </c>
      <c r="F254" s="39"/>
      <c r="G254" s="44">
        <f>SmtRes!CX73</f>
        <v>0.54600000000000004</v>
      </c>
      <c r="H254" s="45">
        <f>SmtRes!CZ73</f>
        <v>531.44000000000005</v>
      </c>
      <c r="I254" s="43">
        <f>SmtRes!AI73</f>
        <v>1.02</v>
      </c>
      <c r="J254" s="45">
        <f>ROUND(H254*I254, 2)</f>
        <v>542.07000000000005</v>
      </c>
      <c r="K254" s="40"/>
      <c r="L254" s="45">
        <f>SmtRes!DF73</f>
        <v>295.97000000000003</v>
      </c>
    </row>
    <row r="255" spans="1:83" ht="14.25" x14ac:dyDescent="0.2">
      <c r="A255" s="40"/>
      <c r="B255" s="40" t="s">
        <v>333</v>
      </c>
      <c r="C255" s="40" t="s">
        <v>335</v>
      </c>
      <c r="D255" s="41" t="s">
        <v>336</v>
      </c>
      <c r="E255" s="44">
        <v>0.31</v>
      </c>
      <c r="F255" s="39"/>
      <c r="G255" s="44">
        <f>SmtRes!CX74</f>
        <v>0.20150000000000001</v>
      </c>
      <c r="H255" s="45">
        <f>SmtRes!CZ74</f>
        <v>56.81</v>
      </c>
      <c r="I255" s="43">
        <f>SmtRes!AI74</f>
        <v>1.87</v>
      </c>
      <c r="J255" s="45">
        <f>ROUND(H255*I255, 2)</f>
        <v>106.23</v>
      </c>
      <c r="K255" s="40"/>
      <c r="L255" s="45">
        <f>SmtRes!DF74</f>
        <v>21.41</v>
      </c>
    </row>
    <row r="256" spans="1:83" ht="14.25" x14ac:dyDescent="0.2">
      <c r="A256" s="40"/>
      <c r="B256" s="40" t="s">
        <v>326</v>
      </c>
      <c r="C256" s="40" t="s">
        <v>355</v>
      </c>
      <c r="D256" s="41" t="s">
        <v>281</v>
      </c>
      <c r="E256" s="44">
        <v>3.3000000000000002E-2</v>
      </c>
      <c r="F256" s="39"/>
      <c r="G256" s="44">
        <f>SmtRes!CX75</f>
        <v>2.145E-2</v>
      </c>
      <c r="H256" s="45">
        <f>SmtRes!CZ75</f>
        <v>306015</v>
      </c>
      <c r="I256" s="43"/>
      <c r="J256" s="45"/>
      <c r="K256" s="40"/>
      <c r="L256" s="45">
        <f>SmtRes!DF75</f>
        <v>6564.02</v>
      </c>
    </row>
    <row r="257" spans="1:83" ht="14.25" x14ac:dyDescent="0.2">
      <c r="A257" s="40"/>
      <c r="B257" s="40" t="s">
        <v>326</v>
      </c>
      <c r="C257" s="40" t="s">
        <v>337</v>
      </c>
      <c r="D257" s="41" t="s">
        <v>281</v>
      </c>
      <c r="E257" s="44">
        <v>2.1999999999999999E-2</v>
      </c>
      <c r="F257" s="39"/>
      <c r="G257" s="44">
        <f>SmtRes!CX76</f>
        <v>1.43E-2</v>
      </c>
      <c r="H257" s="45">
        <f>SmtRes!CZ76</f>
        <v>117000</v>
      </c>
      <c r="I257" s="43"/>
      <c r="J257" s="45"/>
      <c r="K257" s="40"/>
      <c r="L257" s="45">
        <f>SmtRes!DF76</f>
        <v>1673.1</v>
      </c>
    </row>
    <row r="258" spans="1:83" ht="14.25" x14ac:dyDescent="0.2">
      <c r="A258" s="40"/>
      <c r="B258" s="40" t="s">
        <v>326</v>
      </c>
      <c r="C258" s="40" t="s">
        <v>360</v>
      </c>
      <c r="D258" s="41" t="s">
        <v>281</v>
      </c>
      <c r="E258" s="44">
        <v>5.4999999999999993E-2</v>
      </c>
      <c r="F258" s="39"/>
      <c r="G258" s="44">
        <f>SmtRes!CX77</f>
        <v>3.5749999999999997E-2</v>
      </c>
      <c r="H258" s="45">
        <f>SmtRes!CZ77</f>
        <v>92670</v>
      </c>
      <c r="I258" s="43"/>
      <c r="J258" s="45"/>
      <c r="K258" s="40"/>
      <c r="L258" s="45">
        <f>SmtRes!DF77</f>
        <v>3312.95</v>
      </c>
    </row>
    <row r="259" spans="1:83" ht="14.25" x14ac:dyDescent="0.2">
      <c r="A259" s="40"/>
      <c r="B259" s="40" t="str">
        <f>EtalonRes!I75</f>
        <v>14.3.02.01</v>
      </c>
      <c r="C259" s="40" t="str">
        <f>EtalonRes!K75</f>
        <v>Краска акриловая</v>
      </c>
      <c r="D259" s="41" t="str">
        <f>EtalonRes!O75</f>
        <v>т</v>
      </c>
      <c r="E259" s="44">
        <f>EtalonRes!X75</f>
        <v>3.3000000000000002E-2</v>
      </c>
      <c r="F259" s="39"/>
      <c r="G259" s="44">
        <f>ROUND(EtalonRes!AG75*Source!I41, 7)</f>
        <v>2.145E-2</v>
      </c>
      <c r="H259" s="45"/>
      <c r="I259" s="43"/>
      <c r="J259" s="45"/>
      <c r="K259" s="40"/>
      <c r="L259" s="45"/>
    </row>
    <row r="260" spans="1:83" ht="14.25" x14ac:dyDescent="0.2">
      <c r="A260" s="40"/>
      <c r="B260" s="40" t="str">
        <f>EtalonRes!I76</f>
        <v>14.4.01.02</v>
      </c>
      <c r="C260" s="55" t="str">
        <f>EtalonRes!K76</f>
        <v>Грунтовка</v>
      </c>
      <c r="D260" s="48" t="str">
        <f>EtalonRes!O76</f>
        <v>т</v>
      </c>
      <c r="E260" s="49">
        <f>EtalonRes!X76</f>
        <v>2.1999999999999999E-2</v>
      </c>
      <c r="F260" s="47"/>
      <c r="G260" s="49">
        <f>ROUND(EtalonRes!AG76*Source!I41, 7)</f>
        <v>1.43E-2</v>
      </c>
      <c r="H260" s="56"/>
      <c r="I260" s="57"/>
      <c r="J260" s="56"/>
      <c r="K260" s="55"/>
      <c r="L260" s="56"/>
    </row>
    <row r="261" spans="1:83" ht="15" x14ac:dyDescent="0.2">
      <c r="A261" s="40"/>
      <c r="B261" s="40"/>
      <c r="C261" s="53" t="s">
        <v>472</v>
      </c>
      <c r="D261" s="41"/>
      <c r="E261" s="44"/>
      <c r="F261" s="39"/>
      <c r="G261" s="44"/>
      <c r="H261" s="45"/>
      <c r="I261" s="43"/>
      <c r="J261" s="45"/>
      <c r="K261" s="40"/>
      <c r="L261" s="45">
        <f>L245+L247+L248+L253</f>
        <v>23428.36</v>
      </c>
    </row>
    <row r="262" spans="1:83" ht="14.25" x14ac:dyDescent="0.2">
      <c r="A262" s="40"/>
      <c r="B262" s="40"/>
      <c r="C262" s="40" t="s">
        <v>473</v>
      </c>
      <c r="D262" s="41"/>
      <c r="E262" s="44"/>
      <c r="F262" s="39"/>
      <c r="G262" s="44"/>
      <c r="H262" s="45"/>
      <c r="I262" s="43"/>
      <c r="J262" s="45"/>
      <c r="K262" s="40"/>
      <c r="L262" s="45">
        <f>SUM(AR244:AR265)+SUM(AS244:AS265)+SUM(AT244:AT265)+SUM(AU244:AU265)+SUM(AV244:AV265)</f>
        <v>11490.05</v>
      </c>
    </row>
    <row r="263" spans="1:83" ht="28.5" x14ac:dyDescent="0.2">
      <c r="A263" s="40"/>
      <c r="B263" s="40" t="s">
        <v>495</v>
      </c>
      <c r="C263" s="40" t="s">
        <v>496</v>
      </c>
      <c r="D263" s="41" t="s">
        <v>384</v>
      </c>
      <c r="E263" s="44">
        <f>Source!BZ41</f>
        <v>100</v>
      </c>
      <c r="F263" s="39">
        <f>ROUND(0.9,7)</f>
        <v>0.9</v>
      </c>
      <c r="G263" s="44">
        <f>Source!AT41</f>
        <v>90</v>
      </c>
      <c r="H263" s="45"/>
      <c r="I263" s="43"/>
      <c r="J263" s="45"/>
      <c r="K263" s="40"/>
      <c r="L263" s="45">
        <f>SUM(AZ244:AZ265)</f>
        <v>10341.049999999999</v>
      </c>
    </row>
    <row r="264" spans="1:83" ht="28.5" x14ac:dyDescent="0.2">
      <c r="A264" s="55"/>
      <c r="B264" s="55" t="s">
        <v>497</v>
      </c>
      <c r="C264" s="55" t="s">
        <v>498</v>
      </c>
      <c r="D264" s="48" t="s">
        <v>384</v>
      </c>
      <c r="E264" s="49">
        <f>Source!CA41</f>
        <v>49</v>
      </c>
      <c r="F264" s="47">
        <f>ROUND(0.85,7)</f>
        <v>0.85</v>
      </c>
      <c r="G264" s="49">
        <f>Source!AU41</f>
        <v>41.65</v>
      </c>
      <c r="H264" s="56"/>
      <c r="I264" s="57"/>
      <c r="J264" s="56"/>
      <c r="K264" s="55"/>
      <c r="L264" s="56">
        <f>SUM(BA244:BA265)</f>
        <v>4785.6099999999997</v>
      </c>
    </row>
    <row r="265" spans="1:83" ht="15" x14ac:dyDescent="0.2">
      <c r="C265" s="163" t="s">
        <v>476</v>
      </c>
      <c r="D265" s="163"/>
      <c r="E265" s="163"/>
      <c r="F265" s="163"/>
      <c r="G265" s="163"/>
      <c r="H265" s="163"/>
      <c r="I265" s="164">
        <f>K265/E244</f>
        <v>59315.415384615379</v>
      </c>
      <c r="J265" s="164"/>
      <c r="K265" s="164">
        <f>L245+L247+L253+L263+L264+L248</f>
        <v>38555.019999999997</v>
      </c>
      <c r="L265" s="164"/>
      <c r="AD265">
        <f>ROUND((Source!AT41/100)*((ROUND(SUMIF(SmtRes!AQ69:'SmtRes'!AQ77,"=1",SmtRes!AD69:'SmtRes'!AD77)*Source!I41, 2)+ROUND(SUMIF(SmtRes!AQ69:'SmtRes'!AQ77,"=1",SmtRes!AC69:'SmtRes'!AC77)*Source!I41, 2))), 2)</f>
        <v>437.26</v>
      </c>
      <c r="AE265">
        <f>ROUND((Source!AU41/100)*((ROUND(SUMIF(SmtRes!AQ69:'SmtRes'!AQ77,"=1",SmtRes!AD69:'SmtRes'!AD77)*Source!I41, 2)+ROUND(SUMIF(SmtRes!AQ69:'SmtRes'!AQ77,"=1",SmtRes!AC69:'SmtRes'!AC77)*Source!I41, 2))), 2)</f>
        <v>202.35</v>
      </c>
      <c r="AN265" s="52">
        <f>L245+L247+L253+L263+L264+L248</f>
        <v>38555.019999999997</v>
      </c>
      <c r="AO265" s="52">
        <f>L247</f>
        <v>70.86</v>
      </c>
      <c r="AQ265" t="s">
        <v>477</v>
      </c>
      <c r="AR265" s="52">
        <f>L245</f>
        <v>11451.48</v>
      </c>
      <c r="AT265" s="52">
        <f>L248</f>
        <v>38.57</v>
      </c>
      <c r="AV265" t="s">
        <v>477</v>
      </c>
      <c r="AW265" s="52">
        <f>L253</f>
        <v>11867.45</v>
      </c>
      <c r="AZ265">
        <f>Source!X41</f>
        <v>10341.049999999999</v>
      </c>
      <c r="BA265">
        <f>Source!Y41</f>
        <v>4785.6099999999997</v>
      </c>
      <c r="CD265">
        <v>1</v>
      </c>
    </row>
    <row r="266" spans="1:83" ht="119.25" x14ac:dyDescent="0.2">
      <c r="A266" s="38" t="s">
        <v>91</v>
      </c>
      <c r="B266" s="40" t="s">
        <v>512</v>
      </c>
      <c r="C266" s="40" t="s">
        <v>513</v>
      </c>
      <c r="D266" s="41" t="str">
        <f>Source!H42</f>
        <v>100 м2</v>
      </c>
      <c r="E266" s="44">
        <f>Source!K42</f>
        <v>0.81030000000000002</v>
      </c>
      <c r="F266" s="39"/>
      <c r="G266" s="44">
        <f>Source!I42</f>
        <v>0.81030000000000002</v>
      </c>
      <c r="H266" s="45"/>
      <c r="I266" s="43"/>
      <c r="J266" s="45"/>
      <c r="K266" s="40"/>
      <c r="L266" s="45"/>
    </row>
    <row r="267" spans="1:83" ht="15" x14ac:dyDescent="0.2">
      <c r="A267" s="39"/>
      <c r="B267" s="42">
        <v>1</v>
      </c>
      <c r="C267" s="39" t="s">
        <v>470</v>
      </c>
      <c r="D267" s="41" t="s">
        <v>278</v>
      </c>
      <c r="E267" s="44"/>
      <c r="F267" s="42"/>
      <c r="G267" s="44">
        <f>Source!U42</f>
        <v>40.591168199999998</v>
      </c>
      <c r="H267" s="42"/>
      <c r="I267" s="42"/>
      <c r="J267" s="42"/>
      <c r="K267" s="42"/>
      <c r="L267" s="46">
        <f>SUM(L268:L268)-SUMIF(CE268:CE268, 1, L268:L268)</f>
        <v>9870.5499999999993</v>
      </c>
    </row>
    <row r="268" spans="1:83" ht="28.5" x14ac:dyDescent="0.2">
      <c r="A268" s="40"/>
      <c r="B268" s="40" t="s">
        <v>347</v>
      </c>
      <c r="C268" s="40" t="s">
        <v>348</v>
      </c>
      <c r="D268" s="41" t="s">
        <v>278</v>
      </c>
      <c r="E268" s="44">
        <v>43.56</v>
      </c>
      <c r="F268" s="39">
        <f>ROUND(1.15,7)</f>
        <v>1.1499999999999999</v>
      </c>
      <c r="G268" s="44">
        <f>SmtRes!CX78</f>
        <v>40.591168199999998</v>
      </c>
      <c r="H268" s="45"/>
      <c r="I268" s="43"/>
      <c r="J268" s="45">
        <f>SmtRes!CZ78</f>
        <v>243.17</v>
      </c>
      <c r="K268" s="40"/>
      <c r="L268" s="45">
        <f>SmtRes!DI78</f>
        <v>9870.5499999999993</v>
      </c>
    </row>
    <row r="269" spans="1:83" ht="15" x14ac:dyDescent="0.2">
      <c r="A269" s="39"/>
      <c r="B269" s="42">
        <v>2</v>
      </c>
      <c r="C269" s="39" t="s">
        <v>480</v>
      </c>
      <c r="D269" s="41"/>
      <c r="E269" s="44"/>
      <c r="F269" s="42"/>
      <c r="G269" s="44"/>
      <c r="H269" s="42"/>
      <c r="I269" s="42"/>
      <c r="J269" s="42"/>
      <c r="K269" s="42"/>
      <c r="L269" s="46">
        <f>SUM(L270:L274)-SUMIF(CE270:CE274, 1, L270:L274)</f>
        <v>82.860000000000014</v>
      </c>
    </row>
    <row r="270" spans="1:83" ht="15" x14ac:dyDescent="0.2">
      <c r="A270" s="39"/>
      <c r="B270" s="42"/>
      <c r="C270" s="39" t="s">
        <v>483</v>
      </c>
      <c r="D270" s="41" t="s">
        <v>278</v>
      </c>
      <c r="E270" s="44"/>
      <c r="F270" s="42"/>
      <c r="G270" s="44">
        <f>Source!V42</f>
        <v>0.17218875000000003</v>
      </c>
      <c r="H270" s="42"/>
      <c r="I270" s="42"/>
      <c r="J270" s="42"/>
      <c r="K270" s="42"/>
      <c r="L270" s="46">
        <f>SUMIF(CE271:CE274, 1, L271:L274)</f>
        <v>45.379999999999995</v>
      </c>
      <c r="CE270">
        <v>1</v>
      </c>
    </row>
    <row r="271" spans="1:83" ht="42.75" x14ac:dyDescent="0.2">
      <c r="A271" s="40"/>
      <c r="B271" s="40" t="s">
        <v>349</v>
      </c>
      <c r="C271" s="40" t="s">
        <v>351</v>
      </c>
      <c r="D271" s="41" t="s">
        <v>289</v>
      </c>
      <c r="E271" s="44">
        <v>0.02</v>
      </c>
      <c r="F271" s="39">
        <f>ROUND(1.25,7)</f>
        <v>1.25</v>
      </c>
      <c r="G271" s="44">
        <f>SmtRes!CX80</f>
        <v>2.0257500000000001E-2</v>
      </c>
      <c r="H271" s="45">
        <f>SmtRes!CZ80</f>
        <v>30.61</v>
      </c>
      <c r="I271" s="43">
        <f>SmtRes!AJ80</f>
        <v>1.31</v>
      </c>
      <c r="J271" s="45">
        <f>ROUND(H271*I271, 2)</f>
        <v>40.1</v>
      </c>
      <c r="K271" s="40"/>
      <c r="L271" s="45">
        <f>SmtRes!DG80</f>
        <v>0.81</v>
      </c>
    </row>
    <row r="272" spans="1:83" ht="28.5" x14ac:dyDescent="0.2">
      <c r="A272" s="40"/>
      <c r="B272" s="40" t="s">
        <v>290</v>
      </c>
      <c r="C272" s="40" t="s">
        <v>481</v>
      </c>
      <c r="D272" s="41" t="s">
        <v>278</v>
      </c>
      <c r="E272" s="44">
        <f>SmtRes!DO80*SmtRes!AT80</f>
        <v>0.02</v>
      </c>
      <c r="F272" s="39">
        <f>ROUND(1.25,7)</f>
        <v>1.25</v>
      </c>
      <c r="G272" s="44">
        <f>SmtRes!DO80*SmtRes!CX80</f>
        <v>2.0257500000000001E-2</v>
      </c>
      <c r="H272" s="45"/>
      <c r="I272" s="43"/>
      <c r="J272" s="45">
        <f>ROUND(SmtRes!AG80/SmtRes!DO80, 2)</f>
        <v>237.19</v>
      </c>
      <c r="K272" s="40"/>
      <c r="L272" s="45">
        <f>SmtRes!DH80</f>
        <v>4.8</v>
      </c>
      <c r="CE272">
        <v>1</v>
      </c>
    </row>
    <row r="273" spans="1:83" ht="28.5" x14ac:dyDescent="0.2">
      <c r="A273" s="40"/>
      <c r="B273" s="40" t="s">
        <v>291</v>
      </c>
      <c r="C273" s="40" t="s">
        <v>293</v>
      </c>
      <c r="D273" s="41" t="s">
        <v>289</v>
      </c>
      <c r="E273" s="44">
        <v>0.15</v>
      </c>
      <c r="F273" s="39">
        <f>ROUND(1.25,7)</f>
        <v>1.25</v>
      </c>
      <c r="G273" s="44">
        <f>SmtRes!CX81</f>
        <v>0.15193129999999999</v>
      </c>
      <c r="H273" s="45">
        <f>SmtRes!CZ81</f>
        <v>477.92</v>
      </c>
      <c r="I273" s="43">
        <f>SmtRes!AJ81</f>
        <v>1.1299999999999999</v>
      </c>
      <c r="J273" s="45">
        <f>ROUND(H273*I273, 2)</f>
        <v>540.04999999999995</v>
      </c>
      <c r="K273" s="40"/>
      <c r="L273" s="45">
        <f>SmtRes!DG81</f>
        <v>82.05</v>
      </c>
    </row>
    <row r="274" spans="1:83" ht="28.5" x14ac:dyDescent="0.2">
      <c r="A274" s="40"/>
      <c r="B274" s="40" t="s">
        <v>294</v>
      </c>
      <c r="C274" s="40" t="s">
        <v>482</v>
      </c>
      <c r="D274" s="41" t="s">
        <v>278</v>
      </c>
      <c r="E274" s="44">
        <f>SmtRes!DO81*SmtRes!AT81</f>
        <v>0.15</v>
      </c>
      <c r="F274" s="39">
        <f>ROUND(1.25,7)</f>
        <v>1.25</v>
      </c>
      <c r="G274" s="44">
        <f>SmtRes!DO81*SmtRes!CX81</f>
        <v>0.15193129999999999</v>
      </c>
      <c r="H274" s="45"/>
      <c r="I274" s="43"/>
      <c r="J274" s="45">
        <f>ROUND(SmtRes!AG81/SmtRes!DO81, 2)</f>
        <v>267.08999999999997</v>
      </c>
      <c r="K274" s="40"/>
      <c r="L274" s="45">
        <f>SmtRes!DH81</f>
        <v>40.58</v>
      </c>
      <c r="CE274">
        <v>1</v>
      </c>
    </row>
    <row r="275" spans="1:83" ht="15" x14ac:dyDescent="0.2">
      <c r="A275" s="39"/>
      <c r="B275" s="42">
        <v>4</v>
      </c>
      <c r="C275" s="39" t="s">
        <v>471</v>
      </c>
      <c r="D275" s="41"/>
      <c r="E275" s="44"/>
      <c r="F275" s="42"/>
      <c r="G275" s="44"/>
      <c r="H275" s="42"/>
      <c r="I275" s="42"/>
      <c r="J275" s="42"/>
      <c r="K275" s="42"/>
      <c r="L275" s="46">
        <f>SUM(L276:L280)-SUMIF(CE276:CE280, 1, L276:L280)</f>
        <v>13560.279999999999</v>
      </c>
    </row>
    <row r="276" spans="1:83" ht="28.5" x14ac:dyDescent="0.2">
      <c r="A276" s="40"/>
      <c r="B276" s="40" t="s">
        <v>352</v>
      </c>
      <c r="C276" s="40" t="s">
        <v>354</v>
      </c>
      <c r="D276" s="41" t="s">
        <v>49</v>
      </c>
      <c r="E276" s="44">
        <v>0.84</v>
      </c>
      <c r="F276" s="39"/>
      <c r="G276" s="44">
        <f>SmtRes!CX82</f>
        <v>0.68065200000000003</v>
      </c>
      <c r="H276" s="45">
        <f>SmtRes!CZ82</f>
        <v>531.44000000000005</v>
      </c>
      <c r="I276" s="43">
        <f>SmtRes!AI82</f>
        <v>1.02</v>
      </c>
      <c r="J276" s="45">
        <f>ROUND(H276*I276, 2)</f>
        <v>542.07000000000005</v>
      </c>
      <c r="K276" s="40"/>
      <c r="L276" s="45">
        <f>SmtRes!DF82</f>
        <v>368.96</v>
      </c>
    </row>
    <row r="277" spans="1:83" ht="14.25" x14ac:dyDescent="0.2">
      <c r="A277" s="40"/>
      <c r="B277" s="40" t="s">
        <v>333</v>
      </c>
      <c r="C277" s="40" t="s">
        <v>335</v>
      </c>
      <c r="D277" s="41" t="s">
        <v>336</v>
      </c>
      <c r="E277" s="44">
        <v>0.31</v>
      </c>
      <c r="F277" s="39"/>
      <c r="G277" s="44">
        <f>SmtRes!CX83</f>
        <v>0.251193</v>
      </c>
      <c r="H277" s="45">
        <f>SmtRes!CZ83</f>
        <v>56.81</v>
      </c>
      <c r="I277" s="43">
        <f>SmtRes!AI83</f>
        <v>1.87</v>
      </c>
      <c r="J277" s="45">
        <f>ROUND(H277*I277, 2)</f>
        <v>106.23</v>
      </c>
      <c r="K277" s="40"/>
      <c r="L277" s="45">
        <f>SmtRes!DF83</f>
        <v>26.68</v>
      </c>
    </row>
    <row r="278" spans="1:83" ht="14.25" x14ac:dyDescent="0.2">
      <c r="A278" s="40"/>
      <c r="B278" s="40" t="s">
        <v>326</v>
      </c>
      <c r="C278" s="40" t="s">
        <v>355</v>
      </c>
      <c r="D278" s="41" t="s">
        <v>281</v>
      </c>
      <c r="E278" s="44">
        <v>0.03</v>
      </c>
      <c r="F278" s="39"/>
      <c r="G278" s="44">
        <f>SmtRes!CX84</f>
        <v>2.4309000000000001E-2</v>
      </c>
      <c r="H278" s="45">
        <f>SmtRes!CZ84</f>
        <v>306015</v>
      </c>
      <c r="I278" s="43"/>
      <c r="J278" s="45"/>
      <c r="K278" s="40"/>
      <c r="L278" s="45">
        <f>SmtRes!DF84</f>
        <v>7438.92</v>
      </c>
    </row>
    <row r="279" spans="1:83" ht="14.25" x14ac:dyDescent="0.2">
      <c r="A279" s="40"/>
      <c r="B279" s="40" t="s">
        <v>326</v>
      </c>
      <c r="C279" s="40" t="s">
        <v>361</v>
      </c>
      <c r="D279" s="41" t="s">
        <v>281</v>
      </c>
      <c r="E279" s="44">
        <v>0.02</v>
      </c>
      <c r="F279" s="39"/>
      <c r="G279" s="44">
        <f>SmtRes!CX85</f>
        <v>1.6206000000000002E-2</v>
      </c>
      <c r="H279" s="45">
        <f>SmtRes!CZ85</f>
        <v>117000</v>
      </c>
      <c r="I279" s="43"/>
      <c r="J279" s="45"/>
      <c r="K279" s="40"/>
      <c r="L279" s="45">
        <f>SmtRes!DF85</f>
        <v>1896.1</v>
      </c>
    </row>
    <row r="280" spans="1:83" ht="14.25" x14ac:dyDescent="0.2">
      <c r="A280" s="40"/>
      <c r="B280" s="40" t="s">
        <v>326</v>
      </c>
      <c r="C280" s="40" t="s">
        <v>360</v>
      </c>
      <c r="D280" s="41" t="s">
        <v>281</v>
      </c>
      <c r="E280" s="44">
        <v>5.1000000000000004E-2</v>
      </c>
      <c r="F280" s="39"/>
      <c r="G280" s="44">
        <f>SmtRes!CX86</f>
        <v>4.1325300000000002E-2</v>
      </c>
      <c r="H280" s="45">
        <f>SmtRes!CZ86</f>
        <v>92670</v>
      </c>
      <c r="I280" s="43"/>
      <c r="J280" s="45"/>
      <c r="K280" s="40"/>
      <c r="L280" s="45">
        <f>SmtRes!DF86</f>
        <v>3829.62</v>
      </c>
    </row>
    <row r="281" spans="1:83" ht="14.25" x14ac:dyDescent="0.2">
      <c r="A281" s="40"/>
      <c r="B281" s="40" t="str">
        <f>EtalonRes!I84</f>
        <v>14.3.02.01</v>
      </c>
      <c r="C281" s="40" t="str">
        <f>EtalonRes!K84</f>
        <v>Краска акриловая</v>
      </c>
      <c r="D281" s="41" t="str">
        <f>EtalonRes!O84</f>
        <v>т</v>
      </c>
      <c r="E281" s="44">
        <f>EtalonRes!X84</f>
        <v>0.03</v>
      </c>
      <c r="F281" s="39"/>
      <c r="G281" s="44">
        <f>ROUND(EtalonRes!AG84*Source!I42, 7)</f>
        <v>2.4309000000000001E-2</v>
      </c>
      <c r="H281" s="45"/>
      <c r="I281" s="43"/>
      <c r="J281" s="45"/>
      <c r="K281" s="40"/>
      <c r="L281" s="45"/>
    </row>
    <row r="282" spans="1:83" ht="14.25" x14ac:dyDescent="0.2">
      <c r="A282" s="40"/>
      <c r="B282" s="40" t="str">
        <f>EtalonRes!I85</f>
        <v>14.4.01.02</v>
      </c>
      <c r="C282" s="55" t="str">
        <f>EtalonRes!K85</f>
        <v>Грунтовка</v>
      </c>
      <c r="D282" s="48" t="str">
        <f>EtalonRes!O85</f>
        <v>т</v>
      </c>
      <c r="E282" s="49">
        <f>EtalonRes!X85</f>
        <v>0.02</v>
      </c>
      <c r="F282" s="47"/>
      <c r="G282" s="49">
        <f>ROUND(EtalonRes!AG85*Source!I42, 7)</f>
        <v>1.6206000000000002E-2</v>
      </c>
      <c r="H282" s="56"/>
      <c r="I282" s="57"/>
      <c r="J282" s="56"/>
      <c r="K282" s="55"/>
      <c r="L282" s="56"/>
    </row>
    <row r="283" spans="1:83" ht="15" x14ac:dyDescent="0.2">
      <c r="A283" s="40"/>
      <c r="B283" s="40"/>
      <c r="C283" s="53" t="s">
        <v>472</v>
      </c>
      <c r="D283" s="41"/>
      <c r="E283" s="44"/>
      <c r="F283" s="39"/>
      <c r="G283" s="44"/>
      <c r="H283" s="45"/>
      <c r="I283" s="43"/>
      <c r="J283" s="45"/>
      <c r="K283" s="40"/>
      <c r="L283" s="45">
        <f>L267+L269+L270+L275</f>
        <v>23559.07</v>
      </c>
    </row>
    <row r="284" spans="1:83" ht="14.25" x14ac:dyDescent="0.2">
      <c r="A284" s="40"/>
      <c r="B284" s="40"/>
      <c r="C284" s="40" t="s">
        <v>473</v>
      </c>
      <c r="D284" s="41"/>
      <c r="E284" s="44"/>
      <c r="F284" s="39"/>
      <c r="G284" s="44"/>
      <c r="H284" s="45"/>
      <c r="I284" s="43"/>
      <c r="J284" s="45"/>
      <c r="K284" s="40"/>
      <c r="L284" s="45">
        <f>SUM(AR266:AR287)+SUM(AS266:AS287)+SUM(AT266:AT287)+SUM(AU266:AU287)+SUM(AV266:AV287)</f>
        <v>9915.9299999999985</v>
      </c>
    </row>
    <row r="285" spans="1:83" ht="28.5" x14ac:dyDescent="0.2">
      <c r="A285" s="40"/>
      <c r="B285" s="40" t="s">
        <v>495</v>
      </c>
      <c r="C285" s="40" t="s">
        <v>496</v>
      </c>
      <c r="D285" s="41" t="s">
        <v>384</v>
      </c>
      <c r="E285" s="44">
        <f>Source!BZ42</f>
        <v>100</v>
      </c>
      <c r="F285" s="39">
        <f>ROUND(0.9,7)</f>
        <v>0.9</v>
      </c>
      <c r="G285" s="44">
        <f>Source!AT42</f>
        <v>90</v>
      </c>
      <c r="H285" s="45"/>
      <c r="I285" s="43"/>
      <c r="J285" s="45"/>
      <c r="K285" s="40"/>
      <c r="L285" s="45">
        <f>SUM(AZ266:AZ287)</f>
        <v>8924.34</v>
      </c>
    </row>
    <row r="286" spans="1:83" ht="28.5" x14ac:dyDescent="0.2">
      <c r="A286" s="55"/>
      <c r="B286" s="55" t="s">
        <v>497</v>
      </c>
      <c r="C286" s="55" t="s">
        <v>498</v>
      </c>
      <c r="D286" s="48" t="s">
        <v>384</v>
      </c>
      <c r="E286" s="49">
        <f>Source!CA42</f>
        <v>49</v>
      </c>
      <c r="F286" s="47">
        <f>ROUND(0.85,7)</f>
        <v>0.85</v>
      </c>
      <c r="G286" s="49">
        <f>Source!AU42</f>
        <v>41.65</v>
      </c>
      <c r="H286" s="56"/>
      <c r="I286" s="57"/>
      <c r="J286" s="56"/>
      <c r="K286" s="55"/>
      <c r="L286" s="56">
        <f>SUM(BA266:BA287)</f>
        <v>4129.9799999999996</v>
      </c>
    </row>
    <row r="287" spans="1:83" ht="15" x14ac:dyDescent="0.2">
      <c r="C287" s="163" t="s">
        <v>476</v>
      </c>
      <c r="D287" s="163"/>
      <c r="E287" s="163"/>
      <c r="F287" s="163"/>
      <c r="G287" s="163"/>
      <c r="H287" s="163"/>
      <c r="I287" s="164">
        <f>K287/E266</f>
        <v>45184.980871282227</v>
      </c>
      <c r="J287" s="164"/>
      <c r="K287" s="164">
        <f>L267+L269+L275+L285+L286+L270</f>
        <v>36613.389999999992</v>
      </c>
      <c r="L287" s="164"/>
      <c r="AD287">
        <f>ROUND((Source!AT42/100)*((ROUND(SUMIF(SmtRes!AQ78:'SmtRes'!AQ86,"=1",SmtRes!AD78:'SmtRes'!AD86)*Source!I42, 2)+ROUND(SUMIF(SmtRes!AQ78:'SmtRes'!AQ86,"=1",SmtRes!AC78:'SmtRes'!AC86)*Source!I42, 2))), 2)</f>
        <v>545.09</v>
      </c>
      <c r="AE287">
        <f>ROUND((Source!AU42/100)*((ROUND(SUMIF(SmtRes!AQ78:'SmtRes'!AQ86,"=1",SmtRes!AD78:'SmtRes'!AD86)*Source!I42, 2)+ROUND(SUMIF(SmtRes!AQ78:'SmtRes'!AQ86,"=1",SmtRes!AC78:'SmtRes'!AC86)*Source!I42, 2))), 2)</f>
        <v>252.26</v>
      </c>
      <c r="AN287" s="52">
        <f>L267+L269+L275+L285+L286+L270</f>
        <v>36613.389999999992</v>
      </c>
      <c r="AO287" s="52">
        <f>L269</f>
        <v>82.860000000000014</v>
      </c>
      <c r="AQ287" t="s">
        <v>477</v>
      </c>
      <c r="AR287" s="52">
        <f>L267</f>
        <v>9870.5499999999993</v>
      </c>
      <c r="AT287" s="52">
        <f>L270</f>
        <v>45.379999999999995</v>
      </c>
      <c r="AV287" t="s">
        <v>477</v>
      </c>
      <c r="AW287" s="52">
        <f>L275</f>
        <v>13560.279999999999</v>
      </c>
      <c r="AZ287">
        <f>Source!X42</f>
        <v>8924.34</v>
      </c>
      <c r="BA287">
        <f>Source!Y42</f>
        <v>4129.9799999999996</v>
      </c>
      <c r="CD287">
        <v>1</v>
      </c>
    </row>
    <row r="288" spans="1:83" ht="119.25" x14ac:dyDescent="0.2">
      <c r="A288" s="38" t="s">
        <v>95</v>
      </c>
      <c r="B288" s="40" t="s">
        <v>514</v>
      </c>
      <c r="C288" s="40" t="s">
        <v>515</v>
      </c>
      <c r="D288" s="41" t="str">
        <f>Source!H43</f>
        <v>100 м2 горизонтальной проекции</v>
      </c>
      <c r="E288" s="44">
        <f>Source!K43</f>
        <v>0.65</v>
      </c>
      <c r="F288" s="39"/>
      <c r="G288" s="44">
        <f>Source!I43</f>
        <v>0.65</v>
      </c>
      <c r="H288" s="45"/>
      <c r="I288" s="43"/>
      <c r="J288" s="45"/>
      <c r="K288" s="40"/>
      <c r="L288" s="45"/>
    </row>
    <row r="289" spans="1:83" ht="15" x14ac:dyDescent="0.2">
      <c r="A289" s="39"/>
      <c r="B289" s="42">
        <v>1</v>
      </c>
      <c r="C289" s="39" t="s">
        <v>470</v>
      </c>
      <c r="D289" s="41" t="s">
        <v>278</v>
      </c>
      <c r="E289" s="44"/>
      <c r="F289" s="42"/>
      <c r="G289" s="44">
        <f>Source!U43</f>
        <v>52.474500000000006</v>
      </c>
      <c r="H289" s="42"/>
      <c r="I289" s="42"/>
      <c r="J289" s="42"/>
      <c r="K289" s="42"/>
      <c r="L289" s="46">
        <f>SUM(L290:L290)-SUMIF(CE290:CE290, 1, L290:L290)</f>
        <v>12603.33</v>
      </c>
    </row>
    <row r="290" spans="1:83" ht="28.5" x14ac:dyDescent="0.2">
      <c r="A290" s="40"/>
      <c r="B290" s="40" t="s">
        <v>362</v>
      </c>
      <c r="C290" s="40" t="s">
        <v>363</v>
      </c>
      <c r="D290" s="41" t="s">
        <v>278</v>
      </c>
      <c r="E290" s="44">
        <v>70.2</v>
      </c>
      <c r="F290" s="39">
        <f>ROUND(1.15,7)</f>
        <v>1.1499999999999999</v>
      </c>
      <c r="G290" s="44">
        <f>SmtRes!CX87</f>
        <v>52.474499999999999</v>
      </c>
      <c r="H290" s="45"/>
      <c r="I290" s="43"/>
      <c r="J290" s="45">
        <f>SmtRes!CZ87</f>
        <v>240.18</v>
      </c>
      <c r="K290" s="40"/>
      <c r="L290" s="45">
        <f>SmtRes!DI87</f>
        <v>12603.33</v>
      </c>
    </row>
    <row r="291" spans="1:83" ht="15" x14ac:dyDescent="0.2">
      <c r="A291" s="39"/>
      <c r="B291" s="42">
        <v>2</v>
      </c>
      <c r="C291" s="39" t="s">
        <v>480</v>
      </c>
      <c r="D291" s="41"/>
      <c r="E291" s="44"/>
      <c r="F291" s="42"/>
      <c r="G291" s="44"/>
      <c r="H291" s="42"/>
      <c r="I291" s="42"/>
      <c r="J291" s="42"/>
      <c r="K291" s="42"/>
      <c r="L291" s="46">
        <f>SUM(L292:L294)-SUMIF(CE292:CE294, 1, L292:L294)</f>
        <v>78.980000000000018</v>
      </c>
    </row>
    <row r="292" spans="1:83" ht="15" x14ac:dyDescent="0.2">
      <c r="A292" s="39"/>
      <c r="B292" s="42"/>
      <c r="C292" s="39" t="s">
        <v>483</v>
      </c>
      <c r="D292" s="41" t="s">
        <v>278</v>
      </c>
      <c r="E292" s="44"/>
      <c r="F292" s="42"/>
      <c r="G292" s="44">
        <f>Source!V43</f>
        <v>0.14624999999999999</v>
      </c>
      <c r="H292" s="42"/>
      <c r="I292" s="42"/>
      <c r="J292" s="42"/>
      <c r="K292" s="42"/>
      <c r="L292" s="46">
        <f>SUMIF(CE293:CE294, 1, L293:L294)</f>
        <v>39.06</v>
      </c>
      <c r="CE292">
        <v>1</v>
      </c>
    </row>
    <row r="293" spans="1:83" ht="28.5" x14ac:dyDescent="0.2">
      <c r="A293" s="40"/>
      <c r="B293" s="40" t="s">
        <v>291</v>
      </c>
      <c r="C293" s="40" t="s">
        <v>293</v>
      </c>
      <c r="D293" s="41" t="s">
        <v>289</v>
      </c>
      <c r="E293" s="44">
        <v>0.18</v>
      </c>
      <c r="F293" s="39">
        <f>ROUND(1.25,7)</f>
        <v>1.25</v>
      </c>
      <c r="G293" s="44">
        <f>SmtRes!CX89</f>
        <v>0.14624999999999999</v>
      </c>
      <c r="H293" s="45">
        <f>SmtRes!CZ89</f>
        <v>477.92</v>
      </c>
      <c r="I293" s="43">
        <f>SmtRes!AJ89</f>
        <v>1.1299999999999999</v>
      </c>
      <c r="J293" s="45">
        <f>ROUND(H293*I293, 2)</f>
        <v>540.04999999999995</v>
      </c>
      <c r="K293" s="40"/>
      <c r="L293" s="45">
        <f>SmtRes!DG89</f>
        <v>78.98</v>
      </c>
    </row>
    <row r="294" spans="1:83" ht="28.5" x14ac:dyDescent="0.2">
      <c r="A294" s="40"/>
      <c r="B294" s="40" t="s">
        <v>294</v>
      </c>
      <c r="C294" s="40" t="s">
        <v>482</v>
      </c>
      <c r="D294" s="41" t="s">
        <v>278</v>
      </c>
      <c r="E294" s="44">
        <f>SmtRes!DO89*SmtRes!AT89</f>
        <v>0.18</v>
      </c>
      <c r="F294" s="39">
        <f>ROUND(1.25,7)</f>
        <v>1.25</v>
      </c>
      <c r="G294" s="44">
        <f>SmtRes!DO89*SmtRes!CX89</f>
        <v>0.14624999999999999</v>
      </c>
      <c r="H294" s="45"/>
      <c r="I294" s="43"/>
      <c r="J294" s="45">
        <f>ROUND(SmtRes!AG89/SmtRes!DO89, 2)</f>
        <v>267.08999999999997</v>
      </c>
      <c r="K294" s="40"/>
      <c r="L294" s="45">
        <f>SmtRes!DH89</f>
        <v>39.06</v>
      </c>
      <c r="CE294">
        <v>1</v>
      </c>
    </row>
    <row r="295" spans="1:83" ht="15" x14ac:dyDescent="0.2">
      <c r="A295" s="39"/>
      <c r="B295" s="42">
        <v>4</v>
      </c>
      <c r="C295" s="39" t="s">
        <v>471</v>
      </c>
      <c r="D295" s="41"/>
      <c r="E295" s="44"/>
      <c r="F295" s="42"/>
      <c r="G295" s="44"/>
      <c r="H295" s="42"/>
      <c r="I295" s="42"/>
      <c r="J295" s="42"/>
      <c r="K295" s="42"/>
      <c r="L295" s="46">
        <f>SUM(L296:L297)-SUMIF(CE296:CE297, 1, L296:L297)</f>
        <v>1969.61</v>
      </c>
    </row>
    <row r="296" spans="1:83" ht="71.25" x14ac:dyDescent="0.2">
      <c r="A296" s="40"/>
      <c r="B296" s="40" t="s">
        <v>364</v>
      </c>
      <c r="C296" s="40" t="s">
        <v>366</v>
      </c>
      <c r="D296" s="41" t="s">
        <v>281</v>
      </c>
      <c r="E296" s="44">
        <v>2.9000000000000001E-2</v>
      </c>
      <c r="F296" s="39"/>
      <c r="G296" s="44">
        <f>SmtRes!CX90</f>
        <v>1.8849999999999999E-2</v>
      </c>
      <c r="H296" s="45">
        <f>SmtRes!CZ90</f>
        <v>91734.54</v>
      </c>
      <c r="I296" s="43">
        <f>SmtRes!AI90</f>
        <v>1.08</v>
      </c>
      <c r="J296" s="45">
        <f>ROUND(H296*I296, 2)</f>
        <v>99073.3</v>
      </c>
      <c r="K296" s="40"/>
      <c r="L296" s="45">
        <f>SmtRes!DF90</f>
        <v>1867.53</v>
      </c>
    </row>
    <row r="297" spans="1:83" ht="57" x14ac:dyDescent="0.2">
      <c r="A297" s="40"/>
      <c r="B297" s="40" t="s">
        <v>367</v>
      </c>
      <c r="C297" s="40" t="s">
        <v>369</v>
      </c>
      <c r="D297" s="41" t="s">
        <v>370</v>
      </c>
      <c r="E297" s="44">
        <v>8.0000000000000002E-3</v>
      </c>
      <c r="F297" s="39"/>
      <c r="G297" s="44">
        <f>SmtRes!CX91</f>
        <v>5.1999999999999998E-3</v>
      </c>
      <c r="H297" s="45">
        <f>SmtRes!CZ91</f>
        <v>16496.03</v>
      </c>
      <c r="I297" s="43">
        <f>SmtRes!AI91</f>
        <v>1.19</v>
      </c>
      <c r="J297" s="45">
        <f>ROUND(H297*I297, 2)</f>
        <v>19630.28</v>
      </c>
      <c r="K297" s="40"/>
      <c r="L297" s="45">
        <f>SmtRes!DF91</f>
        <v>102.08</v>
      </c>
    </row>
    <row r="298" spans="1:83" ht="14.25" x14ac:dyDescent="0.2">
      <c r="A298" s="40"/>
      <c r="B298" s="40" t="str">
        <f>EtalonRes!I92</f>
        <v>11.2.13.06</v>
      </c>
      <c r="C298" s="55" t="str">
        <f>EtalonRes!K92</f>
        <v>Щиты настила</v>
      </c>
      <c r="D298" s="48" t="str">
        <f>EtalonRes!O92</f>
        <v>м2</v>
      </c>
      <c r="E298" s="49">
        <f>EtalonRes!X92</f>
        <v>0</v>
      </c>
      <c r="F298" s="47"/>
      <c r="G298" s="49">
        <f>ROUND(EtalonRes!AG92*Source!I43, 7)</f>
        <v>0</v>
      </c>
      <c r="H298" s="56"/>
      <c r="I298" s="57"/>
      <c r="J298" s="56"/>
      <c r="K298" s="55"/>
      <c r="L298" s="56"/>
    </row>
    <row r="299" spans="1:83" ht="15" x14ac:dyDescent="0.2">
      <c r="A299" s="40"/>
      <c r="B299" s="40"/>
      <c r="C299" s="53" t="s">
        <v>472</v>
      </c>
      <c r="D299" s="41"/>
      <c r="E299" s="44"/>
      <c r="F299" s="39"/>
      <c r="G299" s="44"/>
      <c r="H299" s="45"/>
      <c r="I299" s="43"/>
      <c r="J299" s="45"/>
      <c r="K299" s="40"/>
      <c r="L299" s="45">
        <f>L289+L291+L292+L295</f>
        <v>14690.98</v>
      </c>
    </row>
    <row r="300" spans="1:83" ht="14.25" x14ac:dyDescent="0.2">
      <c r="A300" s="40"/>
      <c r="B300" s="40"/>
      <c r="C300" s="40" t="s">
        <v>473</v>
      </c>
      <c r="D300" s="41"/>
      <c r="E300" s="44"/>
      <c r="F300" s="39"/>
      <c r="G300" s="44"/>
      <c r="H300" s="45"/>
      <c r="I300" s="43"/>
      <c r="J300" s="45"/>
      <c r="K300" s="40"/>
      <c r="L300" s="45">
        <f>SUM(AR288:AR303)+SUM(AS288:AS303)+SUM(AT288:AT303)+SUM(AU288:AU303)+SUM(AV288:AV303)</f>
        <v>12642.39</v>
      </c>
    </row>
    <row r="301" spans="1:83" ht="28.5" x14ac:dyDescent="0.2">
      <c r="A301" s="40"/>
      <c r="B301" s="40" t="s">
        <v>516</v>
      </c>
      <c r="C301" s="40" t="s">
        <v>517</v>
      </c>
      <c r="D301" s="41" t="s">
        <v>384</v>
      </c>
      <c r="E301" s="44">
        <f>Source!BZ43</f>
        <v>110</v>
      </c>
      <c r="F301" s="39">
        <f>ROUND(0.9,7)</f>
        <v>0.9</v>
      </c>
      <c r="G301" s="44">
        <f>Source!AT43</f>
        <v>99</v>
      </c>
      <c r="H301" s="45"/>
      <c r="I301" s="43"/>
      <c r="J301" s="45"/>
      <c r="K301" s="40"/>
      <c r="L301" s="45">
        <f>SUM(AZ288:AZ303)</f>
        <v>12515.97</v>
      </c>
    </row>
    <row r="302" spans="1:83" ht="28.5" x14ac:dyDescent="0.2">
      <c r="A302" s="55"/>
      <c r="B302" s="55" t="s">
        <v>518</v>
      </c>
      <c r="C302" s="55" t="s">
        <v>519</v>
      </c>
      <c r="D302" s="48" t="s">
        <v>384</v>
      </c>
      <c r="E302" s="49">
        <f>Source!CA43</f>
        <v>69</v>
      </c>
      <c r="F302" s="47">
        <f>ROUND(0.85,7)</f>
        <v>0.85</v>
      </c>
      <c r="G302" s="49">
        <f>Source!AU43</f>
        <v>58.65</v>
      </c>
      <c r="H302" s="56"/>
      <c r="I302" s="57"/>
      <c r="J302" s="56"/>
      <c r="K302" s="55"/>
      <c r="L302" s="56">
        <f>SUM(BA288:BA303)</f>
        <v>7414.76</v>
      </c>
    </row>
    <row r="303" spans="1:83" ht="15" x14ac:dyDescent="0.2">
      <c r="C303" s="163" t="s">
        <v>476</v>
      </c>
      <c r="D303" s="163"/>
      <c r="E303" s="163"/>
      <c r="F303" s="163"/>
      <c r="G303" s="163"/>
      <c r="H303" s="163"/>
      <c r="I303" s="164">
        <f>K303/E288</f>
        <v>53264.169230769228</v>
      </c>
      <c r="J303" s="164"/>
      <c r="K303" s="164">
        <f>L289+L291+L295+L301+L302+L292</f>
        <v>34621.71</v>
      </c>
      <c r="L303" s="164"/>
      <c r="AD303">
        <f>ROUND((Source!AT43/100)*((ROUND(SUMIF(SmtRes!AQ87:'SmtRes'!AQ92,"=1",SmtRes!AD87:'SmtRes'!AD92)*Source!I43, 2)+ROUND(SUMIF(SmtRes!AQ87:'SmtRes'!AQ92,"=1",SmtRes!AC87:'SmtRes'!AC92)*Source!I43, 2))), 2)</f>
        <v>326.43</v>
      </c>
      <c r="AE303">
        <f>ROUND((Source!AU43/100)*((ROUND(SUMIF(SmtRes!AQ87:'SmtRes'!AQ92,"=1",SmtRes!AD87:'SmtRes'!AD92)*Source!I43, 2)+ROUND(SUMIF(SmtRes!AQ87:'SmtRes'!AQ92,"=1",SmtRes!AC87:'SmtRes'!AC92)*Source!I43, 2))), 2)</f>
        <v>193.39</v>
      </c>
      <c r="AN303" s="52">
        <f>L289+L291+L295+L301+L302+L292</f>
        <v>34621.71</v>
      </c>
      <c r="AO303" s="52">
        <f>L291</f>
        <v>78.980000000000018</v>
      </c>
      <c r="AQ303" t="s">
        <v>477</v>
      </c>
      <c r="AR303" s="52">
        <f>L289</f>
        <v>12603.33</v>
      </c>
      <c r="AT303" s="52">
        <f>L292</f>
        <v>39.06</v>
      </c>
      <c r="AV303" t="s">
        <v>477</v>
      </c>
      <c r="AW303" s="52">
        <f>L295</f>
        <v>1969.61</v>
      </c>
      <c r="AZ303">
        <f>Source!X43</f>
        <v>12515.97</v>
      </c>
      <c r="BA303">
        <f>Source!Y43</f>
        <v>7414.76</v>
      </c>
      <c r="CD303">
        <v>1</v>
      </c>
    </row>
    <row r="305" spans="1:12" ht="15" x14ac:dyDescent="0.2">
      <c r="A305" s="59"/>
      <c r="B305" s="60"/>
      <c r="C305" s="166" t="s">
        <v>520</v>
      </c>
      <c r="D305" s="166"/>
      <c r="E305" s="166"/>
      <c r="F305" s="166"/>
      <c r="G305" s="166"/>
      <c r="H305" s="166"/>
      <c r="I305" s="46"/>
      <c r="J305" s="59"/>
      <c r="K305" s="61"/>
      <c r="L305" s="46">
        <f>L307+L308+L314+L318</f>
        <v>98857.279999999999</v>
      </c>
    </row>
    <row r="306" spans="1:12" ht="14.25" x14ac:dyDescent="0.2">
      <c r="A306" s="54"/>
      <c r="B306" s="58"/>
      <c r="C306" s="167" t="s">
        <v>521</v>
      </c>
      <c r="D306" s="168"/>
      <c r="E306" s="168"/>
      <c r="F306" s="168"/>
      <c r="G306" s="168"/>
      <c r="H306" s="168"/>
      <c r="I306" s="45"/>
      <c r="J306" s="54"/>
      <c r="K306" s="42"/>
      <c r="L306" s="45"/>
    </row>
    <row r="307" spans="1:12" ht="14.25" x14ac:dyDescent="0.2">
      <c r="A307" s="54"/>
      <c r="B307" s="58"/>
      <c r="C307" s="168" t="s">
        <v>522</v>
      </c>
      <c r="D307" s="168"/>
      <c r="E307" s="168"/>
      <c r="F307" s="168"/>
      <c r="G307" s="168"/>
      <c r="H307" s="168"/>
      <c r="I307" s="45"/>
      <c r="J307" s="54"/>
      <c r="K307" s="42"/>
      <c r="L307" s="45">
        <f>SUM(AR116:AR303)</f>
        <v>60569.14</v>
      </c>
    </row>
    <row r="308" spans="1:12" ht="14.25" hidden="1" x14ac:dyDescent="0.2">
      <c r="A308" s="54"/>
      <c r="B308" s="58"/>
      <c r="C308" s="168" t="s">
        <v>523</v>
      </c>
      <c r="D308" s="168"/>
      <c r="E308" s="168"/>
      <c r="F308" s="168"/>
      <c r="G308" s="168"/>
      <c r="H308" s="168"/>
      <c r="I308" s="45"/>
      <c r="J308" s="54"/>
      <c r="K308" s="42"/>
      <c r="L308" s="45">
        <f>L310+L313+L312</f>
        <v>442.90999999999997</v>
      </c>
    </row>
    <row r="309" spans="1:12" ht="14.25" hidden="1" x14ac:dyDescent="0.2">
      <c r="A309" s="54"/>
      <c r="B309" s="58"/>
      <c r="C309" s="167" t="s">
        <v>524</v>
      </c>
      <c r="D309" s="168"/>
      <c r="E309" s="168"/>
      <c r="F309" s="168"/>
      <c r="G309" s="168"/>
      <c r="H309" s="168"/>
      <c r="I309" s="45"/>
      <c r="J309" s="54"/>
      <c r="K309" s="42"/>
      <c r="L309" s="45"/>
    </row>
    <row r="310" spans="1:12" ht="14.25" x14ac:dyDescent="0.2">
      <c r="A310" s="54"/>
      <c r="B310" s="58"/>
      <c r="C310" s="168" t="s">
        <v>523</v>
      </c>
      <c r="D310" s="168"/>
      <c r="E310" s="168"/>
      <c r="F310" s="168"/>
      <c r="G310" s="168"/>
      <c r="H310" s="168"/>
      <c r="I310" s="45"/>
      <c r="J310" s="54"/>
      <c r="K310" s="42"/>
      <c r="L310" s="45">
        <f>SUM(AO116:AO303)</f>
        <v>285.62</v>
      </c>
    </row>
    <row r="311" spans="1:12" ht="14.25" hidden="1" x14ac:dyDescent="0.2">
      <c r="A311" s="54"/>
      <c r="B311" s="58"/>
      <c r="C311" s="167" t="s">
        <v>525</v>
      </c>
      <c r="D311" s="168"/>
      <c r="E311" s="168"/>
      <c r="F311" s="168"/>
      <c r="G311" s="168"/>
      <c r="H311" s="168"/>
      <c r="I311" s="45"/>
      <c r="J311" s="54"/>
      <c r="K311" s="42"/>
      <c r="L311" s="45"/>
    </row>
    <row r="312" spans="1:12" ht="14.25" x14ac:dyDescent="0.2">
      <c r="A312" s="54"/>
      <c r="B312" s="58"/>
      <c r="C312" s="168" t="s">
        <v>545</v>
      </c>
      <c r="D312" s="168"/>
      <c r="E312" s="168"/>
      <c r="F312" s="168"/>
      <c r="G312" s="168"/>
      <c r="H312" s="168"/>
      <c r="I312" s="45"/>
      <c r="J312" s="54"/>
      <c r="K312" s="42"/>
      <c r="L312" s="45">
        <f>SUM(AT116:AT303)</f>
        <v>157.29</v>
      </c>
    </row>
    <row r="313" spans="1:12" ht="14.25" hidden="1" x14ac:dyDescent="0.2">
      <c r="A313" s="54"/>
      <c r="B313" s="58"/>
      <c r="C313" s="168" t="s">
        <v>526</v>
      </c>
      <c r="D313" s="168"/>
      <c r="E313" s="168"/>
      <c r="F313" s="168"/>
      <c r="G313" s="168"/>
      <c r="H313" s="168"/>
      <c r="I313" s="45"/>
      <c r="J313" s="54"/>
      <c r="K313" s="42"/>
      <c r="L313" s="45">
        <f>SUM(AV116:AV303)</f>
        <v>0</v>
      </c>
    </row>
    <row r="314" spans="1:12" ht="14.25" x14ac:dyDescent="0.2">
      <c r="A314" s="54"/>
      <c r="B314" s="58"/>
      <c r="C314" s="168" t="s">
        <v>527</v>
      </c>
      <c r="D314" s="168"/>
      <c r="E314" s="168"/>
      <c r="F314" s="168"/>
      <c r="G314" s="168"/>
      <c r="H314" s="168"/>
      <c r="I314" s="45"/>
      <c r="J314" s="54"/>
      <c r="K314" s="42"/>
      <c r="L314" s="45">
        <f>L316+L317</f>
        <v>37845.229999999996</v>
      </c>
    </row>
    <row r="315" spans="1:12" ht="14.25" x14ac:dyDescent="0.2">
      <c r="A315" s="54"/>
      <c r="B315" s="58"/>
      <c r="C315" s="167" t="s">
        <v>524</v>
      </c>
      <c r="D315" s="168"/>
      <c r="E315" s="168"/>
      <c r="F315" s="168"/>
      <c r="G315" s="168"/>
      <c r="H315" s="168"/>
      <c r="I315" s="45"/>
      <c r="J315" s="54"/>
      <c r="K315" s="42"/>
      <c r="L315" s="45"/>
    </row>
    <row r="316" spans="1:12" ht="14.25" x14ac:dyDescent="0.2">
      <c r="A316" s="54"/>
      <c r="B316" s="58"/>
      <c r="C316" s="168" t="s">
        <v>528</v>
      </c>
      <c r="D316" s="168"/>
      <c r="E316" s="168"/>
      <c r="F316" s="168"/>
      <c r="G316" s="168"/>
      <c r="H316" s="168"/>
      <c r="I316" s="45"/>
      <c r="J316" s="54"/>
      <c r="K316" s="42"/>
      <c r="L316" s="45">
        <f>SUM(AW116:AW303)-SUM(BK116:BK303)</f>
        <v>37845.229999999996</v>
      </c>
    </row>
    <row r="317" spans="1:12" ht="14.25" hidden="1" x14ac:dyDescent="0.2">
      <c r="A317" s="54"/>
      <c r="B317" s="58"/>
      <c r="C317" s="168" t="s">
        <v>529</v>
      </c>
      <c r="D317" s="168"/>
      <c r="E317" s="168"/>
      <c r="F317" s="168"/>
      <c r="G317" s="168"/>
      <c r="H317" s="168"/>
      <c r="I317" s="45"/>
      <c r="J317" s="54"/>
      <c r="K317" s="42"/>
      <c r="L317" s="45">
        <f>SUM(BC116:BC303)</f>
        <v>0</v>
      </c>
    </row>
    <row r="318" spans="1:12" ht="14.25" hidden="1" x14ac:dyDescent="0.2">
      <c r="A318" s="54"/>
      <c r="B318" s="58"/>
      <c r="C318" s="168" t="s">
        <v>530</v>
      </c>
      <c r="D318" s="168"/>
      <c r="E318" s="168"/>
      <c r="F318" s="168"/>
      <c r="G318" s="168"/>
      <c r="H318" s="168"/>
      <c r="I318" s="45"/>
      <c r="J318" s="54"/>
      <c r="K318" s="42"/>
      <c r="L318" s="45">
        <f>SUM(BB116:BB303)</f>
        <v>0</v>
      </c>
    </row>
    <row r="319" spans="1:12" ht="14.25" x14ac:dyDescent="0.2">
      <c r="A319" s="54"/>
      <c r="B319" s="58"/>
      <c r="C319" s="168" t="s">
        <v>531</v>
      </c>
      <c r="D319" s="168"/>
      <c r="E319" s="168"/>
      <c r="F319" s="168"/>
      <c r="G319" s="168"/>
      <c r="H319" s="168"/>
      <c r="I319" s="45"/>
      <c r="J319" s="54"/>
      <c r="K319" s="42"/>
      <c r="L319" s="45">
        <f>SUM(AR116:AR303)+SUM(AT116:AT303)+SUM(AV116:AV303)</f>
        <v>60726.43</v>
      </c>
    </row>
    <row r="320" spans="1:12" ht="14.25" x14ac:dyDescent="0.2">
      <c r="A320" s="54"/>
      <c r="B320" s="58"/>
      <c r="C320" s="168" t="s">
        <v>532</v>
      </c>
      <c r="D320" s="168"/>
      <c r="E320" s="168"/>
      <c r="F320" s="168"/>
      <c r="G320" s="168"/>
      <c r="H320" s="168"/>
      <c r="I320" s="45"/>
      <c r="J320" s="54"/>
      <c r="K320" s="42"/>
      <c r="L320" s="45">
        <f>SUM(AZ116:AZ303)</f>
        <v>55789.520000000004</v>
      </c>
    </row>
    <row r="321" spans="1:12" ht="14.25" x14ac:dyDescent="0.2">
      <c r="A321" s="54"/>
      <c r="B321" s="58"/>
      <c r="C321" s="168" t="s">
        <v>533</v>
      </c>
      <c r="D321" s="168"/>
      <c r="E321" s="168"/>
      <c r="F321" s="168"/>
      <c r="G321" s="168"/>
      <c r="H321" s="168"/>
      <c r="I321" s="45"/>
      <c r="J321" s="54"/>
      <c r="K321" s="42"/>
      <c r="L321" s="45">
        <f>SUM(BA116:BA303)</f>
        <v>28220.739999999998</v>
      </c>
    </row>
    <row r="322" spans="1:12" ht="14.25" hidden="1" x14ac:dyDescent="0.2">
      <c r="A322" s="54"/>
      <c r="B322" s="58"/>
      <c r="C322" s="168" t="s">
        <v>534</v>
      </c>
      <c r="D322" s="168"/>
      <c r="E322" s="168"/>
      <c r="F322" s="168"/>
      <c r="G322" s="168"/>
      <c r="H322" s="168"/>
      <c r="I322" s="45"/>
      <c r="J322" s="54"/>
      <c r="K322" s="42"/>
      <c r="L322" s="45">
        <f>L324+L325</f>
        <v>0</v>
      </c>
    </row>
    <row r="323" spans="1:12" ht="14.25" hidden="1" x14ac:dyDescent="0.2">
      <c r="A323" s="54"/>
      <c r="B323" s="58"/>
      <c r="C323" s="167" t="s">
        <v>521</v>
      </c>
      <c r="D323" s="168"/>
      <c r="E323" s="168"/>
      <c r="F323" s="168"/>
      <c r="G323" s="168"/>
      <c r="H323" s="168"/>
      <c r="I323" s="45"/>
      <c r="J323" s="54"/>
      <c r="K323" s="42"/>
      <c r="L323" s="45"/>
    </row>
    <row r="324" spans="1:12" ht="14.25" hidden="1" x14ac:dyDescent="0.2">
      <c r="A324" s="54"/>
      <c r="B324" s="58"/>
      <c r="C324" s="168" t="s">
        <v>535</v>
      </c>
      <c r="D324" s="168"/>
      <c r="E324" s="168"/>
      <c r="F324" s="168"/>
      <c r="G324" s="168"/>
      <c r="H324" s="168"/>
      <c r="I324" s="45"/>
      <c r="J324" s="54"/>
      <c r="K324" s="42"/>
      <c r="L324" s="45">
        <f>SUM(BK116:BK303)</f>
        <v>0</v>
      </c>
    </row>
    <row r="325" spans="1:12" ht="14.25" hidden="1" x14ac:dyDescent="0.2">
      <c r="A325" s="54"/>
      <c r="B325" s="58"/>
      <c r="C325" s="168" t="s">
        <v>536</v>
      </c>
      <c r="D325" s="168"/>
      <c r="E325" s="168"/>
      <c r="F325" s="168"/>
      <c r="G325" s="168"/>
      <c r="H325" s="168"/>
      <c r="I325" s="45"/>
      <c r="J325" s="54"/>
      <c r="K325" s="42"/>
      <c r="L325" s="45">
        <f>SUM(BD116:BD303)</f>
        <v>0</v>
      </c>
    </row>
    <row r="326" spans="1:12" ht="14.25" hidden="1" x14ac:dyDescent="0.2">
      <c r="A326" s="54"/>
      <c r="B326" s="58"/>
      <c r="C326" s="168" t="s">
        <v>537</v>
      </c>
      <c r="D326" s="168"/>
      <c r="E326" s="168"/>
      <c r="F326" s="168"/>
      <c r="G326" s="168"/>
      <c r="H326" s="168"/>
      <c r="I326" s="45"/>
      <c r="J326" s="54"/>
      <c r="K326" s="42"/>
      <c r="L326" s="45"/>
    </row>
    <row r="327" spans="1:12" ht="14.25" hidden="1" x14ac:dyDescent="0.2">
      <c r="A327" s="54"/>
      <c r="B327" s="58"/>
      <c r="C327" s="168" t="s">
        <v>538</v>
      </c>
      <c r="D327" s="168"/>
      <c r="E327" s="168"/>
      <c r="F327" s="168"/>
      <c r="G327" s="168"/>
      <c r="H327" s="168"/>
      <c r="I327" s="45"/>
      <c r="J327" s="54"/>
      <c r="K327" s="42"/>
      <c r="L327" s="45">
        <f>SUM(BO116:BO303)</f>
        <v>0</v>
      </c>
    </row>
    <row r="328" spans="1:12" ht="15" x14ac:dyDescent="0.2">
      <c r="A328" s="59"/>
      <c r="B328" s="60"/>
      <c r="C328" s="166" t="s">
        <v>539</v>
      </c>
      <c r="D328" s="166"/>
      <c r="E328" s="166"/>
      <c r="F328" s="166"/>
      <c r="G328" s="166"/>
      <c r="H328" s="166"/>
      <c r="I328" s="46"/>
      <c r="J328" s="59"/>
      <c r="K328" s="61"/>
      <c r="L328" s="46">
        <f>L305+L320+L321+L322+L326+L327</f>
        <v>182867.53999999998</v>
      </c>
    </row>
    <row r="329" spans="1:12" ht="14.25" x14ac:dyDescent="0.2">
      <c r="A329" s="54"/>
      <c r="B329" s="58"/>
      <c r="C329" s="167" t="s">
        <v>540</v>
      </c>
      <c r="D329" s="168"/>
      <c r="E329" s="168"/>
      <c r="F329" s="168"/>
      <c r="G329" s="168"/>
      <c r="H329" s="168"/>
      <c r="I329" s="45"/>
      <c r="J329" s="54"/>
      <c r="K329" s="42"/>
      <c r="L329" s="45"/>
    </row>
    <row r="330" spans="1:12" ht="14.25" hidden="1" x14ac:dyDescent="0.2">
      <c r="A330" s="54"/>
      <c r="B330" s="58"/>
      <c r="C330" s="168" t="s">
        <v>541</v>
      </c>
      <c r="D330" s="168"/>
      <c r="E330" s="168"/>
      <c r="F330" s="168"/>
      <c r="G330" s="168"/>
      <c r="H330" s="168"/>
      <c r="I330" s="45"/>
      <c r="J330" s="54"/>
      <c r="K330" s="42"/>
      <c r="L330" s="45">
        <f>SUM(AX116:AX303)</f>
        <v>0</v>
      </c>
    </row>
    <row r="331" spans="1:12" ht="14.25" hidden="1" x14ac:dyDescent="0.2">
      <c r="A331" s="54"/>
      <c r="B331" s="58"/>
      <c r="C331" s="168" t="s">
        <v>542</v>
      </c>
      <c r="D331" s="168"/>
      <c r="E331" s="168"/>
      <c r="F331" s="168"/>
      <c r="G331" s="168"/>
      <c r="H331" s="168"/>
      <c r="I331" s="45"/>
      <c r="J331" s="54"/>
      <c r="K331" s="42"/>
      <c r="L331" s="45">
        <f>SUM(AY116:AY303)</f>
        <v>0</v>
      </c>
    </row>
    <row r="332" spans="1:12" ht="14.25" x14ac:dyDescent="0.2">
      <c r="A332" s="54"/>
      <c r="B332" s="58"/>
      <c r="C332" s="168" t="s">
        <v>543</v>
      </c>
      <c r="D332" s="168"/>
      <c r="E332" s="168"/>
      <c r="F332" s="169"/>
      <c r="G332" s="44">
        <f>Source!F67</f>
        <v>258.54817794999997</v>
      </c>
      <c r="H332" s="54"/>
      <c r="I332" s="54"/>
      <c r="J332" s="54"/>
      <c r="K332" s="54"/>
      <c r="L332" s="54"/>
    </row>
    <row r="333" spans="1:12" ht="14.25" x14ac:dyDescent="0.2">
      <c r="A333" s="54"/>
      <c r="B333" s="58"/>
      <c r="C333" s="168" t="s">
        <v>544</v>
      </c>
      <c r="D333" s="168"/>
      <c r="E333" s="168"/>
      <c r="F333" s="169"/>
      <c r="G333" s="44">
        <f>Source!F68</f>
        <v>0.59723625000000002</v>
      </c>
      <c r="H333" s="54"/>
      <c r="I333" s="54"/>
      <c r="J333" s="54"/>
      <c r="K333" s="54"/>
      <c r="L333" s="54"/>
    </row>
    <row r="336" spans="1:12" ht="16.5" x14ac:dyDescent="0.2">
      <c r="A336" s="165" t="s">
        <v>546</v>
      </c>
      <c r="B336" s="165"/>
      <c r="C336" s="165"/>
      <c r="D336" s="165"/>
      <c r="E336" s="165"/>
      <c r="F336" s="165"/>
      <c r="G336" s="165"/>
      <c r="H336" s="165"/>
      <c r="I336" s="165"/>
      <c r="J336" s="165"/>
      <c r="K336" s="165"/>
      <c r="L336" s="165"/>
    </row>
    <row r="337" spans="1:83" ht="92.25" x14ac:dyDescent="0.2">
      <c r="A337" s="38" t="s">
        <v>159</v>
      </c>
      <c r="B337" s="40" t="s">
        <v>547</v>
      </c>
      <c r="C337" s="40" t="s">
        <v>548</v>
      </c>
      <c r="D337" s="41" t="str">
        <f>Source!H79</f>
        <v>100 ШТ</v>
      </c>
      <c r="E337" s="44">
        <f>Source!K79</f>
        <v>0.12</v>
      </c>
      <c r="F337" s="39"/>
      <c r="G337" s="44">
        <f>Source!I79</f>
        <v>0.12</v>
      </c>
      <c r="H337" s="45"/>
      <c r="I337" s="43"/>
      <c r="J337" s="45"/>
      <c r="K337" s="40"/>
      <c r="L337" s="45"/>
    </row>
    <row r="338" spans="1:83" ht="15" x14ac:dyDescent="0.2">
      <c r="A338" s="39"/>
      <c r="B338" s="42">
        <v>1</v>
      </c>
      <c r="C338" s="39" t="s">
        <v>470</v>
      </c>
      <c r="D338" s="41" t="s">
        <v>278</v>
      </c>
      <c r="E338" s="44"/>
      <c r="F338" s="42"/>
      <c r="G338" s="44">
        <f>Source!U79</f>
        <v>9.0624000000000002</v>
      </c>
      <c r="H338" s="42"/>
      <c r="I338" s="42"/>
      <c r="J338" s="42"/>
      <c r="K338" s="42"/>
      <c r="L338" s="46">
        <f>SUM(L339:L339)-SUMIF(CE339:CE339, 1, L339:L339)</f>
        <v>2492.6999999999998</v>
      </c>
    </row>
    <row r="339" spans="1:83" ht="28.5" x14ac:dyDescent="0.2">
      <c r="A339" s="40"/>
      <c r="B339" s="40" t="s">
        <v>373</v>
      </c>
      <c r="C339" s="40" t="s">
        <v>374</v>
      </c>
      <c r="D339" s="41" t="s">
        <v>278</v>
      </c>
      <c r="E339" s="44">
        <v>94.4</v>
      </c>
      <c r="F339" s="39">
        <f>ROUND(0.8,7)</f>
        <v>0.8</v>
      </c>
      <c r="G339" s="44">
        <f>SmtRes!CX93</f>
        <v>9.0624000000000002</v>
      </c>
      <c r="H339" s="45"/>
      <c r="I339" s="43"/>
      <c r="J339" s="45">
        <f>SmtRes!CZ93</f>
        <v>275.06</v>
      </c>
      <c r="K339" s="40"/>
      <c r="L339" s="45">
        <f>SmtRes!DI93</f>
        <v>2492.6999999999998</v>
      </c>
    </row>
    <row r="340" spans="1:83" ht="15" x14ac:dyDescent="0.2">
      <c r="A340" s="39"/>
      <c r="B340" s="42">
        <v>2</v>
      </c>
      <c r="C340" s="39" t="s">
        <v>480</v>
      </c>
      <c r="D340" s="41"/>
      <c r="E340" s="44"/>
      <c r="F340" s="42"/>
      <c r="G340" s="44"/>
      <c r="H340" s="42"/>
      <c r="I340" s="42"/>
      <c r="J340" s="42"/>
      <c r="K340" s="42"/>
      <c r="L340" s="46">
        <f>SUM(L341:L345)-SUMIF(CE341:CE345, 1, L341:L345)</f>
        <v>37.330000000000005</v>
      </c>
    </row>
    <row r="341" spans="1:83" ht="15" x14ac:dyDescent="0.2">
      <c r="A341" s="39"/>
      <c r="B341" s="42"/>
      <c r="C341" s="39" t="s">
        <v>483</v>
      </c>
      <c r="D341" s="41" t="s">
        <v>278</v>
      </c>
      <c r="E341" s="44"/>
      <c r="F341" s="42"/>
      <c r="G341" s="44">
        <f>Source!V79</f>
        <v>3.8400000000000004E-2</v>
      </c>
      <c r="H341" s="42"/>
      <c r="I341" s="42"/>
      <c r="J341" s="42"/>
      <c r="K341" s="42"/>
      <c r="L341" s="46">
        <f>SUMIF(CE342:CE345, 1, L342:L345)</f>
        <v>12.02</v>
      </c>
      <c r="CE341">
        <v>1</v>
      </c>
    </row>
    <row r="342" spans="1:83" ht="28.5" x14ac:dyDescent="0.2">
      <c r="A342" s="40"/>
      <c r="B342" s="40" t="s">
        <v>375</v>
      </c>
      <c r="C342" s="40" t="s">
        <v>377</v>
      </c>
      <c r="D342" s="41" t="s">
        <v>289</v>
      </c>
      <c r="E342" s="44">
        <v>0.2</v>
      </c>
      <c r="F342" s="39">
        <f>ROUND(0.8,7)</f>
        <v>0.8</v>
      </c>
      <c r="G342" s="44">
        <f>SmtRes!CX95</f>
        <v>1.9199999999999998E-2</v>
      </c>
      <c r="H342" s="45"/>
      <c r="I342" s="43"/>
      <c r="J342" s="45">
        <f>SmtRes!CZ95</f>
        <v>1403.96</v>
      </c>
      <c r="K342" s="40"/>
      <c r="L342" s="45">
        <f>SmtRes!DG95</f>
        <v>26.96</v>
      </c>
    </row>
    <row r="343" spans="1:83" ht="28.5" x14ac:dyDescent="0.2">
      <c r="A343" s="40"/>
      <c r="B343" s="40" t="s">
        <v>378</v>
      </c>
      <c r="C343" s="40" t="s">
        <v>549</v>
      </c>
      <c r="D343" s="41" t="s">
        <v>278</v>
      </c>
      <c r="E343" s="44">
        <f>SmtRes!DO95*SmtRes!AT95</f>
        <v>0.2</v>
      </c>
      <c r="F343" s="39">
        <f>ROUND(0.8,7)</f>
        <v>0.8</v>
      </c>
      <c r="G343" s="44">
        <f>SmtRes!DO95*SmtRes!CX95</f>
        <v>1.9199999999999998E-2</v>
      </c>
      <c r="H343" s="45"/>
      <c r="I343" s="43"/>
      <c r="J343" s="45">
        <f>ROUND(SmtRes!AG95/SmtRes!DO95, 2)</f>
        <v>358.78</v>
      </c>
      <c r="K343" s="40"/>
      <c r="L343" s="45">
        <f>SmtRes!DH95</f>
        <v>6.89</v>
      </c>
      <c r="CE343">
        <v>1</v>
      </c>
    </row>
    <row r="344" spans="1:83" ht="28.5" x14ac:dyDescent="0.2">
      <c r="A344" s="40"/>
      <c r="B344" s="40" t="s">
        <v>291</v>
      </c>
      <c r="C344" s="40" t="s">
        <v>293</v>
      </c>
      <c r="D344" s="41" t="s">
        <v>289</v>
      </c>
      <c r="E344" s="44">
        <v>0.2</v>
      </c>
      <c r="F344" s="39">
        <f>ROUND(0.8,7)</f>
        <v>0.8</v>
      </c>
      <c r="G344" s="44">
        <f>SmtRes!CX96</f>
        <v>1.9199999999999998E-2</v>
      </c>
      <c r="H344" s="45">
        <f>SmtRes!CZ96</f>
        <v>477.92</v>
      </c>
      <c r="I344" s="43">
        <f>SmtRes!AJ96</f>
        <v>1.1299999999999999</v>
      </c>
      <c r="J344" s="45">
        <f>ROUND(H344*I344, 2)</f>
        <v>540.04999999999995</v>
      </c>
      <c r="K344" s="40"/>
      <c r="L344" s="45">
        <f>SmtRes!DG96</f>
        <v>10.37</v>
      </c>
    </row>
    <row r="345" spans="1:83" ht="28.5" x14ac:dyDescent="0.2">
      <c r="A345" s="40"/>
      <c r="B345" s="40" t="s">
        <v>294</v>
      </c>
      <c r="C345" s="40" t="s">
        <v>482</v>
      </c>
      <c r="D345" s="41" t="s">
        <v>278</v>
      </c>
      <c r="E345" s="44">
        <f>SmtRes!DO96*SmtRes!AT96</f>
        <v>0.2</v>
      </c>
      <c r="F345" s="39">
        <f>ROUND(0.8,7)</f>
        <v>0.8</v>
      </c>
      <c r="G345" s="44">
        <f>SmtRes!DO96*SmtRes!CX96</f>
        <v>1.9199999999999998E-2</v>
      </c>
      <c r="H345" s="45"/>
      <c r="I345" s="43"/>
      <c r="J345" s="45">
        <f>ROUND(SmtRes!AG96/SmtRes!DO96, 2)</f>
        <v>267.08999999999997</v>
      </c>
      <c r="K345" s="40"/>
      <c r="L345" s="45">
        <f>SmtRes!DH96</f>
        <v>5.13</v>
      </c>
      <c r="CE345">
        <v>1</v>
      </c>
    </row>
    <row r="346" spans="1:83" ht="15" x14ac:dyDescent="0.2">
      <c r="A346" s="39"/>
      <c r="B346" s="42">
        <v>4</v>
      </c>
      <c r="C346" s="47" t="s">
        <v>471</v>
      </c>
      <c r="D346" s="48"/>
      <c r="E346" s="49"/>
      <c r="F346" s="50"/>
      <c r="G346" s="49"/>
      <c r="H346" s="50"/>
      <c r="I346" s="50"/>
      <c r="J346" s="50"/>
      <c r="K346" s="50"/>
      <c r="L346" s="51">
        <f>0</f>
        <v>0</v>
      </c>
    </row>
    <row r="347" spans="1:83" ht="15" x14ac:dyDescent="0.2">
      <c r="A347" s="40"/>
      <c r="B347" s="40"/>
      <c r="C347" s="53" t="s">
        <v>472</v>
      </c>
      <c r="D347" s="41"/>
      <c r="E347" s="44"/>
      <c r="F347" s="39"/>
      <c r="G347" s="44"/>
      <c r="H347" s="45"/>
      <c r="I347" s="43"/>
      <c r="J347" s="45"/>
      <c r="K347" s="40"/>
      <c r="L347" s="45">
        <f>L338+L340+L341+L346</f>
        <v>2542.0499999999997</v>
      </c>
    </row>
    <row r="348" spans="1:83" ht="14.25" x14ac:dyDescent="0.2">
      <c r="A348" s="40"/>
      <c r="B348" s="40"/>
      <c r="C348" s="40" t="s">
        <v>473</v>
      </c>
      <c r="D348" s="41"/>
      <c r="E348" s="44"/>
      <c r="F348" s="39"/>
      <c r="G348" s="44"/>
      <c r="H348" s="45"/>
      <c r="I348" s="43"/>
      <c r="J348" s="45"/>
      <c r="K348" s="40"/>
      <c r="L348" s="45">
        <f>SUM(AR337:AR351)+SUM(AS337:AS351)+SUM(AT337:AT351)+SUM(AU337:AU351)+SUM(AV337:AV351)</f>
        <v>2504.7199999999998</v>
      </c>
    </row>
    <row r="349" spans="1:83" ht="28.5" x14ac:dyDescent="0.2">
      <c r="A349" s="40"/>
      <c r="B349" s="40" t="s">
        <v>167</v>
      </c>
      <c r="C349" s="40" t="s">
        <v>550</v>
      </c>
      <c r="D349" s="41" t="s">
        <v>384</v>
      </c>
      <c r="E349" s="44">
        <f>Source!BZ79</f>
        <v>97</v>
      </c>
      <c r="F349" s="39"/>
      <c r="G349" s="44">
        <f>Source!AT79</f>
        <v>97</v>
      </c>
      <c r="H349" s="45"/>
      <c r="I349" s="43"/>
      <c r="J349" s="45"/>
      <c r="K349" s="40"/>
      <c r="L349" s="45">
        <f>SUM(AZ337:AZ351)</f>
        <v>2429.58</v>
      </c>
    </row>
    <row r="350" spans="1:83" ht="28.5" x14ac:dyDescent="0.2">
      <c r="A350" s="55"/>
      <c r="B350" s="55" t="s">
        <v>168</v>
      </c>
      <c r="C350" s="55" t="s">
        <v>551</v>
      </c>
      <c r="D350" s="48" t="s">
        <v>384</v>
      </c>
      <c r="E350" s="49">
        <f>Source!CA79</f>
        <v>51</v>
      </c>
      <c r="F350" s="47"/>
      <c r="G350" s="49">
        <f>Source!AU79</f>
        <v>51</v>
      </c>
      <c r="H350" s="56"/>
      <c r="I350" s="57"/>
      <c r="J350" s="56"/>
      <c r="K350" s="55"/>
      <c r="L350" s="56">
        <f>SUM(BA337:BA351)</f>
        <v>1277.4100000000001</v>
      </c>
    </row>
    <row r="351" spans="1:83" ht="15" x14ac:dyDescent="0.2">
      <c r="C351" s="163" t="s">
        <v>476</v>
      </c>
      <c r="D351" s="163"/>
      <c r="E351" s="163"/>
      <c r="F351" s="163"/>
      <c r="G351" s="163"/>
      <c r="H351" s="163"/>
      <c r="I351" s="164">
        <f>K351/E337</f>
        <v>52075.333333333336</v>
      </c>
      <c r="J351" s="164"/>
      <c r="K351" s="164">
        <f>L338+L340+L346+L349+L350+L341</f>
        <v>6249.04</v>
      </c>
      <c r="L351" s="164"/>
      <c r="AD351">
        <f>ROUND((Source!AT79/100)*((ROUND(SUMIF(SmtRes!AQ93:'SmtRes'!AQ98,"=1",SmtRes!AD93:'SmtRes'!AD98)*Source!I79, 2)+ROUND(SUMIF(SmtRes!AQ93:'SmtRes'!AQ98,"=1",SmtRes!AC93:'SmtRes'!AC98)*Source!I79, 2))), 2)</f>
        <v>104.87</v>
      </c>
      <c r="AE351">
        <f>ROUND((Source!AU79/100)*((ROUND(SUMIF(SmtRes!AQ93:'SmtRes'!AQ98,"=1",SmtRes!AD93:'SmtRes'!AD98)*Source!I79, 2)+ROUND(SUMIF(SmtRes!AQ93:'SmtRes'!AQ98,"=1",SmtRes!AC93:'SmtRes'!AC98)*Source!I79, 2))), 2)</f>
        <v>55.14</v>
      </c>
      <c r="AN351" s="52">
        <f>L338+L340+L346+L349+L350+L341</f>
        <v>6249.04</v>
      </c>
      <c r="AO351" s="52">
        <f>L340</f>
        <v>37.330000000000005</v>
      </c>
      <c r="AQ351" t="s">
        <v>477</v>
      </c>
      <c r="AR351" s="52">
        <f>L338</f>
        <v>2492.6999999999998</v>
      </c>
      <c r="AT351" s="52">
        <f>L341</f>
        <v>12.02</v>
      </c>
      <c r="AV351" t="s">
        <v>477</v>
      </c>
      <c r="AW351" s="52">
        <f>L346</f>
        <v>0</v>
      </c>
      <c r="AZ351">
        <f>Source!X79</f>
        <v>2429.58</v>
      </c>
      <c r="BA351">
        <f>Source!Y79</f>
        <v>1277.4100000000001</v>
      </c>
      <c r="CD351">
        <v>2</v>
      </c>
    </row>
    <row r="352" spans="1:83" ht="28.5" x14ac:dyDescent="0.2">
      <c r="A352" s="38" t="s">
        <v>169</v>
      </c>
      <c r="B352" s="40" t="s">
        <v>547</v>
      </c>
      <c r="C352" s="40" t="str">
        <f>Source!G80</f>
        <v>Светильник в подвесных потолках точечных</v>
      </c>
      <c r="D352" s="41" t="str">
        <f>Source!H80</f>
        <v>100 ШТ</v>
      </c>
      <c r="E352" s="44">
        <f>Source!K80</f>
        <v>0.12</v>
      </c>
      <c r="F352" s="39"/>
      <c r="G352" s="44">
        <f>Source!I80</f>
        <v>0.12</v>
      </c>
      <c r="H352" s="45"/>
      <c r="I352" s="43"/>
      <c r="J352" s="45"/>
      <c r="K352" s="40"/>
      <c r="L352" s="45"/>
    </row>
    <row r="353" spans="1:83" ht="15" x14ac:dyDescent="0.2">
      <c r="A353" s="39"/>
      <c r="B353" s="42">
        <v>1</v>
      </c>
      <c r="C353" s="39" t="s">
        <v>470</v>
      </c>
      <c r="D353" s="41" t="s">
        <v>278</v>
      </c>
      <c r="E353" s="44"/>
      <c r="F353" s="42"/>
      <c r="G353" s="44">
        <f>Source!U80</f>
        <v>11.327999999999999</v>
      </c>
      <c r="H353" s="42"/>
      <c r="I353" s="42"/>
      <c r="J353" s="42"/>
      <c r="K353" s="42"/>
      <c r="L353" s="46">
        <f>SUM(L354:L354)-SUMIF(CE354:CE354, 1, L354:L354)</f>
        <v>3115.88</v>
      </c>
    </row>
    <row r="354" spans="1:83" ht="28.5" x14ac:dyDescent="0.2">
      <c r="A354" s="40"/>
      <c r="B354" s="40" t="s">
        <v>373</v>
      </c>
      <c r="C354" s="40" t="s">
        <v>374</v>
      </c>
      <c r="D354" s="41" t="s">
        <v>278</v>
      </c>
      <c r="E354" s="44">
        <v>94.4</v>
      </c>
      <c r="F354" s="39"/>
      <c r="G354" s="44">
        <f>SmtRes!CX99</f>
        <v>11.327999999999999</v>
      </c>
      <c r="H354" s="45"/>
      <c r="I354" s="43"/>
      <c r="J354" s="45">
        <f>SmtRes!CZ99</f>
        <v>275.06</v>
      </c>
      <c r="K354" s="40"/>
      <c r="L354" s="45">
        <f>SmtRes!DI99</f>
        <v>3115.88</v>
      </c>
    </row>
    <row r="355" spans="1:83" ht="15" x14ac:dyDescent="0.2">
      <c r="A355" s="39"/>
      <c r="B355" s="42">
        <v>2</v>
      </c>
      <c r="C355" s="39" t="s">
        <v>480</v>
      </c>
      <c r="D355" s="41"/>
      <c r="E355" s="44"/>
      <c r="F355" s="42"/>
      <c r="G355" s="44"/>
      <c r="H355" s="42"/>
      <c r="I355" s="42"/>
      <c r="J355" s="42"/>
      <c r="K355" s="42"/>
      <c r="L355" s="46">
        <f>SUM(L356:L360)-SUMIF(CE356:CE360, 1, L356:L360)</f>
        <v>46.659999999999989</v>
      </c>
    </row>
    <row r="356" spans="1:83" ht="15" x14ac:dyDescent="0.2">
      <c r="A356" s="39"/>
      <c r="B356" s="42"/>
      <c r="C356" s="39" t="s">
        <v>483</v>
      </c>
      <c r="D356" s="41" t="s">
        <v>278</v>
      </c>
      <c r="E356" s="44"/>
      <c r="F356" s="42"/>
      <c r="G356" s="44">
        <f>Source!V80</f>
        <v>4.8000000000000001E-2</v>
      </c>
      <c r="H356" s="42"/>
      <c r="I356" s="42"/>
      <c r="J356" s="42"/>
      <c r="K356" s="42"/>
      <c r="L356" s="46">
        <f>SUMIF(CE357:CE360, 1, L357:L360)</f>
        <v>15.02</v>
      </c>
      <c r="CE356">
        <v>1</v>
      </c>
    </row>
    <row r="357" spans="1:83" ht="28.5" x14ac:dyDescent="0.2">
      <c r="A357" s="40"/>
      <c r="B357" s="40" t="s">
        <v>375</v>
      </c>
      <c r="C357" s="40" t="s">
        <v>377</v>
      </c>
      <c r="D357" s="41" t="s">
        <v>289</v>
      </c>
      <c r="E357" s="44">
        <v>0.2</v>
      </c>
      <c r="F357" s="39"/>
      <c r="G357" s="44">
        <f>SmtRes!CX101</f>
        <v>2.4E-2</v>
      </c>
      <c r="H357" s="45"/>
      <c r="I357" s="43"/>
      <c r="J357" s="45">
        <f>SmtRes!CZ101</f>
        <v>1403.96</v>
      </c>
      <c r="K357" s="40"/>
      <c r="L357" s="45">
        <f>SmtRes!DG101</f>
        <v>33.700000000000003</v>
      </c>
    </row>
    <row r="358" spans="1:83" ht="28.5" x14ac:dyDescent="0.2">
      <c r="A358" s="40"/>
      <c r="B358" s="40" t="s">
        <v>378</v>
      </c>
      <c r="C358" s="40" t="s">
        <v>549</v>
      </c>
      <c r="D358" s="41" t="s">
        <v>278</v>
      </c>
      <c r="E358" s="44">
        <f>SmtRes!DO101*SmtRes!AT101</f>
        <v>0.2</v>
      </c>
      <c r="F358" s="39"/>
      <c r="G358" s="44">
        <f>SmtRes!DO101*SmtRes!CX101</f>
        <v>2.4E-2</v>
      </c>
      <c r="H358" s="45"/>
      <c r="I358" s="43"/>
      <c r="J358" s="45">
        <f>ROUND(SmtRes!AG101/SmtRes!DO101, 2)</f>
        <v>358.78</v>
      </c>
      <c r="K358" s="40"/>
      <c r="L358" s="45">
        <f>SmtRes!DH101</f>
        <v>8.61</v>
      </c>
      <c r="CE358">
        <v>1</v>
      </c>
    </row>
    <row r="359" spans="1:83" ht="28.5" x14ac:dyDescent="0.2">
      <c r="A359" s="40"/>
      <c r="B359" s="40" t="s">
        <v>291</v>
      </c>
      <c r="C359" s="40" t="s">
        <v>293</v>
      </c>
      <c r="D359" s="41" t="s">
        <v>289</v>
      </c>
      <c r="E359" s="44">
        <v>0.2</v>
      </c>
      <c r="F359" s="39"/>
      <c r="G359" s="44">
        <f>SmtRes!CX102</f>
        <v>2.4E-2</v>
      </c>
      <c r="H359" s="45">
        <f>SmtRes!CZ102</f>
        <v>477.92</v>
      </c>
      <c r="I359" s="43">
        <f>SmtRes!AJ102</f>
        <v>1.1299999999999999</v>
      </c>
      <c r="J359" s="45">
        <f>ROUND(H359*I359, 2)</f>
        <v>540.04999999999995</v>
      </c>
      <c r="K359" s="40"/>
      <c r="L359" s="45">
        <f>SmtRes!DG102</f>
        <v>12.96</v>
      </c>
    </row>
    <row r="360" spans="1:83" ht="28.5" x14ac:dyDescent="0.2">
      <c r="A360" s="40"/>
      <c r="B360" s="40" t="s">
        <v>294</v>
      </c>
      <c r="C360" s="40" t="s">
        <v>482</v>
      </c>
      <c r="D360" s="41" t="s">
        <v>278</v>
      </c>
      <c r="E360" s="44">
        <f>SmtRes!DO102*SmtRes!AT102</f>
        <v>0.2</v>
      </c>
      <c r="F360" s="39"/>
      <c r="G360" s="44">
        <f>SmtRes!DO102*SmtRes!CX102</f>
        <v>2.4E-2</v>
      </c>
      <c r="H360" s="45"/>
      <c r="I360" s="43"/>
      <c r="J360" s="45">
        <f>ROUND(SmtRes!AG102/SmtRes!DO102, 2)</f>
        <v>267.08999999999997</v>
      </c>
      <c r="K360" s="40"/>
      <c r="L360" s="45">
        <f>SmtRes!DH102</f>
        <v>6.41</v>
      </c>
      <c r="CE360">
        <v>1</v>
      </c>
    </row>
    <row r="361" spans="1:83" ht="15" x14ac:dyDescent="0.2">
      <c r="A361" s="39"/>
      <c r="B361" s="42">
        <v>4</v>
      </c>
      <c r="C361" s="39" t="s">
        <v>471</v>
      </c>
      <c r="D361" s="41"/>
      <c r="E361" s="44"/>
      <c r="F361" s="42"/>
      <c r="G361" s="44"/>
      <c r="H361" s="42"/>
      <c r="I361" s="42"/>
      <c r="J361" s="42"/>
      <c r="K361" s="42"/>
      <c r="L361" s="46">
        <f>SUM(L362:L364)-SUMIF(CE362:CE364, 1, L362:L364)</f>
        <v>8029.99</v>
      </c>
    </row>
    <row r="362" spans="1:83" ht="14.25" x14ac:dyDescent="0.2">
      <c r="A362" s="40"/>
      <c r="B362" s="40" t="s">
        <v>379</v>
      </c>
      <c r="C362" s="40" t="s">
        <v>381</v>
      </c>
      <c r="D362" s="41" t="s">
        <v>162</v>
      </c>
      <c r="E362" s="44">
        <v>1.02</v>
      </c>
      <c r="F362" s="39"/>
      <c r="G362" s="44">
        <f>SmtRes!CX103</f>
        <v>0.12239999999999999</v>
      </c>
      <c r="H362" s="45">
        <f>SmtRes!CZ103</f>
        <v>87.93</v>
      </c>
      <c r="I362" s="43">
        <f>SmtRes!AI103</f>
        <v>1.3</v>
      </c>
      <c r="J362" s="45">
        <f>ROUND(H362*I362, 2)</f>
        <v>114.31</v>
      </c>
      <c r="K362" s="40"/>
      <c r="L362" s="45">
        <f>SmtRes!DF103</f>
        <v>13.99</v>
      </c>
    </row>
    <row r="363" spans="1:83" ht="14.25" x14ac:dyDescent="0.2">
      <c r="A363" s="40"/>
      <c r="B363" s="40" t="s">
        <v>326</v>
      </c>
      <c r="C363" s="40" t="s">
        <v>385</v>
      </c>
      <c r="D363" s="41" t="s">
        <v>386</v>
      </c>
      <c r="E363" s="44">
        <v>100</v>
      </c>
      <c r="F363" s="39"/>
      <c r="G363" s="44">
        <f>SmtRes!CX104</f>
        <v>12</v>
      </c>
      <c r="H363" s="45">
        <f>SmtRes!CZ104</f>
        <v>618</v>
      </c>
      <c r="I363" s="43"/>
      <c r="J363" s="45"/>
      <c r="K363" s="40"/>
      <c r="L363" s="45">
        <f>SmtRes!DF104</f>
        <v>7416</v>
      </c>
    </row>
    <row r="364" spans="1:83" ht="14.25" x14ac:dyDescent="0.2">
      <c r="A364" s="40"/>
      <c r="B364" s="40" t="s">
        <v>326</v>
      </c>
      <c r="C364" s="55" t="s">
        <v>387</v>
      </c>
      <c r="D364" s="48" t="s">
        <v>386</v>
      </c>
      <c r="E364" s="49">
        <v>100</v>
      </c>
      <c r="F364" s="47"/>
      <c r="G364" s="49">
        <f>SmtRes!CX105</f>
        <v>12</v>
      </c>
      <c r="H364" s="56">
        <f>SmtRes!CZ105</f>
        <v>50</v>
      </c>
      <c r="I364" s="57"/>
      <c r="J364" s="56"/>
      <c r="K364" s="55"/>
      <c r="L364" s="56">
        <f>SmtRes!DF105</f>
        <v>600</v>
      </c>
    </row>
    <row r="365" spans="1:83" ht="15" x14ac:dyDescent="0.2">
      <c r="A365" s="40"/>
      <c r="B365" s="40"/>
      <c r="C365" s="53" t="s">
        <v>472</v>
      </c>
      <c r="D365" s="41"/>
      <c r="E365" s="44"/>
      <c r="F365" s="39"/>
      <c r="G365" s="44"/>
      <c r="H365" s="45"/>
      <c r="I365" s="43"/>
      <c r="J365" s="45"/>
      <c r="K365" s="40"/>
      <c r="L365" s="45">
        <f>L353+L355+L356+L361</f>
        <v>11207.55</v>
      </c>
    </row>
    <row r="366" spans="1:83" ht="14.25" x14ac:dyDescent="0.2">
      <c r="A366" s="40"/>
      <c r="B366" s="40"/>
      <c r="C366" s="40" t="s">
        <v>473</v>
      </c>
      <c r="D366" s="41"/>
      <c r="E366" s="44"/>
      <c r="F366" s="39"/>
      <c r="G366" s="44"/>
      <c r="H366" s="45"/>
      <c r="I366" s="43"/>
      <c r="J366" s="45"/>
      <c r="K366" s="40"/>
      <c r="L366" s="45">
        <f>SUM(AR352:AR369)+SUM(AS352:AS369)+SUM(AT352:AT369)+SUM(AU352:AU369)+SUM(AV352:AV369)</f>
        <v>3130.9</v>
      </c>
    </row>
    <row r="367" spans="1:83" ht="28.5" x14ac:dyDescent="0.2">
      <c r="A367" s="40"/>
      <c r="B367" s="40" t="s">
        <v>167</v>
      </c>
      <c r="C367" s="40" t="s">
        <v>550</v>
      </c>
      <c r="D367" s="41" t="s">
        <v>384</v>
      </c>
      <c r="E367" s="44">
        <f>Source!BZ80</f>
        <v>97</v>
      </c>
      <c r="F367" s="39"/>
      <c r="G367" s="44">
        <f>Source!AT80</f>
        <v>97</v>
      </c>
      <c r="H367" s="45"/>
      <c r="I367" s="43"/>
      <c r="J367" s="45"/>
      <c r="K367" s="40"/>
      <c r="L367" s="45">
        <f>SUM(AZ352:AZ369)</f>
        <v>3036.97</v>
      </c>
    </row>
    <row r="368" spans="1:83" ht="28.5" x14ac:dyDescent="0.2">
      <c r="A368" s="55"/>
      <c r="B368" s="55" t="s">
        <v>168</v>
      </c>
      <c r="C368" s="55" t="s">
        <v>551</v>
      </c>
      <c r="D368" s="48" t="s">
        <v>384</v>
      </c>
      <c r="E368" s="49">
        <f>Source!CA80</f>
        <v>51</v>
      </c>
      <c r="F368" s="47"/>
      <c r="G368" s="49">
        <f>Source!AU80</f>
        <v>51</v>
      </c>
      <c r="H368" s="56"/>
      <c r="I368" s="57"/>
      <c r="J368" s="56"/>
      <c r="K368" s="55"/>
      <c r="L368" s="56">
        <f>SUM(BA352:BA369)</f>
        <v>1596.76</v>
      </c>
    </row>
    <row r="369" spans="1:82" ht="15" x14ac:dyDescent="0.2">
      <c r="C369" s="163" t="s">
        <v>476</v>
      </c>
      <c r="D369" s="163"/>
      <c r="E369" s="163"/>
      <c r="F369" s="163"/>
      <c r="G369" s="163"/>
      <c r="H369" s="163"/>
      <c r="I369" s="164">
        <f>K369/E352</f>
        <v>132010.66666666666</v>
      </c>
      <c r="J369" s="164"/>
      <c r="K369" s="164">
        <f>L353+L355+L361+L367+L368+L356</f>
        <v>15841.279999999999</v>
      </c>
      <c r="L369" s="164"/>
      <c r="AD369">
        <f>ROUND((Source!AT80/100)*((ROUND(SUMIF(SmtRes!AQ99:'SmtRes'!AQ105,"=1",SmtRes!AD99:'SmtRes'!AD105)*Source!I80, 2)+ROUND(SUMIF(SmtRes!AQ99:'SmtRes'!AQ105,"=1",SmtRes!AC99:'SmtRes'!AC105)*Source!I80, 2))), 2)</f>
        <v>104.87</v>
      </c>
      <c r="AE369">
        <f>ROUND((Source!AU80/100)*((ROUND(SUMIF(SmtRes!AQ99:'SmtRes'!AQ105,"=1",SmtRes!AD99:'SmtRes'!AD105)*Source!I80, 2)+ROUND(SUMIF(SmtRes!AQ99:'SmtRes'!AQ105,"=1",SmtRes!AC99:'SmtRes'!AC105)*Source!I80, 2))), 2)</f>
        <v>55.14</v>
      </c>
      <c r="AN369" s="52">
        <f>L353+L355+L361+L367+L368+L356</f>
        <v>15841.279999999999</v>
      </c>
      <c r="AO369" s="52">
        <f>L355</f>
        <v>46.659999999999989</v>
      </c>
      <c r="AQ369" t="s">
        <v>477</v>
      </c>
      <c r="AR369" s="52">
        <f>L353</f>
        <v>3115.88</v>
      </c>
      <c r="AT369" s="52">
        <f>L356</f>
        <v>15.02</v>
      </c>
      <c r="AV369" t="s">
        <v>477</v>
      </c>
      <c r="AW369" s="52">
        <f>L361</f>
        <v>8029.99</v>
      </c>
      <c r="AZ369">
        <f>Source!X80</f>
        <v>3036.97</v>
      </c>
      <c r="BA369">
        <f>Source!Y80</f>
        <v>1596.76</v>
      </c>
      <c r="CD369">
        <v>2</v>
      </c>
    </row>
    <row r="371" spans="1:82" ht="15" x14ac:dyDescent="0.2">
      <c r="A371" s="59"/>
      <c r="B371" s="60"/>
      <c r="C371" s="166" t="s">
        <v>520</v>
      </c>
      <c r="D371" s="166"/>
      <c r="E371" s="166"/>
      <c r="F371" s="166"/>
      <c r="G371" s="166"/>
      <c r="H371" s="166"/>
      <c r="I371" s="46"/>
      <c r="J371" s="59"/>
      <c r="K371" s="61"/>
      <c r="L371" s="46">
        <f>L373+L374+L380+L384</f>
        <v>13749.599999999999</v>
      </c>
    </row>
    <row r="372" spans="1:82" ht="14.25" x14ac:dyDescent="0.2">
      <c r="A372" s="54"/>
      <c r="B372" s="58"/>
      <c r="C372" s="167" t="s">
        <v>521</v>
      </c>
      <c r="D372" s="168"/>
      <c r="E372" s="168"/>
      <c r="F372" s="168"/>
      <c r="G372" s="168"/>
      <c r="H372" s="168"/>
      <c r="I372" s="45"/>
      <c r="J372" s="54"/>
      <c r="K372" s="42"/>
      <c r="L372" s="45"/>
    </row>
    <row r="373" spans="1:82" ht="14.25" x14ac:dyDescent="0.2">
      <c r="A373" s="54"/>
      <c r="B373" s="58"/>
      <c r="C373" s="168" t="s">
        <v>522</v>
      </c>
      <c r="D373" s="168"/>
      <c r="E373" s="168"/>
      <c r="F373" s="168"/>
      <c r="G373" s="168"/>
      <c r="H373" s="168"/>
      <c r="I373" s="45"/>
      <c r="J373" s="54"/>
      <c r="K373" s="42"/>
      <c r="L373" s="45">
        <f>SUM(AR336:AR369)</f>
        <v>5608.58</v>
      </c>
    </row>
    <row r="374" spans="1:82" ht="14.25" hidden="1" x14ac:dyDescent="0.2">
      <c r="A374" s="54"/>
      <c r="B374" s="58"/>
      <c r="C374" s="168" t="s">
        <v>523</v>
      </c>
      <c r="D374" s="168"/>
      <c r="E374" s="168"/>
      <c r="F374" s="168"/>
      <c r="G374" s="168"/>
      <c r="H374" s="168"/>
      <c r="I374" s="45"/>
      <c r="J374" s="54"/>
      <c r="K374" s="42"/>
      <c r="L374" s="45">
        <f>L376+L379+L378</f>
        <v>111.03</v>
      </c>
    </row>
    <row r="375" spans="1:82" ht="14.25" hidden="1" x14ac:dyDescent="0.2">
      <c r="A375" s="54"/>
      <c r="B375" s="58"/>
      <c r="C375" s="167" t="s">
        <v>524</v>
      </c>
      <c r="D375" s="168"/>
      <c r="E375" s="168"/>
      <c r="F375" s="168"/>
      <c r="G375" s="168"/>
      <c r="H375" s="168"/>
      <c r="I375" s="45"/>
      <c r="J375" s="54"/>
      <c r="K375" s="42"/>
      <c r="L375" s="45"/>
    </row>
    <row r="376" spans="1:82" ht="14.25" x14ac:dyDescent="0.2">
      <c r="A376" s="54"/>
      <c r="B376" s="58"/>
      <c r="C376" s="168" t="s">
        <v>523</v>
      </c>
      <c r="D376" s="168"/>
      <c r="E376" s="168"/>
      <c r="F376" s="168"/>
      <c r="G376" s="168"/>
      <c r="H376" s="168"/>
      <c r="I376" s="45"/>
      <c r="J376" s="54"/>
      <c r="K376" s="42"/>
      <c r="L376" s="45">
        <f>SUM(AO336:AO369)</f>
        <v>83.99</v>
      </c>
    </row>
    <row r="377" spans="1:82" ht="14.25" hidden="1" x14ac:dyDescent="0.2">
      <c r="A377" s="54"/>
      <c r="B377" s="58"/>
      <c r="C377" s="167" t="s">
        <v>525</v>
      </c>
      <c r="D377" s="168"/>
      <c r="E377" s="168"/>
      <c r="F377" s="168"/>
      <c r="G377" s="168"/>
      <c r="H377" s="168"/>
      <c r="I377" s="45"/>
      <c r="J377" s="54"/>
      <c r="K377" s="42"/>
      <c r="L377" s="45"/>
    </row>
    <row r="378" spans="1:82" ht="14.25" x14ac:dyDescent="0.2">
      <c r="A378" s="54"/>
      <c r="B378" s="58"/>
      <c r="C378" s="168" t="s">
        <v>545</v>
      </c>
      <c r="D378" s="168"/>
      <c r="E378" s="168"/>
      <c r="F378" s="168"/>
      <c r="G378" s="168"/>
      <c r="H378" s="168"/>
      <c r="I378" s="45"/>
      <c r="J378" s="54"/>
      <c r="K378" s="42"/>
      <c r="L378" s="45">
        <f>SUM(AT336:AT369)</f>
        <v>27.04</v>
      </c>
    </row>
    <row r="379" spans="1:82" ht="14.25" hidden="1" x14ac:dyDescent="0.2">
      <c r="A379" s="54"/>
      <c r="B379" s="58"/>
      <c r="C379" s="168" t="s">
        <v>526</v>
      </c>
      <c r="D379" s="168"/>
      <c r="E379" s="168"/>
      <c r="F379" s="168"/>
      <c r="G379" s="168"/>
      <c r="H379" s="168"/>
      <c r="I379" s="45"/>
      <c r="J379" s="54"/>
      <c r="K379" s="42"/>
      <c r="L379" s="45">
        <f>SUM(AV336:AV369)</f>
        <v>0</v>
      </c>
    </row>
    <row r="380" spans="1:82" ht="14.25" x14ac:dyDescent="0.2">
      <c r="A380" s="54"/>
      <c r="B380" s="58"/>
      <c r="C380" s="168" t="s">
        <v>527</v>
      </c>
      <c r="D380" s="168"/>
      <c r="E380" s="168"/>
      <c r="F380" s="168"/>
      <c r="G380" s="168"/>
      <c r="H380" s="168"/>
      <c r="I380" s="45"/>
      <c r="J380" s="54"/>
      <c r="K380" s="42"/>
      <c r="L380" s="45">
        <f>L382+L383</f>
        <v>8029.99</v>
      </c>
    </row>
    <row r="381" spans="1:82" ht="14.25" x14ac:dyDescent="0.2">
      <c r="A381" s="54"/>
      <c r="B381" s="58"/>
      <c r="C381" s="167" t="s">
        <v>524</v>
      </c>
      <c r="D381" s="168"/>
      <c r="E381" s="168"/>
      <c r="F381" s="168"/>
      <c r="G381" s="168"/>
      <c r="H381" s="168"/>
      <c r="I381" s="45"/>
      <c r="J381" s="54"/>
      <c r="K381" s="42"/>
      <c r="L381" s="45"/>
    </row>
    <row r="382" spans="1:82" ht="14.25" x14ac:dyDescent="0.2">
      <c r="A382" s="54"/>
      <c r="B382" s="58"/>
      <c r="C382" s="168" t="s">
        <v>528</v>
      </c>
      <c r="D382" s="168"/>
      <c r="E382" s="168"/>
      <c r="F382" s="168"/>
      <c r="G382" s="168"/>
      <c r="H382" s="168"/>
      <c r="I382" s="45"/>
      <c r="J382" s="54"/>
      <c r="K382" s="42"/>
      <c r="L382" s="45">
        <f>SUM(AW336:AW369)-SUM(BK336:BK369)</f>
        <v>8029.99</v>
      </c>
    </row>
    <row r="383" spans="1:82" ht="14.25" hidden="1" x14ac:dyDescent="0.2">
      <c r="A383" s="54"/>
      <c r="B383" s="58"/>
      <c r="C383" s="168" t="s">
        <v>529</v>
      </c>
      <c r="D383" s="168"/>
      <c r="E383" s="168"/>
      <c r="F383" s="168"/>
      <c r="G383" s="168"/>
      <c r="H383" s="168"/>
      <c r="I383" s="45"/>
      <c r="J383" s="54"/>
      <c r="K383" s="42"/>
      <c r="L383" s="45">
        <f>SUM(BC336:BC369)</f>
        <v>0</v>
      </c>
    </row>
    <row r="384" spans="1:82" ht="14.25" hidden="1" x14ac:dyDescent="0.2">
      <c r="A384" s="54"/>
      <c r="B384" s="58"/>
      <c r="C384" s="168" t="s">
        <v>530</v>
      </c>
      <c r="D384" s="168"/>
      <c r="E384" s="168"/>
      <c r="F384" s="168"/>
      <c r="G384" s="168"/>
      <c r="H384" s="168"/>
      <c r="I384" s="45"/>
      <c r="J384" s="54"/>
      <c r="K384" s="42"/>
      <c r="L384" s="45">
        <f>SUM(BB336:BB369)</f>
        <v>0</v>
      </c>
    </row>
    <row r="385" spans="1:12" ht="14.25" x14ac:dyDescent="0.2">
      <c r="A385" s="54"/>
      <c r="B385" s="58"/>
      <c r="C385" s="168" t="s">
        <v>531</v>
      </c>
      <c r="D385" s="168"/>
      <c r="E385" s="168"/>
      <c r="F385" s="168"/>
      <c r="G385" s="168"/>
      <c r="H385" s="168"/>
      <c r="I385" s="45"/>
      <c r="J385" s="54"/>
      <c r="K385" s="42"/>
      <c r="L385" s="45">
        <f>SUM(AR336:AR369)+SUM(AT336:AT369)+SUM(AV336:AV369)</f>
        <v>5635.62</v>
      </c>
    </row>
    <row r="386" spans="1:12" ht="14.25" x14ac:dyDescent="0.2">
      <c r="A386" s="54"/>
      <c r="B386" s="58"/>
      <c r="C386" s="168" t="s">
        <v>532</v>
      </c>
      <c r="D386" s="168"/>
      <c r="E386" s="168"/>
      <c r="F386" s="168"/>
      <c r="G386" s="168"/>
      <c r="H386" s="168"/>
      <c r="I386" s="45"/>
      <c r="J386" s="54"/>
      <c r="K386" s="42"/>
      <c r="L386" s="45">
        <f>SUM(AZ336:AZ369)</f>
        <v>5466.5499999999993</v>
      </c>
    </row>
    <row r="387" spans="1:12" ht="14.25" x14ac:dyDescent="0.2">
      <c r="A387" s="54"/>
      <c r="B387" s="58"/>
      <c r="C387" s="168" t="s">
        <v>533</v>
      </c>
      <c r="D387" s="168"/>
      <c r="E387" s="168"/>
      <c r="F387" s="168"/>
      <c r="G387" s="168"/>
      <c r="H387" s="168"/>
      <c r="I387" s="45"/>
      <c r="J387" s="54"/>
      <c r="K387" s="42"/>
      <c r="L387" s="45">
        <f>SUM(BA336:BA369)</f>
        <v>2874.17</v>
      </c>
    </row>
    <row r="388" spans="1:12" ht="14.25" hidden="1" x14ac:dyDescent="0.2">
      <c r="A388" s="54"/>
      <c r="B388" s="58"/>
      <c r="C388" s="168" t="s">
        <v>534</v>
      </c>
      <c r="D388" s="168"/>
      <c r="E388" s="168"/>
      <c r="F388" s="168"/>
      <c r="G388" s="168"/>
      <c r="H388" s="168"/>
      <c r="I388" s="45"/>
      <c r="J388" s="54"/>
      <c r="K388" s="42"/>
      <c r="L388" s="45">
        <f>L390+L391</f>
        <v>0</v>
      </c>
    </row>
    <row r="389" spans="1:12" ht="14.25" hidden="1" x14ac:dyDescent="0.2">
      <c r="A389" s="54"/>
      <c r="B389" s="58"/>
      <c r="C389" s="167" t="s">
        <v>521</v>
      </c>
      <c r="D389" s="168"/>
      <c r="E389" s="168"/>
      <c r="F389" s="168"/>
      <c r="G389" s="168"/>
      <c r="H389" s="168"/>
      <c r="I389" s="45"/>
      <c r="J389" s="54"/>
      <c r="K389" s="42"/>
      <c r="L389" s="45"/>
    </row>
    <row r="390" spans="1:12" ht="14.25" hidden="1" x14ac:dyDescent="0.2">
      <c r="A390" s="54"/>
      <c r="B390" s="58"/>
      <c r="C390" s="168" t="s">
        <v>535</v>
      </c>
      <c r="D390" s="168"/>
      <c r="E390" s="168"/>
      <c r="F390" s="168"/>
      <c r="G390" s="168"/>
      <c r="H390" s="168"/>
      <c r="I390" s="45"/>
      <c r="J390" s="54"/>
      <c r="K390" s="42"/>
      <c r="L390" s="45">
        <f>SUM(BK336:BK369)</f>
        <v>0</v>
      </c>
    </row>
    <row r="391" spans="1:12" ht="14.25" hidden="1" x14ac:dyDescent="0.2">
      <c r="A391" s="54"/>
      <c r="B391" s="58"/>
      <c r="C391" s="168" t="s">
        <v>536</v>
      </c>
      <c r="D391" s="168"/>
      <c r="E391" s="168"/>
      <c r="F391" s="168"/>
      <c r="G391" s="168"/>
      <c r="H391" s="168"/>
      <c r="I391" s="45"/>
      <c r="J391" s="54"/>
      <c r="K391" s="42"/>
      <c r="L391" s="45">
        <f>SUM(BD336:BD369)</f>
        <v>0</v>
      </c>
    </row>
    <row r="392" spans="1:12" ht="14.25" hidden="1" x14ac:dyDescent="0.2">
      <c r="A392" s="54"/>
      <c r="B392" s="58"/>
      <c r="C392" s="168" t="s">
        <v>537</v>
      </c>
      <c r="D392" s="168"/>
      <c r="E392" s="168"/>
      <c r="F392" s="168"/>
      <c r="G392" s="168"/>
      <c r="H392" s="168"/>
      <c r="I392" s="45"/>
      <c r="J392" s="54"/>
      <c r="K392" s="42"/>
      <c r="L392" s="45"/>
    </row>
    <row r="393" spans="1:12" ht="14.25" hidden="1" x14ac:dyDescent="0.2">
      <c r="A393" s="54"/>
      <c r="B393" s="58"/>
      <c r="C393" s="168" t="s">
        <v>538</v>
      </c>
      <c r="D393" s="168"/>
      <c r="E393" s="168"/>
      <c r="F393" s="168"/>
      <c r="G393" s="168"/>
      <c r="H393" s="168"/>
      <c r="I393" s="45"/>
      <c r="J393" s="54"/>
      <c r="K393" s="42"/>
      <c r="L393" s="45">
        <f>SUM(BO336:BO369)</f>
        <v>0</v>
      </c>
    </row>
    <row r="394" spans="1:12" ht="15" x14ac:dyDescent="0.2">
      <c r="A394" s="59"/>
      <c r="B394" s="60"/>
      <c r="C394" s="166" t="s">
        <v>539</v>
      </c>
      <c r="D394" s="166"/>
      <c r="E394" s="166"/>
      <c r="F394" s="166"/>
      <c r="G394" s="166"/>
      <c r="H394" s="166"/>
      <c r="I394" s="46"/>
      <c r="J394" s="59"/>
      <c r="K394" s="61"/>
      <c r="L394" s="46">
        <f>L371+L386+L387+L388+L392+L393</f>
        <v>22090.32</v>
      </c>
    </row>
    <row r="395" spans="1:12" ht="14.25" x14ac:dyDescent="0.2">
      <c r="A395" s="54"/>
      <c r="B395" s="58"/>
      <c r="C395" s="167" t="s">
        <v>540</v>
      </c>
      <c r="D395" s="168"/>
      <c r="E395" s="168"/>
      <c r="F395" s="168"/>
      <c r="G395" s="168"/>
      <c r="H395" s="168"/>
      <c r="I395" s="45"/>
      <c r="J395" s="54"/>
      <c r="K395" s="42"/>
      <c r="L395" s="45"/>
    </row>
    <row r="396" spans="1:12" ht="14.25" hidden="1" x14ac:dyDescent="0.2">
      <c r="A396" s="54"/>
      <c r="B396" s="58"/>
      <c r="C396" s="168" t="s">
        <v>541</v>
      </c>
      <c r="D396" s="168"/>
      <c r="E396" s="168"/>
      <c r="F396" s="168"/>
      <c r="G396" s="168"/>
      <c r="H396" s="168"/>
      <c r="I396" s="45"/>
      <c r="J396" s="54"/>
      <c r="K396" s="42"/>
      <c r="L396" s="45">
        <f>SUM(AX336:AX369)</f>
        <v>0</v>
      </c>
    </row>
    <row r="397" spans="1:12" ht="14.25" hidden="1" x14ac:dyDescent="0.2">
      <c r="A397" s="54"/>
      <c r="B397" s="58"/>
      <c r="C397" s="168" t="s">
        <v>542</v>
      </c>
      <c r="D397" s="168"/>
      <c r="E397" s="168"/>
      <c r="F397" s="168"/>
      <c r="G397" s="168"/>
      <c r="H397" s="168"/>
      <c r="I397" s="45"/>
      <c r="J397" s="54"/>
      <c r="K397" s="42"/>
      <c r="L397" s="45">
        <f>SUM(AY336:AY369)</f>
        <v>0</v>
      </c>
    </row>
    <row r="398" spans="1:12" ht="14.25" x14ac:dyDescent="0.2">
      <c r="A398" s="54"/>
      <c r="B398" s="58"/>
      <c r="C398" s="168" t="s">
        <v>543</v>
      </c>
      <c r="D398" s="168"/>
      <c r="E398" s="168"/>
      <c r="F398" s="169"/>
      <c r="G398" s="44">
        <f>Source!F104</f>
        <v>20.3904</v>
      </c>
      <c r="H398" s="54"/>
      <c r="I398" s="54"/>
      <c r="J398" s="54"/>
      <c r="K398" s="54"/>
      <c r="L398" s="54"/>
    </row>
    <row r="399" spans="1:12" ht="14.25" x14ac:dyDescent="0.2">
      <c r="A399" s="54"/>
      <c r="B399" s="58"/>
      <c r="C399" s="168" t="s">
        <v>544</v>
      </c>
      <c r="D399" s="168"/>
      <c r="E399" s="168"/>
      <c r="F399" s="169"/>
      <c r="G399" s="44">
        <f>Source!F105</f>
        <v>8.6400000000000005E-2</v>
      </c>
      <c r="H399" s="54"/>
      <c r="I399" s="54"/>
      <c r="J399" s="54"/>
      <c r="K399" s="54"/>
      <c r="L399" s="54"/>
    </row>
    <row r="402" spans="1:83" ht="16.5" x14ac:dyDescent="0.2">
      <c r="A402" s="165" t="s">
        <v>552</v>
      </c>
      <c r="B402" s="165"/>
      <c r="C402" s="165"/>
      <c r="D402" s="165"/>
      <c r="E402" s="165"/>
      <c r="F402" s="165"/>
      <c r="G402" s="165"/>
      <c r="H402" s="165"/>
      <c r="I402" s="165"/>
      <c r="J402" s="165"/>
      <c r="K402" s="165"/>
      <c r="L402" s="165"/>
    </row>
    <row r="403" spans="1:83" ht="42.75" x14ac:dyDescent="0.2">
      <c r="A403" s="38" t="s">
        <v>159</v>
      </c>
      <c r="B403" s="40" t="s">
        <v>553</v>
      </c>
      <c r="C403" s="40" t="str">
        <f>Source!G116</f>
        <v>Улучшенная масляная окраска ранее окрашенных дверей: за два раза с расчисткой старой краски более 35%</v>
      </c>
      <c r="D403" s="41" t="str">
        <f>Source!H116</f>
        <v>100 м2</v>
      </c>
      <c r="E403" s="44">
        <f>Source!K116</f>
        <v>5.04E-2</v>
      </c>
      <c r="F403" s="39"/>
      <c r="G403" s="44">
        <f>Source!I116</f>
        <v>5.04E-2</v>
      </c>
      <c r="H403" s="45"/>
      <c r="I403" s="43"/>
      <c r="J403" s="45"/>
      <c r="K403" s="40"/>
      <c r="L403" s="45"/>
    </row>
    <row r="404" spans="1:83" ht="15" x14ac:dyDescent="0.2">
      <c r="A404" s="39"/>
      <c r="B404" s="42">
        <v>1</v>
      </c>
      <c r="C404" s="39" t="s">
        <v>470</v>
      </c>
      <c r="D404" s="41" t="s">
        <v>278</v>
      </c>
      <c r="E404" s="44"/>
      <c r="F404" s="42"/>
      <c r="G404" s="44">
        <f>Source!U116</f>
        <v>4.8263040000000004</v>
      </c>
      <c r="H404" s="42"/>
      <c r="I404" s="42"/>
      <c r="J404" s="42"/>
      <c r="K404" s="42"/>
      <c r="L404" s="46">
        <f>SUM(L405:L405)-SUMIF(CE405:CE405, 1, L405:L405)</f>
        <v>1159.18</v>
      </c>
    </row>
    <row r="405" spans="1:83" ht="28.5" x14ac:dyDescent="0.2">
      <c r="A405" s="40"/>
      <c r="B405" s="40" t="s">
        <v>362</v>
      </c>
      <c r="C405" s="40" t="s">
        <v>363</v>
      </c>
      <c r="D405" s="41" t="s">
        <v>278</v>
      </c>
      <c r="E405" s="44">
        <v>95.76</v>
      </c>
      <c r="F405" s="39"/>
      <c r="G405" s="44">
        <f>SmtRes!CX106</f>
        <v>4.8263040000000004</v>
      </c>
      <c r="H405" s="45"/>
      <c r="I405" s="43"/>
      <c r="J405" s="45">
        <f>SmtRes!CZ106</f>
        <v>240.18</v>
      </c>
      <c r="K405" s="40"/>
      <c r="L405" s="45">
        <f>SmtRes!DI106</f>
        <v>1159.18</v>
      </c>
    </row>
    <row r="406" spans="1:83" ht="15" x14ac:dyDescent="0.2">
      <c r="A406" s="39"/>
      <c r="B406" s="42">
        <v>2</v>
      </c>
      <c r="C406" s="39" t="s">
        <v>480</v>
      </c>
      <c r="D406" s="41"/>
      <c r="E406" s="44"/>
      <c r="F406" s="42"/>
      <c r="G406" s="44"/>
      <c r="H406" s="42"/>
      <c r="I406" s="42"/>
      <c r="J406" s="42"/>
      <c r="K406" s="42"/>
      <c r="L406" s="46">
        <f>SUM(L407:L411)-SUMIF(CE407:CE411, 1, L407:L411)</f>
        <v>1.8800000000000008</v>
      </c>
    </row>
    <row r="407" spans="1:83" ht="15" x14ac:dyDescent="0.2">
      <c r="A407" s="39"/>
      <c r="B407" s="42"/>
      <c r="C407" s="39" t="s">
        <v>483</v>
      </c>
      <c r="D407" s="41" t="s">
        <v>278</v>
      </c>
      <c r="E407" s="44"/>
      <c r="F407" s="42"/>
      <c r="G407" s="44">
        <f>Source!V116</f>
        <v>8.064E-3</v>
      </c>
      <c r="H407" s="42"/>
      <c r="I407" s="42"/>
      <c r="J407" s="42"/>
      <c r="K407" s="42"/>
      <c r="L407" s="46">
        <f>SUMIF(CE408:CE411, 1, L408:L411)</f>
        <v>2.0099999999999998</v>
      </c>
      <c r="CE407">
        <v>1</v>
      </c>
    </row>
    <row r="408" spans="1:83" ht="42.75" x14ac:dyDescent="0.2">
      <c r="A408" s="40"/>
      <c r="B408" s="40" t="s">
        <v>286</v>
      </c>
      <c r="C408" s="40" t="s">
        <v>288</v>
      </c>
      <c r="D408" s="41" t="s">
        <v>289</v>
      </c>
      <c r="E408" s="44">
        <v>0.1</v>
      </c>
      <c r="F408" s="39"/>
      <c r="G408" s="44">
        <f>SmtRes!CX108</f>
        <v>5.0400000000000002E-3</v>
      </c>
      <c r="H408" s="45">
        <f>SmtRes!CZ108</f>
        <v>37.32</v>
      </c>
      <c r="I408" s="43">
        <f>SmtRes!AJ108</f>
        <v>1.31</v>
      </c>
      <c r="J408" s="45">
        <f>ROUND(H408*I408, 2)</f>
        <v>48.89</v>
      </c>
      <c r="K408" s="40"/>
      <c r="L408" s="45">
        <f>SmtRes!DG108</f>
        <v>0.25</v>
      </c>
    </row>
    <row r="409" spans="1:83" ht="28.5" x14ac:dyDescent="0.2">
      <c r="A409" s="40"/>
      <c r="B409" s="40" t="s">
        <v>290</v>
      </c>
      <c r="C409" s="40" t="s">
        <v>481</v>
      </c>
      <c r="D409" s="41" t="s">
        <v>278</v>
      </c>
      <c r="E409" s="44">
        <f>SmtRes!DO108*SmtRes!AT108</f>
        <v>0.1</v>
      </c>
      <c r="F409" s="39"/>
      <c r="G409" s="44">
        <f>SmtRes!DO108*SmtRes!CX108</f>
        <v>5.0400000000000002E-3</v>
      </c>
      <c r="H409" s="45"/>
      <c r="I409" s="43"/>
      <c r="J409" s="45">
        <f>ROUND(SmtRes!AG108/SmtRes!DO108, 2)</f>
        <v>237.19</v>
      </c>
      <c r="K409" s="40"/>
      <c r="L409" s="45">
        <f>SmtRes!DH108</f>
        <v>1.2</v>
      </c>
      <c r="CE409">
        <v>1</v>
      </c>
    </row>
    <row r="410" spans="1:83" ht="28.5" x14ac:dyDescent="0.2">
      <c r="A410" s="40"/>
      <c r="B410" s="40" t="s">
        <v>291</v>
      </c>
      <c r="C410" s="40" t="s">
        <v>293</v>
      </c>
      <c r="D410" s="41" t="s">
        <v>289</v>
      </c>
      <c r="E410" s="44">
        <v>0.06</v>
      </c>
      <c r="F410" s="39"/>
      <c r="G410" s="44">
        <f>SmtRes!CX109</f>
        <v>3.0240000000000002E-3</v>
      </c>
      <c r="H410" s="45">
        <f>SmtRes!CZ109</f>
        <v>477.92</v>
      </c>
      <c r="I410" s="43">
        <f>SmtRes!AJ109</f>
        <v>1.1299999999999999</v>
      </c>
      <c r="J410" s="45">
        <f>ROUND(H410*I410, 2)</f>
        <v>540.04999999999995</v>
      </c>
      <c r="K410" s="40"/>
      <c r="L410" s="45">
        <f>SmtRes!DG109</f>
        <v>1.63</v>
      </c>
    </row>
    <row r="411" spans="1:83" ht="28.5" x14ac:dyDescent="0.2">
      <c r="A411" s="40"/>
      <c r="B411" s="40" t="s">
        <v>294</v>
      </c>
      <c r="C411" s="40" t="s">
        <v>482</v>
      </c>
      <c r="D411" s="41" t="s">
        <v>278</v>
      </c>
      <c r="E411" s="44">
        <f>SmtRes!DO109*SmtRes!AT109</f>
        <v>0.06</v>
      </c>
      <c r="F411" s="39"/>
      <c r="G411" s="44">
        <f>SmtRes!DO109*SmtRes!CX109</f>
        <v>3.0240000000000002E-3</v>
      </c>
      <c r="H411" s="45"/>
      <c r="I411" s="43"/>
      <c r="J411" s="45">
        <f>ROUND(SmtRes!AG109/SmtRes!DO109, 2)</f>
        <v>267.08999999999997</v>
      </c>
      <c r="K411" s="40"/>
      <c r="L411" s="45">
        <f>SmtRes!DH109</f>
        <v>0.81</v>
      </c>
      <c r="CE411">
        <v>1</v>
      </c>
    </row>
    <row r="412" spans="1:83" ht="15" x14ac:dyDescent="0.2">
      <c r="A412" s="39"/>
      <c r="B412" s="42">
        <v>4</v>
      </c>
      <c r="C412" s="39" t="s">
        <v>471</v>
      </c>
      <c r="D412" s="41"/>
      <c r="E412" s="44"/>
      <c r="F412" s="42"/>
      <c r="G412" s="44"/>
      <c r="H412" s="42"/>
      <c r="I412" s="42"/>
      <c r="J412" s="42"/>
      <c r="K412" s="42"/>
      <c r="L412" s="46">
        <f>SUM(L413:L418)-SUMIF(CE413:CE418, 1, L413:L418)</f>
        <v>736.59</v>
      </c>
    </row>
    <row r="413" spans="1:83" ht="14.25" x14ac:dyDescent="0.2">
      <c r="A413" s="40"/>
      <c r="B413" s="40" t="s">
        <v>388</v>
      </c>
      <c r="C413" s="40" t="s">
        <v>390</v>
      </c>
      <c r="D413" s="41" t="s">
        <v>336</v>
      </c>
      <c r="E413" s="44">
        <v>1.44</v>
      </c>
      <c r="F413" s="39"/>
      <c r="G413" s="44">
        <f>SmtRes!CX110</f>
        <v>7.2576000000000002E-2</v>
      </c>
      <c r="H413" s="45">
        <f>SmtRes!CZ110</f>
        <v>2507.62</v>
      </c>
      <c r="I413" s="43">
        <f>SmtRes!AI110</f>
        <v>1.02</v>
      </c>
      <c r="J413" s="45">
        <f>ROUND(H413*I413, 2)</f>
        <v>2557.77</v>
      </c>
      <c r="K413" s="40"/>
      <c r="L413" s="45">
        <f>SmtRes!DF110</f>
        <v>185.63</v>
      </c>
    </row>
    <row r="414" spans="1:83" ht="28.5" x14ac:dyDescent="0.2">
      <c r="A414" s="40"/>
      <c r="B414" s="40" t="s">
        <v>352</v>
      </c>
      <c r="C414" s="40" t="s">
        <v>354</v>
      </c>
      <c r="D414" s="41" t="s">
        <v>49</v>
      </c>
      <c r="E414" s="44">
        <v>1.1000000000000001</v>
      </c>
      <c r="F414" s="39"/>
      <c r="G414" s="44">
        <f>SmtRes!CX111</f>
        <v>5.5440000000000003E-2</v>
      </c>
      <c r="H414" s="45">
        <f>SmtRes!CZ111</f>
        <v>531.44000000000005</v>
      </c>
      <c r="I414" s="43">
        <f>SmtRes!AI111</f>
        <v>1.02</v>
      </c>
      <c r="J414" s="45">
        <f>ROUND(H414*I414, 2)</f>
        <v>542.07000000000005</v>
      </c>
      <c r="K414" s="40"/>
      <c r="L414" s="45">
        <f>SmtRes!DF111</f>
        <v>30.05</v>
      </c>
    </row>
    <row r="415" spans="1:83" ht="14.25" x14ac:dyDescent="0.2">
      <c r="A415" s="40"/>
      <c r="B415" s="40" t="s">
        <v>333</v>
      </c>
      <c r="C415" s="40" t="s">
        <v>335</v>
      </c>
      <c r="D415" s="41" t="s">
        <v>336</v>
      </c>
      <c r="E415" s="44">
        <v>0.18</v>
      </c>
      <c r="F415" s="39"/>
      <c r="G415" s="44">
        <f>SmtRes!CX112</f>
        <v>9.0720000000000002E-3</v>
      </c>
      <c r="H415" s="45">
        <f>SmtRes!CZ112</f>
        <v>56.81</v>
      </c>
      <c r="I415" s="43">
        <f>SmtRes!AI112</f>
        <v>1.87</v>
      </c>
      <c r="J415" s="45">
        <f>ROUND(H415*I415, 2)</f>
        <v>106.23</v>
      </c>
      <c r="K415" s="40"/>
      <c r="L415" s="45">
        <f>SmtRes!DF112</f>
        <v>0.96</v>
      </c>
    </row>
    <row r="416" spans="1:83" ht="57" x14ac:dyDescent="0.2">
      <c r="A416" s="40"/>
      <c r="B416" s="40" t="s">
        <v>391</v>
      </c>
      <c r="C416" s="40" t="s">
        <v>393</v>
      </c>
      <c r="D416" s="41" t="s">
        <v>281</v>
      </c>
      <c r="E416" s="44">
        <v>9.7000000000000003E-3</v>
      </c>
      <c r="F416" s="39"/>
      <c r="G416" s="44">
        <f>SmtRes!CX113</f>
        <v>4.8890000000000001E-4</v>
      </c>
      <c r="H416" s="45">
        <f>SmtRes!CZ113</f>
        <v>60697.21</v>
      </c>
      <c r="I416" s="43">
        <f>SmtRes!AI113</f>
        <v>1.18</v>
      </c>
      <c r="J416" s="45">
        <f>ROUND(H416*I416, 2)</f>
        <v>71622.710000000006</v>
      </c>
      <c r="K416" s="40"/>
      <c r="L416" s="45">
        <f>SmtRes!DF113</f>
        <v>35.020000000000003</v>
      </c>
    </row>
    <row r="417" spans="1:82" ht="28.5" x14ac:dyDescent="0.2">
      <c r="A417" s="40"/>
      <c r="B417" s="40" t="s">
        <v>326</v>
      </c>
      <c r="C417" s="40" t="s">
        <v>394</v>
      </c>
      <c r="D417" s="41" t="s">
        <v>281</v>
      </c>
      <c r="E417" s="44">
        <v>2.2599206349206351E-2</v>
      </c>
      <c r="F417" s="39"/>
      <c r="G417" s="44">
        <f>SmtRes!CX114</f>
        <v>1.139E-3</v>
      </c>
      <c r="H417" s="45">
        <f>SmtRes!CZ114</f>
        <v>231790</v>
      </c>
      <c r="I417" s="43"/>
      <c r="J417" s="45"/>
      <c r="K417" s="40"/>
      <c r="L417" s="45">
        <f>SmtRes!DF114</f>
        <v>264.01</v>
      </c>
    </row>
    <row r="418" spans="1:82" ht="14.25" x14ac:dyDescent="0.2">
      <c r="A418" s="40"/>
      <c r="B418" s="40" t="s">
        <v>326</v>
      </c>
      <c r="C418" s="40" t="s">
        <v>359</v>
      </c>
      <c r="D418" s="41" t="s">
        <v>281</v>
      </c>
      <c r="E418" s="44">
        <v>4.7299603174603175E-2</v>
      </c>
      <c r="F418" s="39"/>
      <c r="G418" s="44">
        <f>SmtRes!CX115</f>
        <v>2.3839E-3</v>
      </c>
      <c r="H418" s="45">
        <f>SmtRes!CZ115</f>
        <v>92670</v>
      </c>
      <c r="I418" s="43"/>
      <c r="J418" s="45"/>
      <c r="K418" s="40"/>
      <c r="L418" s="45">
        <f>SmtRes!DF115</f>
        <v>220.92</v>
      </c>
    </row>
    <row r="419" spans="1:82" ht="28.5" x14ac:dyDescent="0.2">
      <c r="A419" s="40"/>
      <c r="B419" s="40" t="str">
        <f>EtalonRes!I112</f>
        <v>14.4.02.04</v>
      </c>
      <c r="C419" s="55" t="str">
        <f>EtalonRes!K112</f>
        <v>Краски для внутренних работ масляные готовые к применению</v>
      </c>
      <c r="D419" s="48" t="str">
        <f>EtalonRes!O112</f>
        <v>т</v>
      </c>
      <c r="E419" s="49">
        <f>EtalonRes!X112</f>
        <v>2.2599999999999999E-2</v>
      </c>
      <c r="F419" s="47"/>
      <c r="G419" s="49">
        <f>ROUND(EtalonRes!AG112*Source!I116, 7)</f>
        <v>1.139E-3</v>
      </c>
      <c r="H419" s="56"/>
      <c r="I419" s="57"/>
      <c r="J419" s="56"/>
      <c r="K419" s="55"/>
      <c r="L419" s="56"/>
    </row>
    <row r="420" spans="1:82" ht="15" x14ac:dyDescent="0.2">
      <c r="A420" s="40"/>
      <c r="B420" s="40"/>
      <c r="C420" s="53" t="s">
        <v>472</v>
      </c>
      <c r="D420" s="41"/>
      <c r="E420" s="44"/>
      <c r="F420" s="39"/>
      <c r="G420" s="44"/>
      <c r="H420" s="45"/>
      <c r="I420" s="43"/>
      <c r="J420" s="45"/>
      <c r="K420" s="40"/>
      <c r="L420" s="45">
        <f>L404+L406+L407+L412</f>
        <v>1899.6600000000003</v>
      </c>
    </row>
    <row r="421" spans="1:82" ht="14.25" x14ac:dyDescent="0.2">
      <c r="A421" s="40"/>
      <c r="B421" s="40"/>
      <c r="C421" s="40" t="s">
        <v>473</v>
      </c>
      <c r="D421" s="41"/>
      <c r="E421" s="44"/>
      <c r="F421" s="39"/>
      <c r="G421" s="44"/>
      <c r="H421" s="45"/>
      <c r="I421" s="43"/>
      <c r="J421" s="45"/>
      <c r="K421" s="40"/>
      <c r="L421" s="45">
        <f>SUM(AR403:AR424)+SUM(AS403:AS424)+SUM(AT403:AT424)+SUM(AU403:AU424)+SUM(AV403:AV424)</f>
        <v>1161.19</v>
      </c>
    </row>
    <row r="422" spans="1:82" ht="14.25" x14ac:dyDescent="0.2">
      <c r="A422" s="40"/>
      <c r="B422" s="40" t="s">
        <v>53</v>
      </c>
      <c r="C422" s="40" t="s">
        <v>491</v>
      </c>
      <c r="D422" s="41" t="s">
        <v>384</v>
      </c>
      <c r="E422" s="44">
        <f>Source!BZ116</f>
        <v>90</v>
      </c>
      <c r="F422" s="39"/>
      <c r="G422" s="44">
        <f>Source!AT116</f>
        <v>90</v>
      </c>
      <c r="H422" s="45"/>
      <c r="I422" s="43"/>
      <c r="J422" s="45"/>
      <c r="K422" s="40"/>
      <c r="L422" s="45">
        <f>SUM(AZ403:AZ424)</f>
        <v>1045.07</v>
      </c>
    </row>
    <row r="423" spans="1:82" ht="14.25" x14ac:dyDescent="0.2">
      <c r="A423" s="55"/>
      <c r="B423" s="55" t="s">
        <v>54</v>
      </c>
      <c r="C423" s="55" t="s">
        <v>492</v>
      </c>
      <c r="D423" s="48" t="s">
        <v>384</v>
      </c>
      <c r="E423" s="49">
        <f>Source!CA116</f>
        <v>46</v>
      </c>
      <c r="F423" s="47"/>
      <c r="G423" s="49">
        <f>Source!AU116</f>
        <v>46</v>
      </c>
      <c r="H423" s="56"/>
      <c r="I423" s="57"/>
      <c r="J423" s="56"/>
      <c r="K423" s="55"/>
      <c r="L423" s="56">
        <f>SUM(BA403:BA424)</f>
        <v>534.15</v>
      </c>
    </row>
    <row r="424" spans="1:82" ht="15" x14ac:dyDescent="0.2">
      <c r="C424" s="163" t="s">
        <v>476</v>
      </c>
      <c r="D424" s="163"/>
      <c r="E424" s="163"/>
      <c r="F424" s="163"/>
      <c r="G424" s="163"/>
      <c r="H424" s="163"/>
      <c r="I424" s="164">
        <f>K424/E403</f>
        <v>69025.396825396834</v>
      </c>
      <c r="J424" s="164"/>
      <c r="K424" s="164">
        <f>L404+L406+L412+L422+L423+L407</f>
        <v>3478.8800000000006</v>
      </c>
      <c r="L424" s="164"/>
      <c r="AD424">
        <f>ROUND((Source!AT116/100)*((ROUND(SUMIF(SmtRes!AQ106:'SmtRes'!AQ115,"=1",SmtRes!AD106:'SmtRes'!AD115)*Source!I116, 2)+ROUND(SUMIF(SmtRes!AQ106:'SmtRes'!AQ115,"=1",SmtRes!AC106:'SmtRes'!AC115)*Source!I116, 2))), 2)</f>
        <v>33.78</v>
      </c>
      <c r="AE424">
        <f>ROUND((Source!AU116/100)*((ROUND(SUMIF(SmtRes!AQ106:'SmtRes'!AQ115,"=1",SmtRes!AD106:'SmtRes'!AD115)*Source!I116, 2)+ROUND(SUMIF(SmtRes!AQ106:'SmtRes'!AQ115,"=1",SmtRes!AC106:'SmtRes'!AC115)*Source!I116, 2))), 2)</f>
        <v>17.260000000000002</v>
      </c>
      <c r="AN424" s="52">
        <f>L404+L406+L412+L422+L423+L407</f>
        <v>3478.8800000000006</v>
      </c>
      <c r="AO424" s="52">
        <f>L406</f>
        <v>1.8800000000000008</v>
      </c>
      <c r="AQ424" t="s">
        <v>477</v>
      </c>
      <c r="AR424" s="52">
        <f>L404</f>
        <v>1159.18</v>
      </c>
      <c r="AT424" s="52">
        <f>L407</f>
        <v>2.0099999999999998</v>
      </c>
      <c r="AV424" t="s">
        <v>477</v>
      </c>
      <c r="AW424" s="52">
        <f>L412</f>
        <v>736.59</v>
      </c>
      <c r="AZ424">
        <f>Source!X116</f>
        <v>1045.07</v>
      </c>
      <c r="BA424">
        <f>Source!Y116</f>
        <v>534.15</v>
      </c>
      <c r="CD424">
        <v>1</v>
      </c>
    </row>
    <row r="426" spans="1:82" ht="15" x14ac:dyDescent="0.2">
      <c r="A426" s="59"/>
      <c r="B426" s="60"/>
      <c r="C426" s="166" t="s">
        <v>520</v>
      </c>
      <c r="D426" s="166"/>
      <c r="E426" s="166"/>
      <c r="F426" s="166"/>
      <c r="G426" s="166"/>
      <c r="H426" s="166"/>
      <c r="I426" s="46"/>
      <c r="J426" s="59"/>
      <c r="K426" s="61"/>
      <c r="L426" s="46">
        <f>L428+L429+L435+L439</f>
        <v>1899.6600000000003</v>
      </c>
    </row>
    <row r="427" spans="1:82" ht="14.25" x14ac:dyDescent="0.2">
      <c r="A427" s="54"/>
      <c r="B427" s="58"/>
      <c r="C427" s="167" t="s">
        <v>521</v>
      </c>
      <c r="D427" s="168"/>
      <c r="E427" s="168"/>
      <c r="F427" s="168"/>
      <c r="G427" s="168"/>
      <c r="H427" s="168"/>
      <c r="I427" s="45"/>
      <c r="J427" s="54"/>
      <c r="K427" s="42"/>
      <c r="L427" s="45"/>
    </row>
    <row r="428" spans="1:82" ht="14.25" x14ac:dyDescent="0.2">
      <c r="A428" s="54"/>
      <c r="B428" s="58"/>
      <c r="C428" s="168" t="s">
        <v>522</v>
      </c>
      <c r="D428" s="168"/>
      <c r="E428" s="168"/>
      <c r="F428" s="168"/>
      <c r="G428" s="168"/>
      <c r="H428" s="168"/>
      <c r="I428" s="45"/>
      <c r="J428" s="54"/>
      <c r="K428" s="42"/>
      <c r="L428" s="45">
        <f>SUM(AR402:AR424)</f>
        <v>1159.18</v>
      </c>
    </row>
    <row r="429" spans="1:82" ht="14.25" hidden="1" x14ac:dyDescent="0.2">
      <c r="A429" s="54"/>
      <c r="B429" s="58"/>
      <c r="C429" s="168" t="s">
        <v>523</v>
      </c>
      <c r="D429" s="168"/>
      <c r="E429" s="168"/>
      <c r="F429" s="168"/>
      <c r="G429" s="168"/>
      <c r="H429" s="168"/>
      <c r="I429" s="45"/>
      <c r="J429" s="54"/>
      <c r="K429" s="42"/>
      <c r="L429" s="45">
        <f>L431+L434+L433</f>
        <v>3.8900000000000006</v>
      </c>
    </row>
    <row r="430" spans="1:82" ht="14.25" hidden="1" x14ac:dyDescent="0.2">
      <c r="A430" s="54"/>
      <c r="B430" s="58"/>
      <c r="C430" s="167" t="s">
        <v>524</v>
      </c>
      <c r="D430" s="168"/>
      <c r="E430" s="168"/>
      <c r="F430" s="168"/>
      <c r="G430" s="168"/>
      <c r="H430" s="168"/>
      <c r="I430" s="45"/>
      <c r="J430" s="54"/>
      <c r="K430" s="42"/>
      <c r="L430" s="45"/>
    </row>
    <row r="431" spans="1:82" ht="14.25" x14ac:dyDescent="0.2">
      <c r="A431" s="54"/>
      <c r="B431" s="58"/>
      <c r="C431" s="168" t="s">
        <v>523</v>
      </c>
      <c r="D431" s="168"/>
      <c r="E431" s="168"/>
      <c r="F431" s="168"/>
      <c r="G431" s="168"/>
      <c r="H431" s="168"/>
      <c r="I431" s="45"/>
      <c r="J431" s="54"/>
      <c r="K431" s="42"/>
      <c r="L431" s="45">
        <f>SUM(AO402:AO424)</f>
        <v>1.8800000000000008</v>
      </c>
    </row>
    <row r="432" spans="1:82" ht="14.25" hidden="1" x14ac:dyDescent="0.2">
      <c r="A432" s="54"/>
      <c r="B432" s="58"/>
      <c r="C432" s="167" t="s">
        <v>525</v>
      </c>
      <c r="D432" s="168"/>
      <c r="E432" s="168"/>
      <c r="F432" s="168"/>
      <c r="G432" s="168"/>
      <c r="H432" s="168"/>
      <c r="I432" s="45"/>
      <c r="J432" s="54"/>
      <c r="K432" s="42"/>
      <c r="L432" s="45"/>
    </row>
    <row r="433" spans="1:12" ht="14.25" x14ac:dyDescent="0.2">
      <c r="A433" s="54"/>
      <c r="B433" s="58"/>
      <c r="C433" s="168" t="s">
        <v>545</v>
      </c>
      <c r="D433" s="168"/>
      <c r="E433" s="168"/>
      <c r="F433" s="168"/>
      <c r="G433" s="168"/>
      <c r="H433" s="168"/>
      <c r="I433" s="45"/>
      <c r="J433" s="54"/>
      <c r="K433" s="42"/>
      <c r="L433" s="45">
        <f>SUM(AT402:AT424)</f>
        <v>2.0099999999999998</v>
      </c>
    </row>
    <row r="434" spans="1:12" ht="14.25" hidden="1" x14ac:dyDescent="0.2">
      <c r="A434" s="54"/>
      <c r="B434" s="58"/>
      <c r="C434" s="168" t="s">
        <v>526</v>
      </c>
      <c r="D434" s="168"/>
      <c r="E434" s="168"/>
      <c r="F434" s="168"/>
      <c r="G434" s="168"/>
      <c r="H434" s="168"/>
      <c r="I434" s="45"/>
      <c r="J434" s="54"/>
      <c r="K434" s="42"/>
      <c r="L434" s="45">
        <f>SUM(AV402:AV424)</f>
        <v>0</v>
      </c>
    </row>
    <row r="435" spans="1:12" ht="14.25" x14ac:dyDescent="0.2">
      <c r="A435" s="54"/>
      <c r="B435" s="58"/>
      <c r="C435" s="168" t="s">
        <v>527</v>
      </c>
      <c r="D435" s="168"/>
      <c r="E435" s="168"/>
      <c r="F435" s="168"/>
      <c r="G435" s="168"/>
      <c r="H435" s="168"/>
      <c r="I435" s="45"/>
      <c r="J435" s="54"/>
      <c r="K435" s="42"/>
      <c r="L435" s="45">
        <f>L437+L438</f>
        <v>736.59</v>
      </c>
    </row>
    <row r="436" spans="1:12" ht="14.25" x14ac:dyDescent="0.2">
      <c r="A436" s="54"/>
      <c r="B436" s="58"/>
      <c r="C436" s="167" t="s">
        <v>524</v>
      </c>
      <c r="D436" s="168"/>
      <c r="E436" s="168"/>
      <c r="F436" s="168"/>
      <c r="G436" s="168"/>
      <c r="H436" s="168"/>
      <c r="I436" s="45"/>
      <c r="J436" s="54"/>
      <c r="K436" s="42"/>
      <c r="L436" s="45"/>
    </row>
    <row r="437" spans="1:12" ht="14.25" x14ac:dyDescent="0.2">
      <c r="A437" s="54"/>
      <c r="B437" s="58"/>
      <c r="C437" s="168" t="s">
        <v>528</v>
      </c>
      <c r="D437" s="168"/>
      <c r="E437" s="168"/>
      <c r="F437" s="168"/>
      <c r="G437" s="168"/>
      <c r="H437" s="168"/>
      <c r="I437" s="45"/>
      <c r="J437" s="54"/>
      <c r="K437" s="42"/>
      <c r="L437" s="45">
        <f>SUM(AW402:AW424)-SUM(BK402:BK424)</f>
        <v>736.59</v>
      </c>
    </row>
    <row r="438" spans="1:12" ht="14.25" hidden="1" x14ac:dyDescent="0.2">
      <c r="A438" s="54"/>
      <c r="B438" s="58"/>
      <c r="C438" s="168" t="s">
        <v>529</v>
      </c>
      <c r="D438" s="168"/>
      <c r="E438" s="168"/>
      <c r="F438" s="168"/>
      <c r="G438" s="168"/>
      <c r="H438" s="168"/>
      <c r="I438" s="45"/>
      <c r="J438" s="54"/>
      <c r="K438" s="42"/>
      <c r="L438" s="45">
        <f>SUM(BC402:BC424)</f>
        <v>0</v>
      </c>
    </row>
    <row r="439" spans="1:12" ht="14.25" hidden="1" x14ac:dyDescent="0.2">
      <c r="A439" s="54"/>
      <c r="B439" s="58"/>
      <c r="C439" s="168" t="s">
        <v>530</v>
      </c>
      <c r="D439" s="168"/>
      <c r="E439" s="168"/>
      <c r="F439" s="168"/>
      <c r="G439" s="168"/>
      <c r="H439" s="168"/>
      <c r="I439" s="45"/>
      <c r="J439" s="54"/>
      <c r="K439" s="42"/>
      <c r="L439" s="45">
        <f>SUM(BB402:BB424)</f>
        <v>0</v>
      </c>
    </row>
    <row r="440" spans="1:12" ht="14.25" x14ac:dyDescent="0.2">
      <c r="A440" s="54"/>
      <c r="B440" s="58"/>
      <c r="C440" s="168" t="s">
        <v>531</v>
      </c>
      <c r="D440" s="168"/>
      <c r="E440" s="168"/>
      <c r="F440" s="168"/>
      <c r="G440" s="168"/>
      <c r="H440" s="168"/>
      <c r="I440" s="45"/>
      <c r="J440" s="54"/>
      <c r="K440" s="42"/>
      <c r="L440" s="45">
        <f>SUM(AR402:AR424)+SUM(AT402:AT424)+SUM(AV402:AV424)</f>
        <v>1161.19</v>
      </c>
    </row>
    <row r="441" spans="1:12" ht="14.25" x14ac:dyDescent="0.2">
      <c r="A441" s="54"/>
      <c r="B441" s="58"/>
      <c r="C441" s="168" t="s">
        <v>532</v>
      </c>
      <c r="D441" s="168"/>
      <c r="E441" s="168"/>
      <c r="F441" s="168"/>
      <c r="G441" s="168"/>
      <c r="H441" s="168"/>
      <c r="I441" s="45"/>
      <c r="J441" s="54"/>
      <c r="K441" s="42"/>
      <c r="L441" s="45">
        <f>SUM(AZ402:AZ424)</f>
        <v>1045.07</v>
      </c>
    </row>
    <row r="442" spans="1:12" ht="14.25" x14ac:dyDescent="0.2">
      <c r="A442" s="54"/>
      <c r="B442" s="58"/>
      <c r="C442" s="168" t="s">
        <v>533</v>
      </c>
      <c r="D442" s="168"/>
      <c r="E442" s="168"/>
      <c r="F442" s="168"/>
      <c r="G442" s="168"/>
      <c r="H442" s="168"/>
      <c r="I442" s="45"/>
      <c r="J442" s="54"/>
      <c r="K442" s="42"/>
      <c r="L442" s="45">
        <f>SUM(BA402:BA424)</f>
        <v>534.15</v>
      </c>
    </row>
    <row r="443" spans="1:12" ht="14.25" hidden="1" x14ac:dyDescent="0.2">
      <c r="A443" s="54"/>
      <c r="B443" s="58"/>
      <c r="C443" s="168" t="s">
        <v>534</v>
      </c>
      <c r="D443" s="168"/>
      <c r="E443" s="168"/>
      <c r="F443" s="168"/>
      <c r="G443" s="168"/>
      <c r="H443" s="168"/>
      <c r="I443" s="45"/>
      <c r="J443" s="54"/>
      <c r="K443" s="42"/>
      <c r="L443" s="45">
        <f>L445+L446</f>
        <v>0</v>
      </c>
    </row>
    <row r="444" spans="1:12" ht="14.25" hidden="1" x14ac:dyDescent="0.2">
      <c r="A444" s="54"/>
      <c r="B444" s="58"/>
      <c r="C444" s="167" t="s">
        <v>521</v>
      </c>
      <c r="D444" s="168"/>
      <c r="E444" s="168"/>
      <c r="F444" s="168"/>
      <c r="G444" s="168"/>
      <c r="H444" s="168"/>
      <c r="I444" s="45"/>
      <c r="J444" s="54"/>
      <c r="K444" s="42"/>
      <c r="L444" s="45"/>
    </row>
    <row r="445" spans="1:12" ht="14.25" hidden="1" x14ac:dyDescent="0.2">
      <c r="A445" s="54"/>
      <c r="B445" s="58"/>
      <c r="C445" s="168" t="s">
        <v>535</v>
      </c>
      <c r="D445" s="168"/>
      <c r="E445" s="168"/>
      <c r="F445" s="168"/>
      <c r="G445" s="168"/>
      <c r="H445" s="168"/>
      <c r="I445" s="45"/>
      <c r="J445" s="54"/>
      <c r="K445" s="42"/>
      <c r="L445" s="45">
        <f>SUM(BK402:BK424)</f>
        <v>0</v>
      </c>
    </row>
    <row r="446" spans="1:12" ht="14.25" hidden="1" x14ac:dyDescent="0.2">
      <c r="A446" s="54"/>
      <c r="B446" s="58"/>
      <c r="C446" s="168" t="s">
        <v>536</v>
      </c>
      <c r="D446" s="168"/>
      <c r="E446" s="168"/>
      <c r="F446" s="168"/>
      <c r="G446" s="168"/>
      <c r="H446" s="168"/>
      <c r="I446" s="45"/>
      <c r="J446" s="54"/>
      <c r="K446" s="42"/>
      <c r="L446" s="45">
        <f>SUM(BD402:BD424)</f>
        <v>0</v>
      </c>
    </row>
    <row r="447" spans="1:12" ht="14.25" hidden="1" x14ac:dyDescent="0.2">
      <c r="A447" s="54"/>
      <c r="B447" s="58"/>
      <c r="C447" s="168" t="s">
        <v>537</v>
      </c>
      <c r="D447" s="168"/>
      <c r="E447" s="168"/>
      <c r="F447" s="168"/>
      <c r="G447" s="168"/>
      <c r="H447" s="168"/>
      <c r="I447" s="45"/>
      <c r="J447" s="54"/>
      <c r="K447" s="42"/>
      <c r="L447" s="45"/>
    </row>
    <row r="448" spans="1:12" ht="14.25" hidden="1" x14ac:dyDescent="0.2">
      <c r="A448" s="54"/>
      <c r="B448" s="58"/>
      <c r="C448" s="168" t="s">
        <v>538</v>
      </c>
      <c r="D448" s="168"/>
      <c r="E448" s="168"/>
      <c r="F448" s="168"/>
      <c r="G448" s="168"/>
      <c r="H448" s="168"/>
      <c r="I448" s="45"/>
      <c r="J448" s="54"/>
      <c r="K448" s="42"/>
      <c r="L448" s="45">
        <f>SUM(BO402:BO424)</f>
        <v>0</v>
      </c>
    </row>
    <row r="449" spans="1:83" ht="15" x14ac:dyDescent="0.2">
      <c r="A449" s="59"/>
      <c r="B449" s="60"/>
      <c r="C449" s="166" t="s">
        <v>539</v>
      </c>
      <c r="D449" s="166"/>
      <c r="E449" s="166"/>
      <c r="F449" s="166"/>
      <c r="G449" s="166"/>
      <c r="H449" s="166"/>
      <c r="I449" s="46"/>
      <c r="J449" s="59"/>
      <c r="K449" s="61"/>
      <c r="L449" s="46">
        <f>L426+L441+L442+L443+L447+L448</f>
        <v>3478.8800000000006</v>
      </c>
    </row>
    <row r="450" spans="1:83" ht="14.25" x14ac:dyDescent="0.2">
      <c r="A450" s="54"/>
      <c r="B450" s="58"/>
      <c r="C450" s="167" t="s">
        <v>540</v>
      </c>
      <c r="D450" s="168"/>
      <c r="E450" s="168"/>
      <c r="F450" s="168"/>
      <c r="G450" s="168"/>
      <c r="H450" s="168"/>
      <c r="I450" s="45"/>
      <c r="J450" s="54"/>
      <c r="K450" s="42"/>
      <c r="L450" s="45"/>
    </row>
    <row r="451" spans="1:83" ht="14.25" hidden="1" x14ac:dyDescent="0.2">
      <c r="A451" s="54"/>
      <c r="B451" s="58"/>
      <c r="C451" s="168" t="s">
        <v>541</v>
      </c>
      <c r="D451" s="168"/>
      <c r="E451" s="168"/>
      <c r="F451" s="168"/>
      <c r="G451" s="168"/>
      <c r="H451" s="168"/>
      <c r="I451" s="45"/>
      <c r="J451" s="54"/>
      <c r="K451" s="42"/>
      <c r="L451" s="45">
        <f>SUM(AX402:AX424)</f>
        <v>0</v>
      </c>
    </row>
    <row r="452" spans="1:83" ht="14.25" hidden="1" x14ac:dyDescent="0.2">
      <c r="A452" s="54"/>
      <c r="B452" s="58"/>
      <c r="C452" s="168" t="s">
        <v>542</v>
      </c>
      <c r="D452" s="168"/>
      <c r="E452" s="168"/>
      <c r="F452" s="168"/>
      <c r="G452" s="168"/>
      <c r="H452" s="168"/>
      <c r="I452" s="45"/>
      <c r="J452" s="54"/>
      <c r="K452" s="42"/>
      <c r="L452" s="45">
        <f>SUM(AY402:AY424)</f>
        <v>0</v>
      </c>
    </row>
    <row r="453" spans="1:83" ht="14.25" x14ac:dyDescent="0.2">
      <c r="A453" s="54"/>
      <c r="B453" s="58"/>
      <c r="C453" s="168" t="s">
        <v>543</v>
      </c>
      <c r="D453" s="168"/>
      <c r="E453" s="168"/>
      <c r="F453" s="169"/>
      <c r="G453" s="44">
        <f>Source!F140</f>
        <v>4.8263040000000004</v>
      </c>
      <c r="H453" s="54"/>
      <c r="I453" s="54"/>
      <c r="J453" s="54"/>
      <c r="K453" s="54"/>
      <c r="L453" s="54"/>
    </row>
    <row r="454" spans="1:83" ht="14.25" x14ac:dyDescent="0.2">
      <c r="A454" s="54"/>
      <c r="B454" s="58"/>
      <c r="C454" s="168" t="s">
        <v>544</v>
      </c>
      <c r="D454" s="168"/>
      <c r="E454" s="168"/>
      <c r="F454" s="169"/>
      <c r="G454" s="44">
        <f>Source!F141</f>
        <v>8.064E-3</v>
      </c>
      <c r="H454" s="54"/>
      <c r="I454" s="54"/>
      <c r="J454" s="54"/>
      <c r="K454" s="54"/>
      <c r="L454" s="54"/>
    </row>
    <row r="457" spans="1:83" ht="16.5" x14ac:dyDescent="0.2">
      <c r="A457" s="165" t="s">
        <v>554</v>
      </c>
      <c r="B457" s="165"/>
      <c r="C457" s="165"/>
      <c r="D457" s="165"/>
      <c r="E457" s="165"/>
      <c r="F457" s="165"/>
      <c r="G457" s="165"/>
      <c r="H457" s="165"/>
      <c r="I457" s="165"/>
      <c r="J457" s="165"/>
      <c r="K457" s="165"/>
      <c r="L457" s="165"/>
    </row>
    <row r="458" spans="1:83" ht="119.25" x14ac:dyDescent="0.2">
      <c r="A458" s="38" t="s">
        <v>159</v>
      </c>
      <c r="B458" s="40" t="s">
        <v>555</v>
      </c>
      <c r="C458" s="40" t="s">
        <v>556</v>
      </c>
      <c r="D458" s="41" t="str">
        <f>Source!H152</f>
        <v>100 ШТ</v>
      </c>
      <c r="E458" s="44">
        <f>Source!K152</f>
        <v>0.11</v>
      </c>
      <c r="F458" s="39"/>
      <c r="G458" s="44">
        <f>Source!I152</f>
        <v>0.11</v>
      </c>
      <c r="H458" s="45"/>
      <c r="I458" s="43"/>
      <c r="J458" s="45"/>
      <c r="K458" s="40"/>
      <c r="L458" s="45"/>
    </row>
    <row r="459" spans="1:83" ht="15" x14ac:dyDescent="0.2">
      <c r="A459" s="39"/>
      <c r="B459" s="42">
        <v>1</v>
      </c>
      <c r="C459" s="39" t="s">
        <v>470</v>
      </c>
      <c r="D459" s="41" t="s">
        <v>278</v>
      </c>
      <c r="E459" s="44"/>
      <c r="F459" s="42"/>
      <c r="G459" s="44">
        <f>Source!U152</f>
        <v>8.5640499999999999</v>
      </c>
      <c r="H459" s="42"/>
      <c r="I459" s="42"/>
      <c r="J459" s="42"/>
      <c r="K459" s="42"/>
      <c r="L459" s="46">
        <f>SUM(L460:L460)-SUMIF(CE460:CE460, 1, L460:L460)</f>
        <v>1911.84</v>
      </c>
    </row>
    <row r="460" spans="1:83" ht="28.5" x14ac:dyDescent="0.2">
      <c r="A460" s="40"/>
      <c r="B460" s="40" t="s">
        <v>395</v>
      </c>
      <c r="C460" s="40" t="s">
        <v>396</v>
      </c>
      <c r="D460" s="41" t="s">
        <v>278</v>
      </c>
      <c r="E460" s="44">
        <v>67.7</v>
      </c>
      <c r="F460" s="39">
        <f>ROUND(1.15,7)</f>
        <v>1.1499999999999999</v>
      </c>
      <c r="G460" s="44">
        <f>SmtRes!CX116</f>
        <v>8.5640499999999999</v>
      </c>
      <c r="H460" s="45"/>
      <c r="I460" s="43"/>
      <c r="J460" s="45">
        <f>SmtRes!CZ116</f>
        <v>223.24</v>
      </c>
      <c r="K460" s="40"/>
      <c r="L460" s="45">
        <f>SmtRes!DI116</f>
        <v>1911.84</v>
      </c>
    </row>
    <row r="461" spans="1:83" ht="15" x14ac:dyDescent="0.2">
      <c r="A461" s="39"/>
      <c r="B461" s="42">
        <v>2</v>
      </c>
      <c r="C461" s="39" t="s">
        <v>480</v>
      </c>
      <c r="D461" s="41"/>
      <c r="E461" s="44"/>
      <c r="F461" s="42"/>
      <c r="G461" s="44"/>
      <c r="H461" s="42"/>
      <c r="I461" s="42"/>
      <c r="J461" s="42"/>
      <c r="K461" s="42"/>
      <c r="L461" s="46">
        <f>SUM(L462:L466)-SUMIF(CE462:CE466, 1, L462:L466)</f>
        <v>195.04000000000002</v>
      </c>
    </row>
    <row r="462" spans="1:83" ht="15" x14ac:dyDescent="0.2">
      <c r="A462" s="39"/>
      <c r="B462" s="42"/>
      <c r="C462" s="39" t="s">
        <v>483</v>
      </c>
      <c r="D462" s="41" t="s">
        <v>278</v>
      </c>
      <c r="E462" s="44"/>
      <c r="F462" s="42"/>
      <c r="G462" s="44">
        <f>Source!V152</f>
        <v>0.57750000000000001</v>
      </c>
      <c r="H462" s="42"/>
      <c r="I462" s="42"/>
      <c r="J462" s="42"/>
      <c r="K462" s="42"/>
      <c r="L462" s="46">
        <f>SUMIF(CE463:CE466, 1, L463:L466)</f>
        <v>147.13</v>
      </c>
      <c r="CE462">
        <v>1</v>
      </c>
    </row>
    <row r="463" spans="1:83" ht="42.75" x14ac:dyDescent="0.2">
      <c r="A463" s="40"/>
      <c r="B463" s="40" t="s">
        <v>286</v>
      </c>
      <c r="C463" s="40" t="s">
        <v>288</v>
      </c>
      <c r="D463" s="41" t="s">
        <v>289</v>
      </c>
      <c r="E463" s="44">
        <v>1.73</v>
      </c>
      <c r="F463" s="39">
        <f>ROUND(1.25,7)</f>
        <v>1.25</v>
      </c>
      <c r="G463" s="44">
        <f>SmtRes!CX118</f>
        <v>0.237875</v>
      </c>
      <c r="H463" s="45">
        <f>SmtRes!CZ118</f>
        <v>37.32</v>
      </c>
      <c r="I463" s="43">
        <f>SmtRes!AJ118</f>
        <v>1.31</v>
      </c>
      <c r="J463" s="45">
        <f>ROUND(H463*I463, 2)</f>
        <v>48.89</v>
      </c>
      <c r="K463" s="40"/>
      <c r="L463" s="45">
        <f>SmtRes!DG118</f>
        <v>11.63</v>
      </c>
    </row>
    <row r="464" spans="1:83" ht="28.5" x14ac:dyDescent="0.2">
      <c r="A464" s="40"/>
      <c r="B464" s="40" t="s">
        <v>290</v>
      </c>
      <c r="C464" s="40" t="s">
        <v>481</v>
      </c>
      <c r="D464" s="41" t="s">
        <v>278</v>
      </c>
      <c r="E464" s="44">
        <f>SmtRes!DO118*SmtRes!AT118</f>
        <v>1.73</v>
      </c>
      <c r="F464" s="39">
        <f>ROUND(1.25,7)</f>
        <v>1.25</v>
      </c>
      <c r="G464" s="44">
        <f>SmtRes!DO118*SmtRes!CX118</f>
        <v>0.237875</v>
      </c>
      <c r="H464" s="45"/>
      <c r="I464" s="43"/>
      <c r="J464" s="45">
        <f>ROUND(SmtRes!AG118/SmtRes!DO118, 2)</f>
        <v>237.19</v>
      </c>
      <c r="K464" s="40"/>
      <c r="L464" s="45">
        <f>SmtRes!DH118</f>
        <v>56.42</v>
      </c>
      <c r="CE464">
        <v>1</v>
      </c>
    </row>
    <row r="465" spans="1:83" ht="28.5" x14ac:dyDescent="0.2">
      <c r="A465" s="40"/>
      <c r="B465" s="40" t="s">
        <v>291</v>
      </c>
      <c r="C465" s="40" t="s">
        <v>293</v>
      </c>
      <c r="D465" s="41" t="s">
        <v>289</v>
      </c>
      <c r="E465" s="44">
        <v>2.4700000000000002</v>
      </c>
      <c r="F465" s="39">
        <f>ROUND(1.25,7)</f>
        <v>1.25</v>
      </c>
      <c r="G465" s="44">
        <f>SmtRes!CX119</f>
        <v>0.33962500000000001</v>
      </c>
      <c r="H465" s="45">
        <f>SmtRes!CZ119</f>
        <v>477.92</v>
      </c>
      <c r="I465" s="43">
        <f>SmtRes!AJ119</f>
        <v>1.1299999999999999</v>
      </c>
      <c r="J465" s="45">
        <f>ROUND(H465*I465, 2)</f>
        <v>540.04999999999995</v>
      </c>
      <c r="K465" s="40"/>
      <c r="L465" s="45">
        <f>SmtRes!DG119</f>
        <v>183.41</v>
      </c>
    </row>
    <row r="466" spans="1:83" ht="28.5" x14ac:dyDescent="0.2">
      <c r="A466" s="40"/>
      <c r="B466" s="40" t="s">
        <v>294</v>
      </c>
      <c r="C466" s="40" t="s">
        <v>482</v>
      </c>
      <c r="D466" s="41" t="s">
        <v>278</v>
      </c>
      <c r="E466" s="44">
        <f>SmtRes!DO119*SmtRes!AT119</f>
        <v>2.4700000000000002</v>
      </c>
      <c r="F466" s="39">
        <f>ROUND(1.25,7)</f>
        <v>1.25</v>
      </c>
      <c r="G466" s="44">
        <f>SmtRes!DO119*SmtRes!CX119</f>
        <v>0.33962500000000001</v>
      </c>
      <c r="H466" s="45"/>
      <c r="I466" s="43"/>
      <c r="J466" s="45">
        <f>ROUND(SmtRes!AG119/SmtRes!DO119, 2)</f>
        <v>267.08999999999997</v>
      </c>
      <c r="K466" s="40"/>
      <c r="L466" s="45">
        <f>SmtRes!DH119</f>
        <v>90.71</v>
      </c>
      <c r="CE466">
        <v>1</v>
      </c>
    </row>
    <row r="467" spans="1:83" ht="15" x14ac:dyDescent="0.2">
      <c r="A467" s="39"/>
      <c r="B467" s="42">
        <v>4</v>
      </c>
      <c r="C467" s="39" t="s">
        <v>471</v>
      </c>
      <c r="D467" s="41"/>
      <c r="E467" s="44"/>
      <c r="F467" s="42"/>
      <c r="G467" s="44"/>
      <c r="H467" s="42"/>
      <c r="I467" s="42"/>
      <c r="J467" s="42"/>
      <c r="K467" s="42"/>
      <c r="L467" s="46">
        <f>SUM(L468:L470)-SUMIF(CE468:CE470, 1, L468:L470)</f>
        <v>1304.1300000000001</v>
      </c>
    </row>
    <row r="468" spans="1:83" ht="14.25" x14ac:dyDescent="0.2">
      <c r="A468" s="40"/>
      <c r="B468" s="40" t="s">
        <v>397</v>
      </c>
      <c r="C468" s="40" t="s">
        <v>399</v>
      </c>
      <c r="D468" s="41" t="s">
        <v>281</v>
      </c>
      <c r="E468" s="44">
        <v>1.2E-2</v>
      </c>
      <c r="F468" s="39"/>
      <c r="G468" s="44">
        <f>SmtRes!CX120</f>
        <v>1.32E-3</v>
      </c>
      <c r="H468" s="45">
        <f>SmtRes!CZ120</f>
        <v>70296.2</v>
      </c>
      <c r="I468" s="43">
        <f>SmtRes!AI120</f>
        <v>1.01</v>
      </c>
      <c r="J468" s="45">
        <f>ROUND(H468*I468, 2)</f>
        <v>70999.16</v>
      </c>
      <c r="K468" s="40"/>
      <c r="L468" s="45">
        <f>SmtRes!DF120</f>
        <v>93.72</v>
      </c>
    </row>
    <row r="469" spans="1:83" ht="28.5" x14ac:dyDescent="0.2">
      <c r="A469" s="40"/>
      <c r="B469" s="40" t="s">
        <v>400</v>
      </c>
      <c r="C469" s="40" t="s">
        <v>402</v>
      </c>
      <c r="D469" s="41" t="s">
        <v>281</v>
      </c>
      <c r="E469" s="44">
        <v>3.5000000000000003E-2</v>
      </c>
      <c r="F469" s="39"/>
      <c r="G469" s="44">
        <f>SmtRes!CX121</f>
        <v>3.8500000000000001E-3</v>
      </c>
      <c r="H469" s="45">
        <f>SmtRes!CZ121</f>
        <v>55898.18</v>
      </c>
      <c r="I469" s="43">
        <f>SmtRes!AI121</f>
        <v>0.74</v>
      </c>
      <c r="J469" s="45">
        <f>ROUND(H469*I469, 2)</f>
        <v>41364.65</v>
      </c>
      <c r="K469" s="40"/>
      <c r="L469" s="45">
        <f>SmtRes!DF121</f>
        <v>159.25</v>
      </c>
    </row>
    <row r="470" spans="1:83" ht="28.5" x14ac:dyDescent="0.2">
      <c r="A470" s="40"/>
      <c r="B470" s="40" t="s">
        <v>405</v>
      </c>
      <c r="C470" s="40" t="s">
        <v>407</v>
      </c>
      <c r="D470" s="41" t="s">
        <v>308</v>
      </c>
      <c r="E470" s="44">
        <v>400</v>
      </c>
      <c r="F470" s="39"/>
      <c r="G470" s="44">
        <f>SmtRes!CX123</f>
        <v>44</v>
      </c>
      <c r="H470" s="45">
        <f>SmtRes!CZ123</f>
        <v>17.96</v>
      </c>
      <c r="I470" s="43">
        <f>SmtRes!AI123</f>
        <v>1.33</v>
      </c>
      <c r="J470" s="45">
        <f>ROUND(H470*I470, 2)</f>
        <v>23.89</v>
      </c>
      <c r="K470" s="40"/>
      <c r="L470" s="45">
        <f>SmtRes!DF123</f>
        <v>1051.1600000000001</v>
      </c>
    </row>
    <row r="471" spans="1:83" ht="14.25" x14ac:dyDescent="0.2">
      <c r="A471" s="40"/>
      <c r="B471" s="40" t="str">
        <f>EtalonRes!I121</f>
        <v>11.2.07.12</v>
      </c>
      <c r="C471" s="55" t="str">
        <f>EtalonRes!K121</f>
        <v>Изделия штучные</v>
      </c>
      <c r="D471" s="48" t="str">
        <f>EtalonRes!O121</f>
        <v>ШТ</v>
      </c>
      <c r="E471" s="49">
        <f>EtalonRes!X121</f>
        <v>100</v>
      </c>
      <c r="F471" s="47"/>
      <c r="G471" s="49">
        <f>ROUND(EtalonRes!AG121*Source!I152, 7)</f>
        <v>11</v>
      </c>
      <c r="H471" s="56"/>
      <c r="I471" s="57"/>
      <c r="J471" s="56"/>
      <c r="K471" s="55"/>
      <c r="L471" s="56"/>
    </row>
    <row r="472" spans="1:83" ht="15" x14ac:dyDescent="0.2">
      <c r="A472" s="40"/>
      <c r="B472" s="40"/>
      <c r="C472" s="53" t="s">
        <v>472</v>
      </c>
      <c r="D472" s="41"/>
      <c r="E472" s="44"/>
      <c r="F472" s="39"/>
      <c r="G472" s="44"/>
      <c r="H472" s="45"/>
      <c r="I472" s="43"/>
      <c r="J472" s="45"/>
      <c r="K472" s="40"/>
      <c r="L472" s="45">
        <f>L459+L461+L462+L467</f>
        <v>3558.1400000000003</v>
      </c>
    </row>
    <row r="473" spans="1:83" ht="14.25" x14ac:dyDescent="0.2">
      <c r="A473" s="40"/>
      <c r="B473" s="40"/>
      <c r="C473" s="40" t="s">
        <v>473</v>
      </c>
      <c r="D473" s="41"/>
      <c r="E473" s="44"/>
      <c r="F473" s="39"/>
      <c r="G473" s="44"/>
      <c r="H473" s="45"/>
      <c r="I473" s="43"/>
      <c r="J473" s="45"/>
      <c r="K473" s="40"/>
      <c r="L473" s="45">
        <f>SUM(AR458:AR476)+SUM(AS458:AS476)+SUM(AT458:AT476)+SUM(AU458:AU476)+SUM(AV458:AV476)</f>
        <v>2058.9699999999998</v>
      </c>
    </row>
    <row r="474" spans="1:83" ht="28.5" x14ac:dyDescent="0.2">
      <c r="A474" s="40"/>
      <c r="B474" s="40" t="s">
        <v>557</v>
      </c>
      <c r="C474" s="40" t="s">
        <v>558</v>
      </c>
      <c r="D474" s="41" t="s">
        <v>384</v>
      </c>
      <c r="E474" s="44">
        <f>Source!BZ152</f>
        <v>108</v>
      </c>
      <c r="F474" s="39">
        <f>ROUND(0.9,7)</f>
        <v>0.9</v>
      </c>
      <c r="G474" s="44">
        <f>Source!AT152</f>
        <v>97.2</v>
      </c>
      <c r="H474" s="45"/>
      <c r="I474" s="43"/>
      <c r="J474" s="45"/>
      <c r="K474" s="40"/>
      <c r="L474" s="45">
        <f>SUM(AZ458:AZ476)</f>
        <v>2001.32</v>
      </c>
    </row>
    <row r="475" spans="1:83" ht="28.5" x14ac:dyDescent="0.2">
      <c r="A475" s="55"/>
      <c r="B475" s="55" t="s">
        <v>559</v>
      </c>
      <c r="C475" s="55" t="s">
        <v>560</v>
      </c>
      <c r="D475" s="48" t="s">
        <v>384</v>
      </c>
      <c r="E475" s="49">
        <f>Source!CA152</f>
        <v>55</v>
      </c>
      <c r="F475" s="47">
        <f>ROUND(0.85,7)</f>
        <v>0.85</v>
      </c>
      <c r="G475" s="49">
        <f>Source!AU152</f>
        <v>46.75</v>
      </c>
      <c r="H475" s="56"/>
      <c r="I475" s="57"/>
      <c r="J475" s="56"/>
      <c r="K475" s="55"/>
      <c r="L475" s="56">
        <f>SUM(BA458:BA476)</f>
        <v>962.57</v>
      </c>
    </row>
    <row r="476" spans="1:83" ht="15" x14ac:dyDescent="0.2">
      <c r="C476" s="163" t="s">
        <v>476</v>
      </c>
      <c r="D476" s="163"/>
      <c r="E476" s="163"/>
      <c r="F476" s="163"/>
      <c r="G476" s="163"/>
      <c r="H476" s="163"/>
      <c r="I476" s="164">
        <f>K476/E458</f>
        <v>59291.181818181816</v>
      </c>
      <c r="J476" s="164"/>
      <c r="K476" s="164">
        <f>L459+L461+L467+L474+L475+L462</f>
        <v>6522.03</v>
      </c>
      <c r="L476" s="164"/>
      <c r="AD476">
        <f>ROUND((Source!AT152/100)*((ROUND(SUMIF(SmtRes!AQ116:'SmtRes'!AQ123,"=1",SmtRes!AD116:'SmtRes'!AD123)*Source!I152, 2)+ROUND(SUMIF(SmtRes!AQ116:'SmtRes'!AQ123,"=1",SmtRes!AC116:'SmtRes'!AC123)*Source!I152, 2))), 2)</f>
        <v>77.790000000000006</v>
      </c>
      <c r="AE476">
        <f>ROUND((Source!AU152/100)*((ROUND(SUMIF(SmtRes!AQ116:'SmtRes'!AQ123,"=1",SmtRes!AD116:'SmtRes'!AD123)*Source!I152, 2)+ROUND(SUMIF(SmtRes!AQ116:'SmtRes'!AQ123,"=1",SmtRes!AC116:'SmtRes'!AC123)*Source!I152, 2))), 2)</f>
        <v>37.409999999999997</v>
      </c>
      <c r="AN476" s="52">
        <f>L459+L461+L467+L474+L475+L462</f>
        <v>6522.03</v>
      </c>
      <c r="AO476" s="52">
        <f>L461</f>
        <v>195.04000000000002</v>
      </c>
      <c r="AQ476" t="s">
        <v>477</v>
      </c>
      <c r="AR476" s="52">
        <f>L459</f>
        <v>1911.84</v>
      </c>
      <c r="AT476" s="52">
        <f>L462</f>
        <v>147.13</v>
      </c>
      <c r="AV476" t="s">
        <v>477</v>
      </c>
      <c r="AW476" s="52">
        <f>L467</f>
        <v>1304.1300000000001</v>
      </c>
      <c r="AZ476">
        <f>Source!X152</f>
        <v>2001.32</v>
      </c>
      <c r="BA476">
        <f>Source!Y152</f>
        <v>962.57</v>
      </c>
      <c r="CD476">
        <v>1</v>
      </c>
    </row>
    <row r="477" spans="1:83" ht="105" x14ac:dyDescent="0.2">
      <c r="A477" s="38" t="s">
        <v>14</v>
      </c>
      <c r="B477" s="40" t="s">
        <v>555</v>
      </c>
      <c r="C477" s="40" t="s">
        <v>561</v>
      </c>
      <c r="D477" s="41" t="str">
        <f>Source!H153</f>
        <v>100 ШТ</v>
      </c>
      <c r="E477" s="44">
        <f>Source!K153</f>
        <v>0.11</v>
      </c>
      <c r="F477" s="39"/>
      <c r="G477" s="44">
        <f>Source!I153</f>
        <v>0.11</v>
      </c>
      <c r="H477" s="45"/>
      <c r="I477" s="43"/>
      <c r="J477" s="45"/>
      <c r="K477" s="40"/>
      <c r="L477" s="45"/>
    </row>
    <row r="478" spans="1:83" ht="15" x14ac:dyDescent="0.2">
      <c r="A478" s="39"/>
      <c r="B478" s="42">
        <v>1</v>
      </c>
      <c r="C478" s="39" t="s">
        <v>470</v>
      </c>
      <c r="D478" s="41" t="s">
        <v>278</v>
      </c>
      <c r="E478" s="44"/>
      <c r="F478" s="42"/>
      <c r="G478" s="44">
        <f>Source!U153</f>
        <v>8.5640499999999999</v>
      </c>
      <c r="H478" s="42"/>
      <c r="I478" s="42"/>
      <c r="J478" s="42"/>
      <c r="K478" s="42"/>
      <c r="L478" s="46">
        <f>SUM(L479:L479)-SUMIF(CE479:CE479, 1, L479:L479)</f>
        <v>1911.84</v>
      </c>
    </row>
    <row r="479" spans="1:83" ht="28.5" x14ac:dyDescent="0.2">
      <c r="A479" s="40"/>
      <c r="B479" s="40" t="s">
        <v>395</v>
      </c>
      <c r="C479" s="40" t="s">
        <v>396</v>
      </c>
      <c r="D479" s="41" t="s">
        <v>278</v>
      </c>
      <c r="E479" s="44">
        <v>67.7</v>
      </c>
      <c r="F479" s="39">
        <f>ROUND(1.15,7)</f>
        <v>1.1499999999999999</v>
      </c>
      <c r="G479" s="44">
        <f>SmtRes!CX124</f>
        <v>8.5640499999999999</v>
      </c>
      <c r="H479" s="45"/>
      <c r="I479" s="43"/>
      <c r="J479" s="45">
        <f>SmtRes!CZ124</f>
        <v>223.24</v>
      </c>
      <c r="K479" s="40"/>
      <c r="L479" s="45">
        <f>SmtRes!DI124</f>
        <v>1911.84</v>
      </c>
    </row>
    <row r="480" spans="1:83" ht="15" x14ac:dyDescent="0.2">
      <c r="A480" s="39"/>
      <c r="B480" s="42">
        <v>2</v>
      </c>
      <c r="C480" s="39" t="s">
        <v>480</v>
      </c>
      <c r="D480" s="41"/>
      <c r="E480" s="44"/>
      <c r="F480" s="42"/>
      <c r="G480" s="44"/>
      <c r="H480" s="42"/>
      <c r="I480" s="42"/>
      <c r="J480" s="42"/>
      <c r="K480" s="42"/>
      <c r="L480" s="46">
        <f>SUM(L481:L485)-SUMIF(CE481:CE485, 1, L481:L485)</f>
        <v>195.04000000000002</v>
      </c>
    </row>
    <row r="481" spans="1:83" ht="15" x14ac:dyDescent="0.2">
      <c r="A481" s="39"/>
      <c r="B481" s="42"/>
      <c r="C481" s="39" t="s">
        <v>483</v>
      </c>
      <c r="D481" s="41" t="s">
        <v>278</v>
      </c>
      <c r="E481" s="44"/>
      <c r="F481" s="42"/>
      <c r="G481" s="44">
        <f>Source!V153</f>
        <v>0.57750000000000001</v>
      </c>
      <c r="H481" s="42"/>
      <c r="I481" s="42"/>
      <c r="J481" s="42"/>
      <c r="K481" s="42"/>
      <c r="L481" s="46">
        <f>SUMIF(CE482:CE485, 1, L482:L485)</f>
        <v>147.13</v>
      </c>
      <c r="CE481">
        <v>1</v>
      </c>
    </row>
    <row r="482" spans="1:83" ht="42.75" x14ac:dyDescent="0.2">
      <c r="A482" s="40"/>
      <c r="B482" s="40" t="s">
        <v>286</v>
      </c>
      <c r="C482" s="40" t="s">
        <v>288</v>
      </c>
      <c r="D482" s="41" t="s">
        <v>289</v>
      </c>
      <c r="E482" s="44">
        <v>1.73</v>
      </c>
      <c r="F482" s="39">
        <f>ROUND(1.25,7)</f>
        <v>1.25</v>
      </c>
      <c r="G482" s="44">
        <f>SmtRes!CX126</f>
        <v>0.237875</v>
      </c>
      <c r="H482" s="45">
        <f>SmtRes!CZ126</f>
        <v>37.32</v>
      </c>
      <c r="I482" s="43">
        <f>SmtRes!AJ126</f>
        <v>1.31</v>
      </c>
      <c r="J482" s="45">
        <f>ROUND(H482*I482, 2)</f>
        <v>48.89</v>
      </c>
      <c r="K482" s="40"/>
      <c r="L482" s="45">
        <f>SmtRes!DG126</f>
        <v>11.63</v>
      </c>
    </row>
    <row r="483" spans="1:83" ht="28.5" x14ac:dyDescent="0.2">
      <c r="A483" s="40"/>
      <c r="B483" s="40" t="s">
        <v>290</v>
      </c>
      <c r="C483" s="40" t="s">
        <v>481</v>
      </c>
      <c r="D483" s="41" t="s">
        <v>278</v>
      </c>
      <c r="E483" s="44">
        <f>SmtRes!DO126*SmtRes!AT126</f>
        <v>1.73</v>
      </c>
      <c r="F483" s="39">
        <f>ROUND(1.25,7)</f>
        <v>1.25</v>
      </c>
      <c r="G483" s="44">
        <f>SmtRes!DO126*SmtRes!CX126</f>
        <v>0.237875</v>
      </c>
      <c r="H483" s="45"/>
      <c r="I483" s="43"/>
      <c r="J483" s="45">
        <f>ROUND(SmtRes!AG126/SmtRes!DO126, 2)</f>
        <v>237.19</v>
      </c>
      <c r="K483" s="40"/>
      <c r="L483" s="45">
        <f>SmtRes!DH126</f>
        <v>56.42</v>
      </c>
      <c r="CE483">
        <v>1</v>
      </c>
    </row>
    <row r="484" spans="1:83" ht="28.5" x14ac:dyDescent="0.2">
      <c r="A484" s="40"/>
      <c r="B484" s="40" t="s">
        <v>291</v>
      </c>
      <c r="C484" s="40" t="s">
        <v>293</v>
      </c>
      <c r="D484" s="41" t="s">
        <v>289</v>
      </c>
      <c r="E484" s="44">
        <v>2.4700000000000002</v>
      </c>
      <c r="F484" s="39">
        <f>ROUND(1.25,7)</f>
        <v>1.25</v>
      </c>
      <c r="G484" s="44">
        <f>SmtRes!CX127</f>
        <v>0.33962500000000001</v>
      </c>
      <c r="H484" s="45">
        <f>SmtRes!CZ127</f>
        <v>477.92</v>
      </c>
      <c r="I484" s="43">
        <f>SmtRes!AJ127</f>
        <v>1.1299999999999999</v>
      </c>
      <c r="J484" s="45">
        <f>ROUND(H484*I484, 2)</f>
        <v>540.04999999999995</v>
      </c>
      <c r="K484" s="40"/>
      <c r="L484" s="45">
        <f>SmtRes!DG127</f>
        <v>183.41</v>
      </c>
    </row>
    <row r="485" spans="1:83" ht="28.5" x14ac:dyDescent="0.2">
      <c r="A485" s="40"/>
      <c r="B485" s="40" t="s">
        <v>294</v>
      </c>
      <c r="C485" s="40" t="s">
        <v>482</v>
      </c>
      <c r="D485" s="41" t="s">
        <v>278</v>
      </c>
      <c r="E485" s="44">
        <f>SmtRes!DO127*SmtRes!AT127</f>
        <v>2.4700000000000002</v>
      </c>
      <c r="F485" s="39">
        <f>ROUND(1.25,7)</f>
        <v>1.25</v>
      </c>
      <c r="G485" s="44">
        <f>SmtRes!DO127*SmtRes!CX127</f>
        <v>0.33962500000000001</v>
      </c>
      <c r="H485" s="45"/>
      <c r="I485" s="43"/>
      <c r="J485" s="45">
        <f>ROUND(SmtRes!AG127/SmtRes!DO127, 2)</f>
        <v>267.08999999999997</v>
      </c>
      <c r="K485" s="40"/>
      <c r="L485" s="45">
        <f>SmtRes!DH127</f>
        <v>90.71</v>
      </c>
      <c r="CE485">
        <v>1</v>
      </c>
    </row>
    <row r="486" spans="1:83" ht="15" x14ac:dyDescent="0.2">
      <c r="A486" s="39"/>
      <c r="B486" s="42">
        <v>4</v>
      </c>
      <c r="C486" s="39" t="s">
        <v>471</v>
      </c>
      <c r="D486" s="41"/>
      <c r="E486" s="44"/>
      <c r="F486" s="42"/>
      <c r="G486" s="44"/>
      <c r="H486" s="42"/>
      <c r="I486" s="42"/>
      <c r="J486" s="42"/>
      <c r="K486" s="42"/>
      <c r="L486" s="46">
        <f>SUM(L487:L489)-SUMIF(CE487:CE489, 1, L487:L489)</f>
        <v>1304.1300000000001</v>
      </c>
    </row>
    <row r="487" spans="1:83" ht="14.25" x14ac:dyDescent="0.2">
      <c r="A487" s="40"/>
      <c r="B487" s="40" t="s">
        <v>397</v>
      </c>
      <c r="C487" s="40" t="s">
        <v>399</v>
      </c>
      <c r="D487" s="41" t="s">
        <v>281</v>
      </c>
      <c r="E487" s="44">
        <v>1.2E-2</v>
      </c>
      <c r="F487" s="39"/>
      <c r="G487" s="44">
        <f>SmtRes!CX128</f>
        <v>1.32E-3</v>
      </c>
      <c r="H487" s="45">
        <f>SmtRes!CZ128</f>
        <v>70296.2</v>
      </c>
      <c r="I487" s="43">
        <f>SmtRes!AI128</f>
        <v>1.01</v>
      </c>
      <c r="J487" s="45">
        <f>ROUND(H487*I487, 2)</f>
        <v>70999.16</v>
      </c>
      <c r="K487" s="40"/>
      <c r="L487" s="45">
        <f>SmtRes!DF128</f>
        <v>93.72</v>
      </c>
    </row>
    <row r="488" spans="1:83" ht="28.5" x14ac:dyDescent="0.2">
      <c r="A488" s="40"/>
      <c r="B488" s="40" t="s">
        <v>400</v>
      </c>
      <c r="C488" s="40" t="s">
        <v>402</v>
      </c>
      <c r="D488" s="41" t="s">
        <v>281</v>
      </c>
      <c r="E488" s="44">
        <v>3.5000000000000003E-2</v>
      </c>
      <c r="F488" s="39"/>
      <c r="G488" s="44">
        <f>SmtRes!CX129</f>
        <v>3.8500000000000001E-3</v>
      </c>
      <c r="H488" s="45">
        <f>SmtRes!CZ129</f>
        <v>55898.18</v>
      </c>
      <c r="I488" s="43">
        <f>SmtRes!AI129</f>
        <v>0.74</v>
      </c>
      <c r="J488" s="45">
        <f>ROUND(H488*I488, 2)</f>
        <v>41364.65</v>
      </c>
      <c r="K488" s="40"/>
      <c r="L488" s="45">
        <f>SmtRes!DF129</f>
        <v>159.25</v>
      </c>
    </row>
    <row r="489" spans="1:83" ht="28.5" x14ac:dyDescent="0.2">
      <c r="A489" s="40"/>
      <c r="B489" s="40" t="s">
        <v>405</v>
      </c>
      <c r="C489" s="40" t="s">
        <v>407</v>
      </c>
      <c r="D489" s="41" t="s">
        <v>308</v>
      </c>
      <c r="E489" s="44">
        <v>400</v>
      </c>
      <c r="F489" s="39"/>
      <c r="G489" s="44">
        <f>SmtRes!CX131</f>
        <v>44</v>
      </c>
      <c r="H489" s="45">
        <f>SmtRes!CZ131</f>
        <v>17.96</v>
      </c>
      <c r="I489" s="43">
        <f>SmtRes!AI131</f>
        <v>1.33</v>
      </c>
      <c r="J489" s="45">
        <f>ROUND(H489*I489, 2)</f>
        <v>23.89</v>
      </c>
      <c r="K489" s="40"/>
      <c r="L489" s="45">
        <f>SmtRes!DF131</f>
        <v>1051.1600000000001</v>
      </c>
    </row>
    <row r="490" spans="1:83" ht="14.25" x14ac:dyDescent="0.2">
      <c r="A490" s="40"/>
      <c r="B490" s="40" t="str">
        <f>EtalonRes!I129</f>
        <v>11.2.07.12</v>
      </c>
      <c r="C490" s="55" t="str">
        <f>EtalonRes!K129</f>
        <v>Изделия штучные</v>
      </c>
      <c r="D490" s="48" t="str">
        <f>EtalonRes!O129</f>
        <v>ШТ</v>
      </c>
      <c r="E490" s="49">
        <f>EtalonRes!X129</f>
        <v>100</v>
      </c>
      <c r="F490" s="47"/>
      <c r="G490" s="49">
        <f>ROUND(EtalonRes!AG129*Source!I153, 7)</f>
        <v>11</v>
      </c>
      <c r="H490" s="56"/>
      <c r="I490" s="57"/>
      <c r="J490" s="56"/>
      <c r="K490" s="55"/>
      <c r="L490" s="56"/>
    </row>
    <row r="491" spans="1:83" ht="15" x14ac:dyDescent="0.2">
      <c r="A491" s="40"/>
      <c r="B491" s="40"/>
      <c r="C491" s="53" t="s">
        <v>472</v>
      </c>
      <c r="D491" s="41"/>
      <c r="E491" s="44"/>
      <c r="F491" s="39"/>
      <c r="G491" s="44"/>
      <c r="H491" s="45"/>
      <c r="I491" s="43"/>
      <c r="J491" s="45"/>
      <c r="K491" s="40"/>
      <c r="L491" s="45">
        <f>L478+L480+L481+L486</f>
        <v>3558.1400000000003</v>
      </c>
    </row>
    <row r="492" spans="1:83" ht="14.25" x14ac:dyDescent="0.2">
      <c r="A492" s="40"/>
      <c r="B492" s="40"/>
      <c r="C492" s="40" t="s">
        <v>473</v>
      </c>
      <c r="D492" s="41"/>
      <c r="E492" s="44"/>
      <c r="F492" s="39"/>
      <c r="G492" s="44"/>
      <c r="H492" s="45"/>
      <c r="I492" s="43"/>
      <c r="J492" s="45"/>
      <c r="K492" s="40"/>
      <c r="L492" s="45">
        <f>SUM(AR477:AR495)+SUM(AS477:AS495)+SUM(AT477:AT495)+SUM(AU477:AU495)+SUM(AV477:AV495)</f>
        <v>2058.9699999999998</v>
      </c>
    </row>
    <row r="493" spans="1:83" ht="28.5" x14ac:dyDescent="0.2">
      <c r="A493" s="40"/>
      <c r="B493" s="40" t="s">
        <v>557</v>
      </c>
      <c r="C493" s="40" t="s">
        <v>558</v>
      </c>
      <c r="D493" s="41" t="s">
        <v>384</v>
      </c>
      <c r="E493" s="44">
        <f>Source!BZ153</f>
        <v>108</v>
      </c>
      <c r="F493" s="39">
        <f>ROUND(0.9,7)</f>
        <v>0.9</v>
      </c>
      <c r="G493" s="44">
        <f>Source!AT153</f>
        <v>97.2</v>
      </c>
      <c r="H493" s="45"/>
      <c r="I493" s="43"/>
      <c r="J493" s="45"/>
      <c r="K493" s="40"/>
      <c r="L493" s="45">
        <f>SUM(AZ477:AZ495)</f>
        <v>2001.32</v>
      </c>
    </row>
    <row r="494" spans="1:83" ht="28.5" x14ac:dyDescent="0.2">
      <c r="A494" s="55"/>
      <c r="B494" s="55" t="s">
        <v>559</v>
      </c>
      <c r="C494" s="55" t="s">
        <v>560</v>
      </c>
      <c r="D494" s="48" t="s">
        <v>384</v>
      </c>
      <c r="E494" s="49">
        <f>Source!CA153</f>
        <v>55</v>
      </c>
      <c r="F494" s="47">
        <f>ROUND(0.85,7)</f>
        <v>0.85</v>
      </c>
      <c r="G494" s="49">
        <f>Source!AU153</f>
        <v>46.75</v>
      </c>
      <c r="H494" s="56"/>
      <c r="I494" s="57"/>
      <c r="J494" s="56"/>
      <c r="K494" s="55"/>
      <c r="L494" s="56">
        <f>SUM(BA477:BA495)</f>
        <v>962.57</v>
      </c>
    </row>
    <row r="495" spans="1:83" ht="15" x14ac:dyDescent="0.2">
      <c r="C495" s="163" t="s">
        <v>476</v>
      </c>
      <c r="D495" s="163"/>
      <c r="E495" s="163"/>
      <c r="F495" s="163"/>
      <c r="G495" s="163"/>
      <c r="H495" s="163"/>
      <c r="I495" s="164">
        <f>K495/E477</f>
        <v>59291.181818181816</v>
      </c>
      <c r="J495" s="164"/>
      <c r="K495" s="164">
        <f>L478+L480+L486+L493+L494+L481</f>
        <v>6522.03</v>
      </c>
      <c r="L495" s="164"/>
      <c r="AD495">
        <f>ROUND((Source!AT153/100)*((ROUND(SUMIF(SmtRes!AQ124:'SmtRes'!AQ131,"=1",SmtRes!AD124:'SmtRes'!AD131)*Source!I153, 2)+ROUND(SUMIF(SmtRes!AQ124:'SmtRes'!AQ131,"=1",SmtRes!AC124:'SmtRes'!AC131)*Source!I153, 2))), 2)</f>
        <v>77.790000000000006</v>
      </c>
      <c r="AE495">
        <f>ROUND((Source!AU153/100)*((ROUND(SUMIF(SmtRes!AQ124:'SmtRes'!AQ131,"=1",SmtRes!AD124:'SmtRes'!AD131)*Source!I153, 2)+ROUND(SUMIF(SmtRes!AQ124:'SmtRes'!AQ131,"=1",SmtRes!AC124:'SmtRes'!AC131)*Source!I153, 2))), 2)</f>
        <v>37.409999999999997</v>
      </c>
      <c r="AN495" s="52">
        <f>L478+L480+L486+L493+L494+L481</f>
        <v>6522.03</v>
      </c>
      <c r="AO495" s="52">
        <f>L480</f>
        <v>195.04000000000002</v>
      </c>
      <c r="AQ495" t="s">
        <v>477</v>
      </c>
      <c r="AR495" s="52">
        <f>L478</f>
        <v>1911.84</v>
      </c>
      <c r="AT495" s="52">
        <f>L481</f>
        <v>147.13</v>
      </c>
      <c r="AV495" t="s">
        <v>477</v>
      </c>
      <c r="AW495" s="52">
        <f>L486</f>
        <v>1304.1300000000001</v>
      </c>
      <c r="AZ495">
        <f>Source!X153</f>
        <v>2001.32</v>
      </c>
      <c r="BA495">
        <f>Source!Y153</f>
        <v>962.57</v>
      </c>
      <c r="CD495">
        <v>1</v>
      </c>
    </row>
    <row r="496" spans="1:83" ht="28.5" x14ac:dyDescent="0.2">
      <c r="A496" s="38" t="s">
        <v>24</v>
      </c>
      <c r="B496" s="40" t="s">
        <v>562</v>
      </c>
      <c r="C496" s="40" t="str">
        <f>Source!G154</f>
        <v>Очистка помещений от строительного мусора</v>
      </c>
      <c r="D496" s="41" t="str">
        <f>Source!H154</f>
        <v>100 т</v>
      </c>
      <c r="E496" s="44">
        <f>Source!K154</f>
        <v>1.4999999999999999E-2</v>
      </c>
      <c r="F496" s="39"/>
      <c r="G496" s="44">
        <f>Source!I154</f>
        <v>1.4999999999999999E-2</v>
      </c>
      <c r="H496" s="45"/>
      <c r="I496" s="43"/>
      <c r="J496" s="45"/>
      <c r="K496" s="40"/>
      <c r="L496" s="45"/>
    </row>
    <row r="497" spans="1:82" ht="15" x14ac:dyDescent="0.2">
      <c r="A497" s="39"/>
      <c r="B497" s="42">
        <v>1</v>
      </c>
      <c r="C497" s="39" t="s">
        <v>470</v>
      </c>
      <c r="D497" s="41" t="s">
        <v>278</v>
      </c>
      <c r="E497" s="44"/>
      <c r="F497" s="42"/>
      <c r="G497" s="44">
        <f>Source!U154</f>
        <v>2.82</v>
      </c>
      <c r="H497" s="42"/>
      <c r="I497" s="42"/>
      <c r="J497" s="42"/>
      <c r="K497" s="42"/>
      <c r="L497" s="46">
        <f>SUM(L498:L498)-SUMIF(CE498:CE498, 1, L498:L498)</f>
        <v>567.13</v>
      </c>
    </row>
    <row r="498" spans="1:82" ht="28.5" x14ac:dyDescent="0.2">
      <c r="A498" s="40"/>
      <c r="B498" s="40" t="s">
        <v>408</v>
      </c>
      <c r="C498" s="40" t="s">
        <v>409</v>
      </c>
      <c r="D498" s="41" t="s">
        <v>278</v>
      </c>
      <c r="E498" s="44">
        <v>188</v>
      </c>
      <c r="F498" s="39"/>
      <c r="G498" s="44">
        <f>SmtRes!CX132</f>
        <v>2.82</v>
      </c>
      <c r="H498" s="45"/>
      <c r="I498" s="43"/>
      <c r="J498" s="45">
        <f>SmtRes!CZ132</f>
        <v>201.11</v>
      </c>
      <c r="K498" s="40"/>
      <c r="L498" s="45">
        <f>SmtRes!DI132</f>
        <v>567.13</v>
      </c>
    </row>
    <row r="499" spans="1:82" ht="15" x14ac:dyDescent="0.2">
      <c r="A499" s="39"/>
      <c r="B499" s="42">
        <v>4</v>
      </c>
      <c r="C499" s="47" t="s">
        <v>471</v>
      </c>
      <c r="D499" s="48"/>
      <c r="E499" s="49"/>
      <c r="F499" s="50"/>
      <c r="G499" s="49"/>
      <c r="H499" s="50"/>
      <c r="I499" s="50"/>
      <c r="J499" s="50"/>
      <c r="K499" s="50"/>
      <c r="L499" s="51">
        <f>0</f>
        <v>0</v>
      </c>
    </row>
    <row r="500" spans="1:82" ht="15" x14ac:dyDescent="0.2">
      <c r="A500" s="40"/>
      <c r="B500" s="40"/>
      <c r="C500" s="53" t="s">
        <v>472</v>
      </c>
      <c r="D500" s="41"/>
      <c r="E500" s="44"/>
      <c r="F500" s="39"/>
      <c r="G500" s="44"/>
      <c r="H500" s="45"/>
      <c r="I500" s="43"/>
      <c r="J500" s="45"/>
      <c r="K500" s="40"/>
      <c r="L500" s="45">
        <f>L497+L499</f>
        <v>567.13</v>
      </c>
    </row>
    <row r="501" spans="1:82" ht="14.25" x14ac:dyDescent="0.2">
      <c r="A501" s="40"/>
      <c r="B501" s="40"/>
      <c r="C501" s="40" t="s">
        <v>473</v>
      </c>
      <c r="D501" s="41"/>
      <c r="E501" s="44"/>
      <c r="F501" s="39"/>
      <c r="G501" s="44"/>
      <c r="H501" s="45"/>
      <c r="I501" s="43"/>
      <c r="J501" s="45"/>
      <c r="K501" s="40"/>
      <c r="L501" s="45">
        <f>SUM(AR496:AR504)+SUM(AS496:AS504)+SUM(AT496:AT504)+SUM(AU496:AU504)+SUM(AV496:AV504)</f>
        <v>567.13</v>
      </c>
    </row>
    <row r="502" spans="1:82" ht="28.5" x14ac:dyDescent="0.2">
      <c r="A502" s="40"/>
      <c r="B502" s="40" t="s">
        <v>190</v>
      </c>
      <c r="C502" s="40" t="s">
        <v>563</v>
      </c>
      <c r="D502" s="41" t="s">
        <v>384</v>
      </c>
      <c r="E502" s="44">
        <f>Source!BZ154</f>
        <v>92</v>
      </c>
      <c r="F502" s="39"/>
      <c r="G502" s="44">
        <f>Source!AT154</f>
        <v>92</v>
      </c>
      <c r="H502" s="45"/>
      <c r="I502" s="43"/>
      <c r="J502" s="45"/>
      <c r="K502" s="40"/>
      <c r="L502" s="45">
        <f>SUM(AZ496:AZ504)</f>
        <v>521.76</v>
      </c>
    </row>
    <row r="503" spans="1:82" ht="28.5" x14ac:dyDescent="0.2">
      <c r="A503" s="55"/>
      <c r="B503" s="55" t="s">
        <v>191</v>
      </c>
      <c r="C503" s="55" t="s">
        <v>564</v>
      </c>
      <c r="D503" s="48" t="s">
        <v>384</v>
      </c>
      <c r="E503" s="49">
        <f>Source!CA154</f>
        <v>44</v>
      </c>
      <c r="F503" s="47"/>
      <c r="G503" s="49">
        <f>Source!AU154</f>
        <v>44</v>
      </c>
      <c r="H503" s="56"/>
      <c r="I503" s="57"/>
      <c r="J503" s="56"/>
      <c r="K503" s="55"/>
      <c r="L503" s="56">
        <f>SUM(BA496:BA504)</f>
        <v>249.54</v>
      </c>
    </row>
    <row r="504" spans="1:82" ht="15" x14ac:dyDescent="0.2">
      <c r="C504" s="163" t="s">
        <v>476</v>
      </c>
      <c r="D504" s="163"/>
      <c r="E504" s="163"/>
      <c r="F504" s="163"/>
      <c r="G504" s="163"/>
      <c r="H504" s="163"/>
      <c r="I504" s="164">
        <f>K504/E496</f>
        <v>89228.666666666657</v>
      </c>
      <c r="J504" s="164"/>
      <c r="K504" s="164">
        <f>L497+L499+L502+L503</f>
        <v>1338.4299999999998</v>
      </c>
      <c r="L504" s="164"/>
      <c r="AD504">
        <f>ROUND((Source!AT154/100)*((ROUND(SUMIF(SmtRes!AQ132:'SmtRes'!AQ133,"=1",SmtRes!AD132:'SmtRes'!AD133)*Source!I154, 2)+ROUND(SUMIF(SmtRes!AQ132:'SmtRes'!AQ133,"=1",SmtRes!AC132:'SmtRes'!AC133)*Source!I154, 2))), 2)</f>
        <v>2.78</v>
      </c>
      <c r="AE504">
        <f>ROUND((Source!AU154/100)*((ROUND(SUMIF(SmtRes!AQ132:'SmtRes'!AQ133,"=1",SmtRes!AD132:'SmtRes'!AD133)*Source!I154, 2)+ROUND(SUMIF(SmtRes!AQ132:'SmtRes'!AQ133,"=1",SmtRes!AC132:'SmtRes'!AC133)*Source!I154, 2))), 2)</f>
        <v>1.33</v>
      </c>
      <c r="AN504" s="52">
        <f>L497+L499+L502+L503</f>
        <v>1338.4299999999998</v>
      </c>
      <c r="AO504">
        <f>0</f>
        <v>0</v>
      </c>
      <c r="AQ504" t="s">
        <v>477</v>
      </c>
      <c r="AR504" s="52">
        <f>L497</f>
        <v>567.13</v>
      </c>
      <c r="AT504">
        <f>0</f>
        <v>0</v>
      </c>
      <c r="AV504" t="s">
        <v>477</v>
      </c>
      <c r="AW504" s="52">
        <f>L499</f>
        <v>0</v>
      </c>
      <c r="AZ504">
        <f>Source!X154</f>
        <v>521.76</v>
      </c>
      <c r="BA504">
        <f>Source!Y154</f>
        <v>249.54</v>
      </c>
      <c r="CD504">
        <v>1</v>
      </c>
    </row>
    <row r="505" spans="1:82" ht="42.75" x14ac:dyDescent="0.2">
      <c r="A505" s="62" t="s">
        <v>56</v>
      </c>
      <c r="B505" s="55" t="s">
        <v>192</v>
      </c>
      <c r="C505" s="55" t="str">
        <f>Source!G155</f>
        <v>Погрузка в автотранспортное средство: мусор строительный с погрузкой вручную</v>
      </c>
      <c r="D505" s="48" t="str">
        <f>Source!H155</f>
        <v>1т груза</v>
      </c>
      <c r="E505" s="49">
        <f>Source!K155</f>
        <v>1.2508239999999999</v>
      </c>
      <c r="F505" s="47"/>
      <c r="G505" s="49">
        <f>Source!I155</f>
        <v>1.2508239999999999</v>
      </c>
      <c r="H505" s="56"/>
      <c r="I505" s="57"/>
      <c r="J505" s="56">
        <f>Source!AB155</f>
        <v>722.52</v>
      </c>
      <c r="K505" s="55"/>
      <c r="L505" s="56">
        <f>Source!HD155</f>
        <v>903.75</v>
      </c>
    </row>
    <row r="506" spans="1:82" ht="15" x14ac:dyDescent="0.2">
      <c r="C506" s="163" t="s">
        <v>476</v>
      </c>
      <c r="D506" s="163"/>
      <c r="E506" s="163"/>
      <c r="F506" s="163"/>
      <c r="G506" s="163"/>
      <c r="H506" s="163"/>
      <c r="I506" s="164">
        <f>K506/E505</f>
        <v>722.52371236880651</v>
      </c>
      <c r="J506" s="164"/>
      <c r="K506" s="164">
        <f>L505</f>
        <v>903.75</v>
      </c>
      <c r="L506" s="164"/>
      <c r="AD506">
        <f>ROUND((Source!AT155/100)*((ROUND(0*Source!I155, 2)+ROUND(0*Source!I155, 2))), 2)</f>
        <v>0</v>
      </c>
      <c r="AE506">
        <f>ROUND((Source!AU155/100)*((ROUND(0*Source!I155, 2)+ROUND(0*Source!I155, 2))), 2)</f>
        <v>0</v>
      </c>
      <c r="AN506" s="52">
        <f>L505</f>
        <v>903.75</v>
      </c>
      <c r="AP506">
        <f>0</f>
        <v>0</v>
      </c>
      <c r="AQ506" t="s">
        <v>477</v>
      </c>
      <c r="AS506">
        <f>0</f>
        <v>0</v>
      </c>
      <c r="AU506">
        <f>0</f>
        <v>0</v>
      </c>
      <c r="AV506" t="s">
        <v>477</v>
      </c>
      <c r="AZ506">
        <f>Source!X155</f>
        <v>0</v>
      </c>
      <c r="BA506">
        <f>Source!Y155</f>
        <v>0</v>
      </c>
      <c r="BB506" s="52">
        <f>L505</f>
        <v>903.75</v>
      </c>
      <c r="CD506">
        <v>1</v>
      </c>
    </row>
    <row r="507" spans="1:82" ht="128.25" x14ac:dyDescent="0.2">
      <c r="A507" s="62" t="s">
        <v>43</v>
      </c>
      <c r="B507" s="55" t="s">
        <v>199</v>
      </c>
      <c r="C507" s="55" t="str">
        <f>Source!G156</f>
        <v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v>
      </c>
      <c r="D507" s="48" t="str">
        <f>Source!H156</f>
        <v>1т груза</v>
      </c>
      <c r="E507" s="49">
        <f>Source!K156</f>
        <v>1.2508239999999999</v>
      </c>
      <c r="F507" s="47"/>
      <c r="G507" s="49">
        <f>Source!I156</f>
        <v>1.2508239999999999</v>
      </c>
      <c r="H507" s="56"/>
      <c r="I507" s="57"/>
      <c r="J507" s="56">
        <f>Source!AB156</f>
        <v>166.07</v>
      </c>
      <c r="K507" s="55"/>
      <c r="L507" s="56">
        <f>Source!HD156</f>
        <v>207.72</v>
      </c>
    </row>
    <row r="508" spans="1:82" ht="15" x14ac:dyDescent="0.2">
      <c r="C508" s="163" t="s">
        <v>476</v>
      </c>
      <c r="D508" s="163"/>
      <c r="E508" s="163"/>
      <c r="F508" s="163"/>
      <c r="G508" s="163"/>
      <c r="H508" s="163"/>
      <c r="I508" s="164">
        <f>K508/E507</f>
        <v>166.06652894412005</v>
      </c>
      <c r="J508" s="164"/>
      <c r="K508" s="164">
        <f>L507</f>
        <v>207.72</v>
      </c>
      <c r="L508" s="164"/>
      <c r="AD508">
        <f>ROUND((Source!AT156/100)*((ROUND(0*Source!I156, 2)+ROUND(0*Source!I156, 2))), 2)</f>
        <v>0</v>
      </c>
      <c r="AE508">
        <f>ROUND((Source!AU156/100)*((ROUND(0*Source!I156, 2)+ROUND(0*Source!I156, 2))), 2)</f>
        <v>0</v>
      </c>
      <c r="AN508" s="52">
        <f>L507</f>
        <v>207.72</v>
      </c>
      <c r="AP508">
        <f>0</f>
        <v>0</v>
      </c>
      <c r="AQ508" t="s">
        <v>477</v>
      </c>
      <c r="AS508">
        <f>0</f>
        <v>0</v>
      </c>
      <c r="AU508">
        <f>0</f>
        <v>0</v>
      </c>
      <c r="AV508" t="s">
        <v>477</v>
      </c>
      <c r="AZ508">
        <f>Source!X156</f>
        <v>0</v>
      </c>
      <c r="BA508">
        <f>Source!Y156</f>
        <v>0</v>
      </c>
      <c r="BB508" s="52">
        <f>L507</f>
        <v>207.72</v>
      </c>
      <c r="CD508">
        <v>1</v>
      </c>
    </row>
    <row r="510" spans="1:82" ht="15" x14ac:dyDescent="0.2">
      <c r="A510" s="59"/>
      <c r="B510" s="60"/>
      <c r="C510" s="166" t="s">
        <v>520</v>
      </c>
      <c r="D510" s="166"/>
      <c r="E510" s="166"/>
      <c r="F510" s="166"/>
      <c r="G510" s="166"/>
      <c r="H510" s="166"/>
      <c r="I510" s="46"/>
      <c r="J510" s="59"/>
      <c r="K510" s="61"/>
      <c r="L510" s="46">
        <f>L512+L513+L519+L523</f>
        <v>8794.8799999999992</v>
      </c>
    </row>
    <row r="511" spans="1:82" ht="14.25" x14ac:dyDescent="0.2">
      <c r="A511" s="54"/>
      <c r="B511" s="58"/>
      <c r="C511" s="167" t="s">
        <v>521</v>
      </c>
      <c r="D511" s="168"/>
      <c r="E511" s="168"/>
      <c r="F511" s="168"/>
      <c r="G511" s="168"/>
      <c r="H511" s="168"/>
      <c r="I511" s="45"/>
      <c r="J511" s="54"/>
      <c r="K511" s="42"/>
      <c r="L511" s="45"/>
    </row>
    <row r="512" spans="1:82" ht="14.25" x14ac:dyDescent="0.2">
      <c r="A512" s="54"/>
      <c r="B512" s="58"/>
      <c r="C512" s="168" t="s">
        <v>522</v>
      </c>
      <c r="D512" s="168"/>
      <c r="E512" s="168"/>
      <c r="F512" s="168"/>
      <c r="G512" s="168"/>
      <c r="H512" s="168"/>
      <c r="I512" s="45"/>
      <c r="J512" s="54"/>
      <c r="K512" s="42"/>
      <c r="L512" s="45">
        <f>SUM(AR457:AR508)</f>
        <v>4390.8099999999995</v>
      </c>
    </row>
    <row r="513" spans="1:12" ht="14.25" hidden="1" x14ac:dyDescent="0.2">
      <c r="A513" s="54"/>
      <c r="B513" s="58"/>
      <c r="C513" s="168" t="s">
        <v>523</v>
      </c>
      <c r="D513" s="168"/>
      <c r="E513" s="168"/>
      <c r="F513" s="168"/>
      <c r="G513" s="168"/>
      <c r="H513" s="168"/>
      <c r="I513" s="45"/>
      <c r="J513" s="54"/>
      <c r="K513" s="42"/>
      <c r="L513" s="45">
        <f>L515+L518+L517</f>
        <v>684.34</v>
      </c>
    </row>
    <row r="514" spans="1:12" ht="14.25" hidden="1" x14ac:dyDescent="0.2">
      <c r="A514" s="54"/>
      <c r="B514" s="58"/>
      <c r="C514" s="167" t="s">
        <v>524</v>
      </c>
      <c r="D514" s="168"/>
      <c r="E514" s="168"/>
      <c r="F514" s="168"/>
      <c r="G514" s="168"/>
      <c r="H514" s="168"/>
      <c r="I514" s="45"/>
      <c r="J514" s="54"/>
      <c r="K514" s="42"/>
      <c r="L514" s="45"/>
    </row>
    <row r="515" spans="1:12" ht="14.25" x14ac:dyDescent="0.2">
      <c r="A515" s="54"/>
      <c r="B515" s="58"/>
      <c r="C515" s="168" t="s">
        <v>523</v>
      </c>
      <c r="D515" s="168"/>
      <c r="E515" s="168"/>
      <c r="F515" s="168"/>
      <c r="G515" s="168"/>
      <c r="H515" s="168"/>
      <c r="I515" s="45"/>
      <c r="J515" s="54"/>
      <c r="K515" s="42"/>
      <c r="L515" s="45">
        <f>SUM(AO457:AO508)</f>
        <v>390.08000000000004</v>
      </c>
    </row>
    <row r="516" spans="1:12" ht="14.25" hidden="1" x14ac:dyDescent="0.2">
      <c r="A516" s="54"/>
      <c r="B516" s="58"/>
      <c r="C516" s="167" t="s">
        <v>525</v>
      </c>
      <c r="D516" s="168"/>
      <c r="E516" s="168"/>
      <c r="F516" s="168"/>
      <c r="G516" s="168"/>
      <c r="H516" s="168"/>
      <c r="I516" s="45"/>
      <c r="J516" s="54"/>
      <c r="K516" s="42"/>
      <c r="L516" s="45"/>
    </row>
    <row r="517" spans="1:12" ht="14.25" x14ac:dyDescent="0.2">
      <c r="A517" s="54"/>
      <c r="B517" s="58"/>
      <c r="C517" s="168" t="s">
        <v>545</v>
      </c>
      <c r="D517" s="168"/>
      <c r="E517" s="168"/>
      <c r="F517" s="168"/>
      <c r="G517" s="168"/>
      <c r="H517" s="168"/>
      <c r="I517" s="45"/>
      <c r="J517" s="54"/>
      <c r="K517" s="42"/>
      <c r="L517" s="45">
        <f>SUM(AT457:AT508)</f>
        <v>294.26</v>
      </c>
    </row>
    <row r="518" spans="1:12" ht="14.25" hidden="1" x14ac:dyDescent="0.2">
      <c r="A518" s="54"/>
      <c r="B518" s="58"/>
      <c r="C518" s="168" t="s">
        <v>526</v>
      </c>
      <c r="D518" s="168"/>
      <c r="E518" s="168"/>
      <c r="F518" s="168"/>
      <c r="G518" s="168"/>
      <c r="H518" s="168"/>
      <c r="I518" s="45"/>
      <c r="J518" s="54"/>
      <c r="K518" s="42"/>
      <c r="L518" s="45">
        <f>SUM(AV457:AV508)</f>
        <v>0</v>
      </c>
    </row>
    <row r="519" spans="1:12" ht="14.25" x14ac:dyDescent="0.2">
      <c r="A519" s="54"/>
      <c r="B519" s="58"/>
      <c r="C519" s="168" t="s">
        <v>527</v>
      </c>
      <c r="D519" s="168"/>
      <c r="E519" s="168"/>
      <c r="F519" s="168"/>
      <c r="G519" s="168"/>
      <c r="H519" s="168"/>
      <c r="I519" s="45"/>
      <c r="J519" s="54"/>
      <c r="K519" s="42"/>
      <c r="L519" s="45">
        <f>L521+L522</f>
        <v>2608.2600000000002</v>
      </c>
    </row>
    <row r="520" spans="1:12" ht="14.25" x14ac:dyDescent="0.2">
      <c r="A520" s="54"/>
      <c r="B520" s="58"/>
      <c r="C520" s="167" t="s">
        <v>524</v>
      </c>
      <c r="D520" s="168"/>
      <c r="E520" s="168"/>
      <c r="F520" s="168"/>
      <c r="G520" s="168"/>
      <c r="H520" s="168"/>
      <c r="I520" s="45"/>
      <c r="J520" s="54"/>
      <c r="K520" s="42"/>
      <c r="L520" s="45"/>
    </row>
    <row r="521" spans="1:12" ht="14.25" x14ac:dyDescent="0.2">
      <c r="A521" s="54"/>
      <c r="B521" s="58"/>
      <c r="C521" s="168" t="s">
        <v>528</v>
      </c>
      <c r="D521" s="168"/>
      <c r="E521" s="168"/>
      <c r="F521" s="168"/>
      <c r="G521" s="168"/>
      <c r="H521" s="168"/>
      <c r="I521" s="45"/>
      <c r="J521" s="54"/>
      <c r="K521" s="42"/>
      <c r="L521" s="45">
        <f>SUM(AW457:AW508)-SUM(BK457:BK508)</f>
        <v>2608.2600000000002</v>
      </c>
    </row>
    <row r="522" spans="1:12" ht="14.25" hidden="1" x14ac:dyDescent="0.2">
      <c r="A522" s="54"/>
      <c r="B522" s="58"/>
      <c r="C522" s="168" t="s">
        <v>529</v>
      </c>
      <c r="D522" s="168"/>
      <c r="E522" s="168"/>
      <c r="F522" s="168"/>
      <c r="G522" s="168"/>
      <c r="H522" s="168"/>
      <c r="I522" s="45"/>
      <c r="J522" s="54"/>
      <c r="K522" s="42"/>
      <c r="L522" s="45">
        <f>SUM(BC457:BC508)</f>
        <v>0</v>
      </c>
    </row>
    <row r="523" spans="1:12" ht="14.25" x14ac:dyDescent="0.2">
      <c r="A523" s="54"/>
      <c r="B523" s="58"/>
      <c r="C523" s="168" t="s">
        <v>530</v>
      </c>
      <c r="D523" s="168"/>
      <c r="E523" s="168"/>
      <c r="F523" s="168"/>
      <c r="G523" s="168"/>
      <c r="H523" s="168"/>
      <c r="I523" s="45"/>
      <c r="J523" s="54"/>
      <c r="K523" s="42"/>
      <c r="L523" s="45">
        <f>SUM(BB457:BB508)</f>
        <v>1111.47</v>
      </c>
    </row>
    <row r="524" spans="1:12" ht="14.25" x14ac:dyDescent="0.2">
      <c r="A524" s="54"/>
      <c r="B524" s="58"/>
      <c r="C524" s="168" t="s">
        <v>531</v>
      </c>
      <c r="D524" s="168"/>
      <c r="E524" s="168"/>
      <c r="F524" s="168"/>
      <c r="G524" s="168"/>
      <c r="H524" s="168"/>
      <c r="I524" s="45"/>
      <c r="J524" s="54"/>
      <c r="K524" s="42"/>
      <c r="L524" s="45">
        <f>SUM(AR457:AR508)+SUM(AT457:AT508)+SUM(AV457:AV508)</f>
        <v>4685.07</v>
      </c>
    </row>
    <row r="525" spans="1:12" ht="14.25" x14ac:dyDescent="0.2">
      <c r="A525" s="54"/>
      <c r="B525" s="58"/>
      <c r="C525" s="168" t="s">
        <v>532</v>
      </c>
      <c r="D525" s="168"/>
      <c r="E525" s="168"/>
      <c r="F525" s="168"/>
      <c r="G525" s="168"/>
      <c r="H525" s="168"/>
      <c r="I525" s="45"/>
      <c r="J525" s="54"/>
      <c r="K525" s="42"/>
      <c r="L525" s="45">
        <f>SUM(AZ457:AZ508)</f>
        <v>4524.3999999999996</v>
      </c>
    </row>
    <row r="526" spans="1:12" ht="14.25" x14ac:dyDescent="0.2">
      <c r="A526" s="54"/>
      <c r="B526" s="58"/>
      <c r="C526" s="168" t="s">
        <v>533</v>
      </c>
      <c r="D526" s="168"/>
      <c r="E526" s="168"/>
      <c r="F526" s="168"/>
      <c r="G526" s="168"/>
      <c r="H526" s="168"/>
      <c r="I526" s="45"/>
      <c r="J526" s="54"/>
      <c r="K526" s="42"/>
      <c r="L526" s="45">
        <f>SUM(BA457:BA508)</f>
        <v>2174.6800000000003</v>
      </c>
    </row>
    <row r="527" spans="1:12" ht="14.25" hidden="1" x14ac:dyDescent="0.2">
      <c r="A527" s="54"/>
      <c r="B527" s="58"/>
      <c r="C527" s="168" t="s">
        <v>534</v>
      </c>
      <c r="D527" s="168"/>
      <c r="E527" s="168"/>
      <c r="F527" s="168"/>
      <c r="G527" s="168"/>
      <c r="H527" s="168"/>
      <c r="I527" s="45"/>
      <c r="J527" s="54"/>
      <c r="K527" s="42"/>
      <c r="L527" s="45">
        <f>L529+L530</f>
        <v>0</v>
      </c>
    </row>
    <row r="528" spans="1:12" ht="14.25" hidden="1" x14ac:dyDescent="0.2">
      <c r="A528" s="54"/>
      <c r="B528" s="58"/>
      <c r="C528" s="167" t="s">
        <v>521</v>
      </c>
      <c r="D528" s="168"/>
      <c r="E528" s="168"/>
      <c r="F528" s="168"/>
      <c r="G528" s="168"/>
      <c r="H528" s="168"/>
      <c r="I528" s="45"/>
      <c r="J528" s="54"/>
      <c r="K528" s="42"/>
      <c r="L528" s="45"/>
    </row>
    <row r="529" spans="1:12" ht="14.25" hidden="1" x14ac:dyDescent="0.2">
      <c r="A529" s="54"/>
      <c r="B529" s="58"/>
      <c r="C529" s="168" t="s">
        <v>535</v>
      </c>
      <c r="D529" s="168"/>
      <c r="E529" s="168"/>
      <c r="F529" s="168"/>
      <c r="G529" s="168"/>
      <c r="H529" s="168"/>
      <c r="I529" s="45"/>
      <c r="J529" s="54"/>
      <c r="K529" s="42"/>
      <c r="L529" s="45">
        <f>SUM(BK457:BK508)</f>
        <v>0</v>
      </c>
    </row>
    <row r="530" spans="1:12" ht="14.25" hidden="1" x14ac:dyDescent="0.2">
      <c r="A530" s="54"/>
      <c r="B530" s="58"/>
      <c r="C530" s="168" t="s">
        <v>536</v>
      </c>
      <c r="D530" s="168"/>
      <c r="E530" s="168"/>
      <c r="F530" s="168"/>
      <c r="G530" s="168"/>
      <c r="H530" s="168"/>
      <c r="I530" s="45"/>
      <c r="J530" s="54"/>
      <c r="K530" s="42"/>
      <c r="L530" s="45">
        <f>SUM(BD457:BD508)</f>
        <v>0</v>
      </c>
    </row>
    <row r="531" spans="1:12" ht="14.25" hidden="1" x14ac:dyDescent="0.2">
      <c r="A531" s="54"/>
      <c r="B531" s="58"/>
      <c r="C531" s="168" t="s">
        <v>537</v>
      </c>
      <c r="D531" s="168"/>
      <c r="E531" s="168"/>
      <c r="F531" s="168"/>
      <c r="G531" s="168"/>
      <c r="H531" s="168"/>
      <c r="I531" s="45"/>
      <c r="J531" s="54"/>
      <c r="K531" s="42"/>
      <c r="L531" s="45"/>
    </row>
    <row r="532" spans="1:12" ht="14.25" hidden="1" x14ac:dyDescent="0.2">
      <c r="A532" s="54"/>
      <c r="B532" s="58"/>
      <c r="C532" s="168" t="s">
        <v>538</v>
      </c>
      <c r="D532" s="168"/>
      <c r="E532" s="168"/>
      <c r="F532" s="168"/>
      <c r="G532" s="168"/>
      <c r="H532" s="168"/>
      <c r="I532" s="45"/>
      <c r="J532" s="54"/>
      <c r="K532" s="42"/>
      <c r="L532" s="45">
        <f>SUM(BO457:BO508)</f>
        <v>0</v>
      </c>
    </row>
    <row r="533" spans="1:12" ht="15" x14ac:dyDescent="0.2">
      <c r="A533" s="59"/>
      <c r="B533" s="60"/>
      <c r="C533" s="166" t="s">
        <v>539</v>
      </c>
      <c r="D533" s="166"/>
      <c r="E533" s="166"/>
      <c r="F533" s="166"/>
      <c r="G533" s="166"/>
      <c r="H533" s="166"/>
      <c r="I533" s="46"/>
      <c r="J533" s="59"/>
      <c r="K533" s="61"/>
      <c r="L533" s="46">
        <f>L510+L525+L526+L527+L531+L532</f>
        <v>15493.96</v>
      </c>
    </row>
    <row r="534" spans="1:12" ht="14.25" x14ac:dyDescent="0.2">
      <c r="A534" s="54"/>
      <c r="B534" s="58"/>
      <c r="C534" s="167" t="s">
        <v>540</v>
      </c>
      <c r="D534" s="168"/>
      <c r="E534" s="168"/>
      <c r="F534" s="168"/>
      <c r="G534" s="168"/>
      <c r="H534" s="168"/>
      <c r="I534" s="45"/>
      <c r="J534" s="54"/>
      <c r="K534" s="42"/>
      <c r="L534" s="45"/>
    </row>
    <row r="535" spans="1:12" ht="14.25" hidden="1" x14ac:dyDescent="0.2">
      <c r="A535" s="54"/>
      <c r="B535" s="58"/>
      <c r="C535" s="168" t="s">
        <v>541</v>
      </c>
      <c r="D535" s="168"/>
      <c r="E535" s="168"/>
      <c r="F535" s="168"/>
      <c r="G535" s="168"/>
      <c r="H535" s="168"/>
      <c r="I535" s="45"/>
      <c r="J535" s="54"/>
      <c r="K535" s="42"/>
      <c r="L535" s="45">
        <f>SUM(AX457:AX508)</f>
        <v>0</v>
      </c>
    </row>
    <row r="536" spans="1:12" ht="14.25" hidden="1" x14ac:dyDescent="0.2">
      <c r="A536" s="54"/>
      <c r="B536" s="58"/>
      <c r="C536" s="168" t="s">
        <v>542</v>
      </c>
      <c r="D536" s="168"/>
      <c r="E536" s="168"/>
      <c r="F536" s="168"/>
      <c r="G536" s="168"/>
      <c r="H536" s="168"/>
      <c r="I536" s="45"/>
      <c r="J536" s="54"/>
      <c r="K536" s="42"/>
      <c r="L536" s="45">
        <f>SUM(AY457:AY508)</f>
        <v>0</v>
      </c>
    </row>
    <row r="537" spans="1:12" ht="14.25" x14ac:dyDescent="0.2">
      <c r="A537" s="54"/>
      <c r="B537" s="58"/>
      <c r="C537" s="168" t="s">
        <v>543</v>
      </c>
      <c r="D537" s="168"/>
      <c r="E537" s="168"/>
      <c r="F537" s="169"/>
      <c r="G537" s="44">
        <f>Source!F180</f>
        <v>19.9481</v>
      </c>
      <c r="H537" s="54"/>
      <c r="I537" s="54"/>
      <c r="J537" s="54"/>
      <c r="K537" s="54"/>
      <c r="L537" s="54"/>
    </row>
    <row r="538" spans="1:12" ht="14.25" x14ac:dyDescent="0.2">
      <c r="A538" s="54"/>
      <c r="B538" s="58"/>
      <c r="C538" s="168" t="s">
        <v>544</v>
      </c>
      <c r="D538" s="168"/>
      <c r="E538" s="168"/>
      <c r="F538" s="169"/>
      <c r="G538" s="44">
        <f>Source!F181</f>
        <v>1.155</v>
      </c>
      <c r="H538" s="54"/>
      <c r="I538" s="54"/>
      <c r="J538" s="54"/>
      <c r="K538" s="54"/>
      <c r="L538" s="54"/>
    </row>
    <row r="541" spans="1:12" ht="15" x14ac:dyDescent="0.2">
      <c r="A541" s="63"/>
      <c r="B541" s="64"/>
      <c r="C541" s="170" t="s">
        <v>565</v>
      </c>
      <c r="D541" s="170"/>
      <c r="E541" s="170"/>
      <c r="F541" s="170"/>
      <c r="G541" s="170"/>
      <c r="H541" s="170"/>
      <c r="I541" s="65"/>
      <c r="J541" s="63"/>
      <c r="K541" s="66"/>
      <c r="L541" s="65"/>
    </row>
    <row r="543" spans="1:12" ht="15" x14ac:dyDescent="0.2">
      <c r="A543" s="59"/>
      <c r="B543" s="60"/>
      <c r="C543" s="166" t="s">
        <v>566</v>
      </c>
      <c r="D543" s="166"/>
      <c r="E543" s="166"/>
      <c r="F543" s="166"/>
      <c r="G543" s="166"/>
      <c r="H543" s="166"/>
      <c r="I543" s="46"/>
      <c r="J543" s="59"/>
      <c r="K543" s="61"/>
      <c r="L543" s="46">
        <f>L545+L560+L561</f>
        <v>302909.68</v>
      </c>
    </row>
    <row r="544" spans="1:12" ht="14.25" x14ac:dyDescent="0.2">
      <c r="A544" s="54"/>
      <c r="B544" s="58"/>
      <c r="C544" s="167" t="s">
        <v>521</v>
      </c>
      <c r="D544" s="168"/>
      <c r="E544" s="168"/>
      <c r="F544" s="168"/>
      <c r="G544" s="168"/>
      <c r="H544" s="168"/>
      <c r="I544" s="45"/>
      <c r="J544" s="54"/>
      <c r="K544" s="42"/>
      <c r="L544" s="45"/>
    </row>
    <row r="545" spans="1:12" ht="14.25" x14ac:dyDescent="0.2">
      <c r="A545" s="54"/>
      <c r="B545" s="58"/>
      <c r="C545" s="168" t="s">
        <v>567</v>
      </c>
      <c r="D545" s="168"/>
      <c r="E545" s="168"/>
      <c r="F545" s="168"/>
      <c r="G545" s="168"/>
      <c r="H545" s="168"/>
      <c r="I545" s="45"/>
      <c r="J545" s="54"/>
      <c r="K545" s="42"/>
      <c r="L545" s="45">
        <f>L547+L548+L554+L558</f>
        <v>197995.69000000003</v>
      </c>
    </row>
    <row r="546" spans="1:12" ht="14.25" x14ac:dyDescent="0.2">
      <c r="A546" s="54"/>
      <c r="B546" s="58"/>
      <c r="C546" s="167" t="s">
        <v>521</v>
      </c>
      <c r="D546" s="168"/>
      <c r="E546" s="168"/>
      <c r="F546" s="168"/>
      <c r="G546" s="168"/>
      <c r="H546" s="168"/>
      <c r="I546" s="45"/>
      <c r="J546" s="54"/>
      <c r="K546" s="42"/>
      <c r="L546" s="45"/>
    </row>
    <row r="547" spans="1:12" ht="14.25" x14ac:dyDescent="0.2">
      <c r="A547" s="54"/>
      <c r="B547" s="58"/>
      <c r="C547" s="168" t="s">
        <v>568</v>
      </c>
      <c r="D547" s="168"/>
      <c r="E547" s="168"/>
      <c r="F547" s="168"/>
      <c r="G547" s="168"/>
      <c r="H547" s="168"/>
      <c r="I547" s="45"/>
      <c r="J547" s="54"/>
      <c r="K547" s="42"/>
      <c r="L547" s="45">
        <f>SUMIF(CD52:CD539, 1, AR52:AR539)</f>
        <v>73826.7</v>
      </c>
    </row>
    <row r="548" spans="1:12" ht="14.25" hidden="1" x14ac:dyDescent="0.2">
      <c r="A548" s="54"/>
      <c r="B548" s="58"/>
      <c r="C548" s="168" t="s">
        <v>523</v>
      </c>
      <c r="D548" s="168"/>
      <c r="E548" s="168"/>
      <c r="F548" s="168"/>
      <c r="G548" s="168"/>
      <c r="H548" s="168"/>
      <c r="I548" s="45"/>
      <c r="J548" s="54"/>
      <c r="K548" s="42"/>
      <c r="L548" s="45">
        <f>L550+L553+L552</f>
        <v>1249.4000000000001</v>
      </c>
    </row>
    <row r="549" spans="1:12" ht="14.25" hidden="1" x14ac:dyDescent="0.2">
      <c r="A549" s="54"/>
      <c r="B549" s="58"/>
      <c r="C549" s="167" t="s">
        <v>524</v>
      </c>
      <c r="D549" s="168"/>
      <c r="E549" s="168"/>
      <c r="F549" s="168"/>
      <c r="G549" s="168"/>
      <c r="H549" s="168"/>
      <c r="I549" s="45"/>
      <c r="J549" s="54"/>
      <c r="K549" s="42"/>
      <c r="L549" s="45"/>
    </row>
    <row r="550" spans="1:12" ht="14.25" x14ac:dyDescent="0.2">
      <c r="A550" s="54"/>
      <c r="B550" s="58"/>
      <c r="C550" s="168" t="s">
        <v>523</v>
      </c>
      <c r="D550" s="168"/>
      <c r="E550" s="168"/>
      <c r="F550" s="168"/>
      <c r="G550" s="168"/>
      <c r="H550" s="168"/>
      <c r="I550" s="45"/>
      <c r="J550" s="54"/>
      <c r="K550" s="42"/>
      <c r="L550" s="45">
        <f>SUMIF(CD52:CD539, 1, AO52:AO539)</f>
        <v>756.40000000000009</v>
      </c>
    </row>
    <row r="551" spans="1:12" ht="14.25" hidden="1" x14ac:dyDescent="0.2">
      <c r="A551" s="54"/>
      <c r="B551" s="58"/>
      <c r="C551" s="167" t="s">
        <v>525</v>
      </c>
      <c r="D551" s="168"/>
      <c r="E551" s="168"/>
      <c r="F551" s="168"/>
      <c r="G551" s="168"/>
      <c r="H551" s="168"/>
      <c r="I551" s="45"/>
      <c r="J551" s="54"/>
      <c r="K551" s="42"/>
      <c r="L551" s="45"/>
    </row>
    <row r="552" spans="1:12" ht="14.25" x14ac:dyDescent="0.2">
      <c r="A552" s="54"/>
      <c r="B552" s="58"/>
      <c r="C552" s="168" t="s">
        <v>545</v>
      </c>
      <c r="D552" s="168"/>
      <c r="E552" s="168"/>
      <c r="F552" s="168"/>
      <c r="G552" s="168"/>
      <c r="H552" s="168"/>
      <c r="I552" s="45"/>
      <c r="J552" s="54"/>
      <c r="K552" s="42"/>
      <c r="L552" s="45">
        <f>SUMIF(CD52:CD539, 1, AT52:AT539)</f>
        <v>493</v>
      </c>
    </row>
    <row r="553" spans="1:12" ht="14.25" hidden="1" x14ac:dyDescent="0.2">
      <c r="A553" s="54"/>
      <c r="B553" s="58"/>
      <c r="C553" s="168" t="s">
        <v>526</v>
      </c>
      <c r="D553" s="168"/>
      <c r="E553" s="168"/>
      <c r="F553" s="168"/>
      <c r="G553" s="168"/>
      <c r="H553" s="168"/>
      <c r="I553" s="45"/>
      <c r="J553" s="54"/>
      <c r="K553" s="42"/>
      <c r="L553" s="45">
        <f>SUMIF(CD52:CD539, 1, AV52:AV539)</f>
        <v>0</v>
      </c>
    </row>
    <row r="554" spans="1:12" ht="14.25" x14ac:dyDescent="0.2">
      <c r="A554" s="54"/>
      <c r="B554" s="58"/>
      <c r="C554" s="168" t="s">
        <v>527</v>
      </c>
      <c r="D554" s="168"/>
      <c r="E554" s="168"/>
      <c r="F554" s="168"/>
      <c r="G554" s="168"/>
      <c r="H554" s="168"/>
      <c r="I554" s="45"/>
      <c r="J554" s="54"/>
      <c r="K554" s="42"/>
      <c r="L554" s="45">
        <f>L556+L557</f>
        <v>121808.12000000002</v>
      </c>
    </row>
    <row r="555" spans="1:12" ht="14.25" x14ac:dyDescent="0.2">
      <c r="A555" s="54"/>
      <c r="B555" s="58"/>
      <c r="C555" s="167" t="s">
        <v>524</v>
      </c>
      <c r="D555" s="168"/>
      <c r="E555" s="168"/>
      <c r="F555" s="168"/>
      <c r="G555" s="168"/>
      <c r="H555" s="168"/>
      <c r="I555" s="45"/>
      <c r="J555" s="54"/>
      <c r="K555" s="42"/>
      <c r="L555" s="45"/>
    </row>
    <row r="556" spans="1:12" ht="14.25" x14ac:dyDescent="0.2">
      <c r="A556" s="54"/>
      <c r="B556" s="58"/>
      <c r="C556" s="168" t="s">
        <v>528</v>
      </c>
      <c r="D556" s="168"/>
      <c r="E556" s="168"/>
      <c r="F556" s="168"/>
      <c r="G556" s="168"/>
      <c r="H556" s="168"/>
      <c r="I556" s="45"/>
      <c r="J556" s="54"/>
      <c r="K556" s="42"/>
      <c r="L556" s="45">
        <f>SUMIF(CD52:CD539, 1, AW52:AW539)-SUMIF(CD52:CD539, 1, BK52:BK539)</f>
        <v>121808.12000000002</v>
      </c>
    </row>
    <row r="557" spans="1:12" ht="14.25" hidden="1" x14ac:dyDescent="0.2">
      <c r="A557" s="54"/>
      <c r="B557" s="58"/>
      <c r="C557" s="168" t="s">
        <v>529</v>
      </c>
      <c r="D557" s="168"/>
      <c r="E557" s="168"/>
      <c r="F557" s="168"/>
      <c r="G557" s="168"/>
      <c r="H557" s="168"/>
      <c r="I557" s="45"/>
      <c r="J557" s="54"/>
      <c r="K557" s="42"/>
      <c r="L557" s="45">
        <f>SUMIF(CD52:CD539, 1, BC52:BC539)</f>
        <v>0</v>
      </c>
    </row>
    <row r="558" spans="1:12" ht="14.25" x14ac:dyDescent="0.2">
      <c r="A558" s="54"/>
      <c r="B558" s="58"/>
      <c r="C558" s="168" t="s">
        <v>530</v>
      </c>
      <c r="D558" s="168"/>
      <c r="E558" s="168"/>
      <c r="F558" s="168"/>
      <c r="G558" s="168"/>
      <c r="H558" s="168"/>
      <c r="I558" s="45"/>
      <c r="J558" s="54"/>
      <c r="K558" s="42"/>
      <c r="L558" s="45">
        <f>SUMIF(CD52:CD539, 1, BB52:BB539)</f>
        <v>1111.47</v>
      </c>
    </row>
    <row r="559" spans="1:12" ht="14.25" x14ac:dyDescent="0.2">
      <c r="A559" s="54"/>
      <c r="B559" s="58"/>
      <c r="C559" s="168" t="s">
        <v>569</v>
      </c>
      <c r="D559" s="168"/>
      <c r="E559" s="168"/>
      <c r="F559" s="168"/>
      <c r="G559" s="168"/>
      <c r="H559" s="168"/>
      <c r="I559" s="45"/>
      <c r="J559" s="54"/>
      <c r="K559" s="42"/>
      <c r="L559" s="45">
        <f>SUMIF(CD52:CD539, 1, AR52:AR539)+SUMIF(CD52:CD539, 1, AT52:AT539)+SUMIF(CD52:CD539, 1, AV52:AV539)</f>
        <v>74319.7</v>
      </c>
    </row>
    <row r="560" spans="1:12" ht="14.25" x14ac:dyDescent="0.2">
      <c r="A560" s="54"/>
      <c r="B560" s="58"/>
      <c r="C560" s="168" t="s">
        <v>570</v>
      </c>
      <c r="D560" s="168"/>
      <c r="E560" s="168"/>
      <c r="F560" s="168"/>
      <c r="G560" s="168"/>
      <c r="H560" s="168"/>
      <c r="I560" s="45"/>
      <c r="J560" s="54"/>
      <c r="K560" s="42"/>
      <c r="L560" s="45">
        <f>SUMIF(CD52:CD539, 1, AZ52:AZ539)</f>
        <v>69448.759999999995</v>
      </c>
    </row>
    <row r="561" spans="1:12" ht="14.25" x14ac:dyDescent="0.2">
      <c r="A561" s="54"/>
      <c r="B561" s="58"/>
      <c r="C561" s="168" t="s">
        <v>571</v>
      </c>
      <c r="D561" s="168"/>
      <c r="E561" s="168"/>
      <c r="F561" s="168"/>
      <c r="G561" s="168"/>
      <c r="H561" s="168"/>
      <c r="I561" s="45"/>
      <c r="J561" s="54"/>
      <c r="K561" s="42"/>
      <c r="L561" s="45">
        <f>SUMIF(CD52:CD539, 1, BA52:BA539)</f>
        <v>35465.230000000003</v>
      </c>
    </row>
    <row r="563" spans="1:12" ht="15" x14ac:dyDescent="0.2">
      <c r="A563" s="59"/>
      <c r="B563" s="60"/>
      <c r="C563" s="166" t="s">
        <v>572</v>
      </c>
      <c r="D563" s="166"/>
      <c r="E563" s="166"/>
      <c r="F563" s="166"/>
      <c r="G563" s="166"/>
      <c r="H563" s="166"/>
      <c r="I563" s="46"/>
      <c r="J563" s="59"/>
      <c r="K563" s="61"/>
      <c r="L563" s="46">
        <f>L565+L580+L581</f>
        <v>22090.32</v>
      </c>
    </row>
    <row r="564" spans="1:12" ht="14.25" x14ac:dyDescent="0.2">
      <c r="A564" s="54"/>
      <c r="B564" s="58"/>
      <c r="C564" s="167" t="s">
        <v>521</v>
      </c>
      <c r="D564" s="168"/>
      <c r="E564" s="168"/>
      <c r="F564" s="168"/>
      <c r="G564" s="168"/>
      <c r="H564" s="168"/>
      <c r="I564" s="45"/>
      <c r="J564" s="54"/>
      <c r="K564" s="42"/>
      <c r="L564" s="45"/>
    </row>
    <row r="565" spans="1:12" ht="14.25" x14ac:dyDescent="0.2">
      <c r="A565" s="54"/>
      <c r="B565" s="58"/>
      <c r="C565" s="168" t="s">
        <v>567</v>
      </c>
      <c r="D565" s="168"/>
      <c r="E565" s="168"/>
      <c r="F565" s="168"/>
      <c r="G565" s="168"/>
      <c r="H565" s="168"/>
      <c r="I565" s="45"/>
      <c r="J565" s="54"/>
      <c r="K565" s="42"/>
      <c r="L565" s="45">
        <f>L567+L568+L574+L578</f>
        <v>13749.599999999999</v>
      </c>
    </row>
    <row r="566" spans="1:12" ht="14.25" x14ac:dyDescent="0.2">
      <c r="A566" s="54"/>
      <c r="B566" s="58"/>
      <c r="C566" s="167" t="s">
        <v>521</v>
      </c>
      <c r="D566" s="168"/>
      <c r="E566" s="168"/>
      <c r="F566" s="168"/>
      <c r="G566" s="168"/>
      <c r="H566" s="168"/>
      <c r="I566" s="45"/>
      <c r="J566" s="54"/>
      <c r="K566" s="42"/>
      <c r="L566" s="45"/>
    </row>
    <row r="567" spans="1:12" ht="14.25" x14ac:dyDescent="0.2">
      <c r="A567" s="54"/>
      <c r="B567" s="58"/>
      <c r="C567" s="168" t="s">
        <v>568</v>
      </c>
      <c r="D567" s="168"/>
      <c r="E567" s="168"/>
      <c r="F567" s="168"/>
      <c r="G567" s="168"/>
      <c r="H567" s="168"/>
      <c r="I567" s="45"/>
      <c r="J567" s="54"/>
      <c r="K567" s="42"/>
      <c r="L567" s="45">
        <f>SUMIF(CD52:CD561, 2, AR52:AR561)</f>
        <v>5608.58</v>
      </c>
    </row>
    <row r="568" spans="1:12" ht="14.25" hidden="1" x14ac:dyDescent="0.2">
      <c r="A568" s="54"/>
      <c r="B568" s="58"/>
      <c r="C568" s="168" t="s">
        <v>523</v>
      </c>
      <c r="D568" s="168"/>
      <c r="E568" s="168"/>
      <c r="F568" s="168"/>
      <c r="G568" s="168"/>
      <c r="H568" s="168"/>
      <c r="I568" s="45"/>
      <c r="J568" s="54"/>
      <c r="K568" s="42"/>
      <c r="L568" s="45">
        <f>L570+L573+L572</f>
        <v>111.03</v>
      </c>
    </row>
    <row r="569" spans="1:12" ht="14.25" hidden="1" x14ac:dyDescent="0.2">
      <c r="A569" s="54"/>
      <c r="B569" s="58"/>
      <c r="C569" s="167" t="s">
        <v>524</v>
      </c>
      <c r="D569" s="168"/>
      <c r="E569" s="168"/>
      <c r="F569" s="168"/>
      <c r="G569" s="168"/>
      <c r="H569" s="168"/>
      <c r="I569" s="45"/>
      <c r="J569" s="54"/>
      <c r="K569" s="42"/>
      <c r="L569" s="45"/>
    </row>
    <row r="570" spans="1:12" ht="14.25" x14ac:dyDescent="0.2">
      <c r="A570" s="54"/>
      <c r="B570" s="58"/>
      <c r="C570" s="168" t="s">
        <v>523</v>
      </c>
      <c r="D570" s="168"/>
      <c r="E570" s="168"/>
      <c r="F570" s="168"/>
      <c r="G570" s="168"/>
      <c r="H570" s="168"/>
      <c r="I570" s="45"/>
      <c r="J570" s="54"/>
      <c r="K570" s="42"/>
      <c r="L570" s="45">
        <f>SUMIF(CD52:CD561, 2, AO52:AO561)</f>
        <v>83.99</v>
      </c>
    </row>
    <row r="571" spans="1:12" ht="14.25" hidden="1" x14ac:dyDescent="0.2">
      <c r="A571" s="54"/>
      <c r="B571" s="58"/>
      <c r="C571" s="167" t="s">
        <v>525</v>
      </c>
      <c r="D571" s="168"/>
      <c r="E571" s="168"/>
      <c r="F571" s="168"/>
      <c r="G571" s="168"/>
      <c r="H571" s="168"/>
      <c r="I571" s="45"/>
      <c r="J571" s="54"/>
      <c r="K571" s="42"/>
      <c r="L571" s="45"/>
    </row>
    <row r="572" spans="1:12" ht="14.25" x14ac:dyDescent="0.2">
      <c r="A572" s="54"/>
      <c r="B572" s="58"/>
      <c r="C572" s="168" t="s">
        <v>545</v>
      </c>
      <c r="D572" s="168"/>
      <c r="E572" s="168"/>
      <c r="F572" s="168"/>
      <c r="G572" s="168"/>
      <c r="H572" s="168"/>
      <c r="I572" s="45"/>
      <c r="J572" s="54"/>
      <c r="K572" s="42"/>
      <c r="L572" s="45">
        <f>SUMIF(CD52:CD561, 2, AT52:AT561)</f>
        <v>27.04</v>
      </c>
    </row>
    <row r="573" spans="1:12" ht="14.25" hidden="1" x14ac:dyDescent="0.2">
      <c r="A573" s="54"/>
      <c r="B573" s="58"/>
      <c r="C573" s="168" t="s">
        <v>526</v>
      </c>
      <c r="D573" s="168"/>
      <c r="E573" s="168"/>
      <c r="F573" s="168"/>
      <c r="G573" s="168"/>
      <c r="H573" s="168"/>
      <c r="I573" s="45"/>
      <c r="J573" s="54"/>
      <c r="K573" s="42"/>
      <c r="L573" s="45">
        <f>SUMIF(CD52:CD561, 2, AV52:AV561)</f>
        <v>0</v>
      </c>
    </row>
    <row r="574" spans="1:12" ht="14.25" x14ac:dyDescent="0.2">
      <c r="A574" s="54"/>
      <c r="B574" s="58"/>
      <c r="C574" s="168" t="s">
        <v>527</v>
      </c>
      <c r="D574" s="168"/>
      <c r="E574" s="168"/>
      <c r="F574" s="168"/>
      <c r="G574" s="168"/>
      <c r="H574" s="168"/>
      <c r="I574" s="45"/>
      <c r="J574" s="54"/>
      <c r="K574" s="42"/>
      <c r="L574" s="45">
        <f>L576+L577</f>
        <v>8029.99</v>
      </c>
    </row>
    <row r="575" spans="1:12" ht="14.25" x14ac:dyDescent="0.2">
      <c r="A575" s="54"/>
      <c r="B575" s="58"/>
      <c r="C575" s="167" t="s">
        <v>524</v>
      </c>
      <c r="D575" s="168"/>
      <c r="E575" s="168"/>
      <c r="F575" s="168"/>
      <c r="G575" s="168"/>
      <c r="H575" s="168"/>
      <c r="I575" s="45"/>
      <c r="J575" s="54"/>
      <c r="K575" s="42"/>
      <c r="L575" s="45"/>
    </row>
    <row r="576" spans="1:12" ht="14.25" x14ac:dyDescent="0.2">
      <c r="A576" s="54"/>
      <c r="B576" s="58"/>
      <c r="C576" s="168" t="s">
        <v>528</v>
      </c>
      <c r="D576" s="168"/>
      <c r="E576" s="168"/>
      <c r="F576" s="168"/>
      <c r="G576" s="168"/>
      <c r="H576" s="168"/>
      <c r="I576" s="45"/>
      <c r="J576" s="54"/>
      <c r="K576" s="42"/>
      <c r="L576" s="45">
        <f>SUMIF(CD52:CD561, 2, AW52:AW561)-SUMIF(CD52:CD561, 2, BK52:BK561)</f>
        <v>8029.99</v>
      </c>
    </row>
    <row r="577" spans="1:12" ht="14.25" hidden="1" x14ac:dyDescent="0.2">
      <c r="A577" s="54"/>
      <c r="B577" s="58"/>
      <c r="C577" s="168" t="s">
        <v>529</v>
      </c>
      <c r="D577" s="168"/>
      <c r="E577" s="168"/>
      <c r="F577" s="168"/>
      <c r="G577" s="168"/>
      <c r="H577" s="168"/>
      <c r="I577" s="45"/>
      <c r="J577" s="54"/>
      <c r="K577" s="42"/>
      <c r="L577" s="45">
        <f>SUMIF(CD52:CD561, 2, BC52:BC561)</f>
        <v>0</v>
      </c>
    </row>
    <row r="578" spans="1:12" ht="14.25" hidden="1" x14ac:dyDescent="0.2">
      <c r="A578" s="54"/>
      <c r="B578" s="58"/>
      <c r="C578" s="168" t="s">
        <v>530</v>
      </c>
      <c r="D578" s="168"/>
      <c r="E578" s="168"/>
      <c r="F578" s="168"/>
      <c r="G578" s="168"/>
      <c r="H578" s="168"/>
      <c r="I578" s="45"/>
      <c r="J578" s="54"/>
      <c r="K578" s="42"/>
      <c r="L578" s="45">
        <f>SUMIF(CD52:CD561, 2, BB52:BB561)</f>
        <v>0</v>
      </c>
    </row>
    <row r="579" spans="1:12" ht="14.25" x14ac:dyDescent="0.2">
      <c r="A579" s="54"/>
      <c r="B579" s="58"/>
      <c r="C579" s="168" t="s">
        <v>569</v>
      </c>
      <c r="D579" s="168"/>
      <c r="E579" s="168"/>
      <c r="F579" s="168"/>
      <c r="G579" s="168"/>
      <c r="H579" s="168"/>
      <c r="I579" s="45"/>
      <c r="J579" s="54"/>
      <c r="K579" s="42"/>
      <c r="L579" s="45">
        <f>SUMIF(CD52:CD561, 2, AR52:AR561)+SUMIF(CD52:CD561, 2, AT52:AT561)+SUMIF(CD52:CD561, 2, AV52:AV561)</f>
        <v>5635.62</v>
      </c>
    </row>
    <row r="580" spans="1:12" ht="14.25" x14ac:dyDescent="0.2">
      <c r="A580" s="54"/>
      <c r="B580" s="58"/>
      <c r="C580" s="168" t="s">
        <v>570</v>
      </c>
      <c r="D580" s="168"/>
      <c r="E580" s="168"/>
      <c r="F580" s="168"/>
      <c r="G580" s="168"/>
      <c r="H580" s="168"/>
      <c r="I580" s="45"/>
      <c r="J580" s="54"/>
      <c r="K580" s="42"/>
      <c r="L580" s="45">
        <f>SUMIF(CD52:CD561, 2, AZ52:AZ561)</f>
        <v>5466.5499999999993</v>
      </c>
    </row>
    <row r="581" spans="1:12" ht="14.25" x14ac:dyDescent="0.2">
      <c r="A581" s="54"/>
      <c r="B581" s="58"/>
      <c r="C581" s="168" t="s">
        <v>571</v>
      </c>
      <c r="D581" s="168"/>
      <c r="E581" s="168"/>
      <c r="F581" s="168"/>
      <c r="G581" s="168"/>
      <c r="H581" s="168"/>
      <c r="I581" s="45"/>
      <c r="J581" s="54"/>
      <c r="K581" s="42"/>
      <c r="L581" s="45">
        <f>SUMIF(CD52:CD561, 2, BA52:BA561)</f>
        <v>2874.17</v>
      </c>
    </row>
    <row r="582" spans="1:12" hidden="1" x14ac:dyDescent="0.2"/>
    <row r="583" spans="1:12" ht="15" hidden="1" x14ac:dyDescent="0.2">
      <c r="A583" s="59"/>
      <c r="B583" s="60"/>
      <c r="C583" s="166" t="s">
        <v>573</v>
      </c>
      <c r="D583" s="166"/>
      <c r="E583" s="166"/>
      <c r="F583" s="166"/>
      <c r="G583" s="166"/>
      <c r="H583" s="166"/>
      <c r="I583" s="46"/>
      <c r="J583" s="59"/>
      <c r="K583" s="61"/>
      <c r="L583" s="46">
        <f>L585+L586</f>
        <v>0</v>
      </c>
    </row>
    <row r="584" spans="1:12" ht="14.25" hidden="1" x14ac:dyDescent="0.2">
      <c r="A584" s="54"/>
      <c r="B584" s="58"/>
      <c r="C584" s="167" t="s">
        <v>521</v>
      </c>
      <c r="D584" s="168"/>
      <c r="E584" s="168"/>
      <c r="F584" s="168"/>
      <c r="G584" s="168"/>
      <c r="H584" s="168"/>
      <c r="I584" s="45"/>
      <c r="J584" s="54"/>
      <c r="K584" s="42"/>
      <c r="L584" s="45"/>
    </row>
    <row r="585" spans="1:12" ht="14.25" hidden="1" x14ac:dyDescent="0.2">
      <c r="A585" s="54"/>
      <c r="B585" s="58"/>
      <c r="C585" s="168" t="s">
        <v>535</v>
      </c>
      <c r="D585" s="168"/>
      <c r="E585" s="168"/>
      <c r="F585" s="168"/>
      <c r="G585" s="168"/>
      <c r="H585" s="168"/>
      <c r="I585" s="45"/>
      <c r="J585" s="54"/>
      <c r="K585" s="42"/>
      <c r="L585" s="45">
        <f>SUMIF(CD52:CD581, 3, BK52:BK581)</f>
        <v>0</v>
      </c>
    </row>
    <row r="586" spans="1:12" ht="14.25" hidden="1" x14ac:dyDescent="0.2">
      <c r="A586" s="54"/>
      <c r="B586" s="58"/>
      <c r="C586" s="168" t="s">
        <v>536</v>
      </c>
      <c r="D586" s="168"/>
      <c r="E586" s="168"/>
      <c r="F586" s="168"/>
      <c r="G586" s="168"/>
      <c r="H586" s="168"/>
      <c r="I586" s="45"/>
      <c r="J586" s="54"/>
      <c r="K586" s="42"/>
      <c r="L586" s="45">
        <f>SUMIF(CD52:CD581, 3, BD52:BD581)</f>
        <v>0</v>
      </c>
    </row>
    <row r="587" spans="1:12" hidden="1" x14ac:dyDescent="0.2"/>
    <row r="588" spans="1:12" ht="15" hidden="1" x14ac:dyDescent="0.2">
      <c r="A588" s="59"/>
      <c r="B588" s="60"/>
      <c r="C588" s="166" t="s">
        <v>574</v>
      </c>
      <c r="D588" s="166"/>
      <c r="E588" s="166"/>
      <c r="F588" s="166"/>
      <c r="G588" s="166"/>
      <c r="H588" s="166"/>
      <c r="I588" s="46"/>
      <c r="J588" s="59"/>
      <c r="K588" s="61"/>
      <c r="L588" s="46">
        <f>L594+L609+L610+L590+L591</f>
        <v>0</v>
      </c>
    </row>
    <row r="589" spans="1:12" ht="14.25" hidden="1" x14ac:dyDescent="0.2">
      <c r="A589" s="54"/>
      <c r="B589" s="58"/>
      <c r="C589" s="167" t="s">
        <v>521</v>
      </c>
      <c r="D589" s="168"/>
      <c r="E589" s="168"/>
      <c r="F589" s="168"/>
      <c r="G589" s="168"/>
      <c r="H589" s="168"/>
      <c r="I589" s="45"/>
      <c r="J589" s="54"/>
      <c r="K589" s="42"/>
      <c r="L589" s="45"/>
    </row>
    <row r="590" spans="1:12" ht="14.25" hidden="1" x14ac:dyDescent="0.2">
      <c r="A590" s="54"/>
      <c r="B590" s="58"/>
      <c r="C590" s="168" t="s">
        <v>575</v>
      </c>
      <c r="D590" s="168"/>
      <c r="E590" s="168"/>
      <c r="F590" s="168"/>
      <c r="G590" s="168"/>
      <c r="H590" s="168"/>
      <c r="I590" s="45"/>
      <c r="J590" s="54"/>
      <c r="K590" s="42"/>
      <c r="L590" s="45"/>
    </row>
    <row r="591" spans="1:12" ht="14.25" hidden="1" x14ac:dyDescent="0.2">
      <c r="A591" s="54"/>
      <c r="B591" s="58"/>
      <c r="C591" s="168" t="s">
        <v>576</v>
      </c>
      <c r="D591" s="168"/>
      <c r="E591" s="168"/>
      <c r="F591" s="168"/>
      <c r="G591" s="168"/>
      <c r="H591" s="168"/>
      <c r="I591" s="45"/>
      <c r="J591" s="54"/>
      <c r="K591" s="42"/>
      <c r="L591" s="45">
        <f>SUM(BO52:BO586)</f>
        <v>0</v>
      </c>
    </row>
    <row r="592" spans="1:12" ht="14.25" hidden="1" x14ac:dyDescent="0.2">
      <c r="A592" s="54"/>
      <c r="B592" s="58"/>
      <c r="C592" s="168" t="s">
        <v>577</v>
      </c>
      <c r="D592" s="168"/>
      <c r="E592" s="168"/>
      <c r="F592" s="168"/>
      <c r="G592" s="168"/>
      <c r="H592" s="168"/>
      <c r="I592" s="45"/>
      <c r="J592" s="54"/>
      <c r="K592" s="42"/>
      <c r="L592" s="45">
        <f>L594+L609+L610</f>
        <v>0</v>
      </c>
    </row>
    <row r="593" spans="1:12" ht="14.25" hidden="1" x14ac:dyDescent="0.2">
      <c r="A593" s="54"/>
      <c r="B593" s="58"/>
      <c r="C593" s="167" t="s">
        <v>521</v>
      </c>
      <c r="D593" s="168"/>
      <c r="E593" s="168"/>
      <c r="F593" s="168"/>
      <c r="G593" s="168"/>
      <c r="H593" s="168"/>
      <c r="I593" s="45"/>
      <c r="J593" s="54"/>
      <c r="K593" s="42"/>
      <c r="L593" s="45"/>
    </row>
    <row r="594" spans="1:12" ht="14.25" hidden="1" x14ac:dyDescent="0.2">
      <c r="A594" s="54"/>
      <c r="B594" s="58"/>
      <c r="C594" s="168" t="s">
        <v>567</v>
      </c>
      <c r="D594" s="168"/>
      <c r="E594" s="168"/>
      <c r="F594" s="168"/>
      <c r="G594" s="168"/>
      <c r="H594" s="168"/>
      <c r="I594" s="45"/>
      <c r="J594" s="54"/>
      <c r="K594" s="42"/>
      <c r="L594" s="45">
        <f>L596+L597+L603+L607</f>
        <v>0</v>
      </c>
    </row>
    <row r="595" spans="1:12" ht="14.25" hidden="1" x14ac:dyDescent="0.2">
      <c r="A595" s="54"/>
      <c r="B595" s="58"/>
      <c r="C595" s="167" t="s">
        <v>521</v>
      </c>
      <c r="D595" s="168"/>
      <c r="E595" s="168"/>
      <c r="F595" s="168"/>
      <c r="G595" s="168"/>
      <c r="H595" s="168"/>
      <c r="I595" s="45"/>
      <c r="J595" s="54"/>
      <c r="K595" s="42"/>
      <c r="L595" s="45"/>
    </row>
    <row r="596" spans="1:12" ht="14.25" hidden="1" x14ac:dyDescent="0.2">
      <c r="A596" s="54"/>
      <c r="B596" s="58"/>
      <c r="C596" s="168" t="s">
        <v>568</v>
      </c>
      <c r="D596" s="168"/>
      <c r="E596" s="168"/>
      <c r="F596" s="168"/>
      <c r="G596" s="168"/>
      <c r="H596" s="168"/>
      <c r="I596" s="45"/>
      <c r="J596" s="54"/>
      <c r="K596" s="42"/>
      <c r="L596" s="45">
        <f>SUMIF(CD52:CD586, 4, AR52:AR586)</f>
        <v>0</v>
      </c>
    </row>
    <row r="597" spans="1:12" ht="14.25" hidden="1" x14ac:dyDescent="0.2">
      <c r="A597" s="54"/>
      <c r="B597" s="58"/>
      <c r="C597" s="168" t="s">
        <v>523</v>
      </c>
      <c r="D597" s="168"/>
      <c r="E597" s="168"/>
      <c r="F597" s="168"/>
      <c r="G597" s="168"/>
      <c r="H597" s="168"/>
      <c r="I597" s="45"/>
      <c r="J597" s="54"/>
      <c r="K597" s="42"/>
      <c r="L597" s="45">
        <f>L599+L602+L601</f>
        <v>0</v>
      </c>
    </row>
    <row r="598" spans="1:12" ht="14.25" hidden="1" x14ac:dyDescent="0.2">
      <c r="A598" s="54"/>
      <c r="B598" s="58"/>
      <c r="C598" s="167" t="s">
        <v>524</v>
      </c>
      <c r="D598" s="168"/>
      <c r="E598" s="168"/>
      <c r="F598" s="168"/>
      <c r="G598" s="168"/>
      <c r="H598" s="168"/>
      <c r="I598" s="45"/>
      <c r="J598" s="54"/>
      <c r="K598" s="42"/>
      <c r="L598" s="45"/>
    </row>
    <row r="599" spans="1:12" ht="14.25" hidden="1" x14ac:dyDescent="0.2">
      <c r="A599" s="54"/>
      <c r="B599" s="58"/>
      <c r="C599" s="168" t="s">
        <v>523</v>
      </c>
      <c r="D599" s="168"/>
      <c r="E599" s="168"/>
      <c r="F599" s="168"/>
      <c r="G599" s="168"/>
      <c r="H599" s="168"/>
      <c r="I599" s="45"/>
      <c r="J599" s="54"/>
      <c r="K599" s="42"/>
      <c r="L599" s="45">
        <f>SUMIF(CD52:CD586, 4, AO52:AO586)</f>
        <v>0</v>
      </c>
    </row>
    <row r="600" spans="1:12" ht="14.25" hidden="1" x14ac:dyDescent="0.2">
      <c r="A600" s="54"/>
      <c r="B600" s="58"/>
      <c r="C600" s="167" t="s">
        <v>525</v>
      </c>
      <c r="D600" s="168"/>
      <c r="E600" s="168"/>
      <c r="F600" s="168"/>
      <c r="G600" s="168"/>
      <c r="H600" s="168"/>
      <c r="I600" s="45"/>
      <c r="J600" s="54"/>
      <c r="K600" s="42"/>
      <c r="L600" s="45"/>
    </row>
    <row r="601" spans="1:12" ht="14.25" hidden="1" x14ac:dyDescent="0.2">
      <c r="A601" s="54"/>
      <c r="B601" s="58"/>
      <c r="C601" s="168" t="s">
        <v>545</v>
      </c>
      <c r="D601" s="168"/>
      <c r="E601" s="168"/>
      <c r="F601" s="168"/>
      <c r="G601" s="168"/>
      <c r="H601" s="168"/>
      <c r="I601" s="45"/>
      <c r="J601" s="54"/>
      <c r="K601" s="42"/>
      <c r="L601" s="45">
        <f>SUMIF(CD52:CD586, 4, AT52:AT586)</f>
        <v>0</v>
      </c>
    </row>
    <row r="602" spans="1:12" ht="14.25" hidden="1" x14ac:dyDescent="0.2">
      <c r="A602" s="54"/>
      <c r="B602" s="58"/>
      <c r="C602" s="168" t="s">
        <v>526</v>
      </c>
      <c r="D602" s="168"/>
      <c r="E602" s="168"/>
      <c r="F602" s="168"/>
      <c r="G602" s="168"/>
      <c r="H602" s="168"/>
      <c r="I602" s="45"/>
      <c r="J602" s="54"/>
      <c r="K602" s="42"/>
      <c r="L602" s="45">
        <f>SUMIF(CD52:CD586, 4, AV52:AV586)</f>
        <v>0</v>
      </c>
    </row>
    <row r="603" spans="1:12" ht="14.25" hidden="1" x14ac:dyDescent="0.2">
      <c r="A603" s="54"/>
      <c r="B603" s="58"/>
      <c r="C603" s="168" t="s">
        <v>527</v>
      </c>
      <c r="D603" s="168"/>
      <c r="E603" s="168"/>
      <c r="F603" s="168"/>
      <c r="G603" s="168"/>
      <c r="H603" s="168"/>
      <c r="I603" s="45"/>
      <c r="J603" s="54"/>
      <c r="K603" s="42"/>
      <c r="L603" s="45">
        <f>L605+L606</f>
        <v>0</v>
      </c>
    </row>
    <row r="604" spans="1:12" ht="14.25" hidden="1" x14ac:dyDescent="0.2">
      <c r="A604" s="54"/>
      <c r="B604" s="58"/>
      <c r="C604" s="167" t="s">
        <v>524</v>
      </c>
      <c r="D604" s="168"/>
      <c r="E604" s="168"/>
      <c r="F604" s="168"/>
      <c r="G604" s="168"/>
      <c r="H604" s="168"/>
      <c r="I604" s="45"/>
      <c r="J604" s="54"/>
      <c r="K604" s="42"/>
      <c r="L604" s="45"/>
    </row>
    <row r="605" spans="1:12" ht="14.25" hidden="1" x14ac:dyDescent="0.2">
      <c r="A605" s="54"/>
      <c r="B605" s="58"/>
      <c r="C605" s="168" t="s">
        <v>528</v>
      </c>
      <c r="D605" s="168"/>
      <c r="E605" s="168"/>
      <c r="F605" s="168"/>
      <c r="G605" s="168"/>
      <c r="H605" s="168"/>
      <c r="I605" s="45"/>
      <c r="J605" s="54"/>
      <c r="K605" s="42"/>
      <c r="L605" s="45">
        <f>SUMIF(CD52:CD586, 4, AW52:AW586)-SUMIF(CD52:CD586, 4, BK52:BK586)</f>
        <v>0</v>
      </c>
    </row>
    <row r="606" spans="1:12" ht="14.25" hidden="1" x14ac:dyDescent="0.2">
      <c r="A606" s="54"/>
      <c r="B606" s="58"/>
      <c r="C606" s="168" t="s">
        <v>529</v>
      </c>
      <c r="D606" s="168"/>
      <c r="E606" s="168"/>
      <c r="F606" s="168"/>
      <c r="G606" s="168"/>
      <c r="H606" s="168"/>
      <c r="I606" s="45"/>
      <c r="J606" s="54"/>
      <c r="K606" s="42"/>
      <c r="L606" s="45">
        <f>SUMIF(CD52:CD586, 4, BC52:BC586)</f>
        <v>0</v>
      </c>
    </row>
    <row r="607" spans="1:12" ht="14.25" hidden="1" x14ac:dyDescent="0.2">
      <c r="A607" s="54"/>
      <c r="B607" s="58"/>
      <c r="C607" s="168" t="s">
        <v>530</v>
      </c>
      <c r="D607" s="168"/>
      <c r="E607" s="168"/>
      <c r="F607" s="168"/>
      <c r="G607" s="168"/>
      <c r="H607" s="168"/>
      <c r="I607" s="45"/>
      <c r="J607" s="54"/>
      <c r="K607" s="42"/>
      <c r="L607" s="45">
        <f>SUMIF(CD52:CD586, 4, BB52:BB586)</f>
        <v>0</v>
      </c>
    </row>
    <row r="608" spans="1:12" ht="14.25" hidden="1" x14ac:dyDescent="0.2">
      <c r="A608" s="54"/>
      <c r="B608" s="58"/>
      <c r="C608" s="168" t="s">
        <v>569</v>
      </c>
      <c r="D608" s="168"/>
      <c r="E608" s="168"/>
      <c r="F608" s="168"/>
      <c r="G608" s="168"/>
      <c r="H608" s="168"/>
      <c r="I608" s="45"/>
      <c r="J608" s="54"/>
      <c r="K608" s="42"/>
      <c r="L608" s="45">
        <f>SUMIF(CD52:CD586, 4, AR52:AR586)+SUMIF(CD52:CD586, 4, AT52:AT586)+SUMIF(CD52:CD586, 4, AV52:AV586)</f>
        <v>0</v>
      </c>
    </row>
    <row r="609" spans="1:12" ht="14.25" hidden="1" x14ac:dyDescent="0.2">
      <c r="A609" s="54"/>
      <c r="B609" s="58"/>
      <c r="C609" s="168" t="s">
        <v>570</v>
      </c>
      <c r="D609" s="168"/>
      <c r="E609" s="168"/>
      <c r="F609" s="168"/>
      <c r="G609" s="168"/>
      <c r="H609" s="168"/>
      <c r="I609" s="45"/>
      <c r="J609" s="54"/>
      <c r="K609" s="42"/>
      <c r="L609" s="45">
        <f>SUMIF(CD52:CD586, 4, AZ52:AZ586)</f>
        <v>0</v>
      </c>
    </row>
    <row r="610" spans="1:12" ht="14.25" hidden="1" x14ac:dyDescent="0.2">
      <c r="A610" s="54"/>
      <c r="B610" s="58"/>
      <c r="C610" s="168" t="s">
        <v>571</v>
      </c>
      <c r="D610" s="168"/>
      <c r="E610" s="168"/>
      <c r="F610" s="168"/>
      <c r="G610" s="168"/>
      <c r="H610" s="168"/>
      <c r="I610" s="45"/>
      <c r="J610" s="54"/>
      <c r="K610" s="42"/>
      <c r="L610" s="45">
        <f>SUMIF(CD52:CD586, 4, BA52:BA586)</f>
        <v>0</v>
      </c>
    </row>
    <row r="612" spans="1:12" ht="15" x14ac:dyDescent="0.2">
      <c r="A612" s="59"/>
      <c r="B612" s="60"/>
      <c r="C612" s="166" t="s">
        <v>578</v>
      </c>
      <c r="D612" s="166"/>
      <c r="E612" s="166"/>
      <c r="F612" s="166"/>
      <c r="G612" s="166"/>
      <c r="H612" s="166"/>
      <c r="I612" s="46"/>
      <c r="J612" s="59"/>
      <c r="K612" s="61"/>
      <c r="L612" s="46">
        <f>L543+L563+L583+L588</f>
        <v>325000</v>
      </c>
    </row>
    <row r="613" spans="1:12" ht="14.25" x14ac:dyDescent="0.2">
      <c r="A613" s="54"/>
      <c r="B613" s="58"/>
      <c r="C613" s="167" t="s">
        <v>521</v>
      </c>
      <c r="D613" s="168"/>
      <c r="E613" s="168"/>
      <c r="F613" s="168"/>
      <c r="G613" s="168"/>
      <c r="H613" s="168"/>
      <c r="I613" s="45"/>
      <c r="J613" s="54"/>
      <c r="K613" s="42"/>
      <c r="L613" s="45"/>
    </row>
    <row r="614" spans="1:12" ht="14.25" x14ac:dyDescent="0.2">
      <c r="A614" s="54"/>
      <c r="B614" s="58"/>
      <c r="C614" s="168" t="s">
        <v>567</v>
      </c>
      <c r="D614" s="168"/>
      <c r="E614" s="168"/>
      <c r="F614" s="168"/>
      <c r="G614" s="168"/>
      <c r="H614" s="168"/>
      <c r="I614" s="45"/>
      <c r="J614" s="54"/>
      <c r="K614" s="42"/>
      <c r="L614" s="45">
        <f>L616+L617+L623+L627</f>
        <v>211745.29</v>
      </c>
    </row>
    <row r="615" spans="1:12" ht="14.25" x14ac:dyDescent="0.2">
      <c r="A615" s="54"/>
      <c r="B615" s="58"/>
      <c r="C615" s="167" t="s">
        <v>521</v>
      </c>
      <c r="D615" s="168"/>
      <c r="E615" s="168"/>
      <c r="F615" s="168"/>
      <c r="G615" s="168"/>
      <c r="H615" s="168"/>
      <c r="I615" s="45"/>
      <c r="J615" s="54"/>
      <c r="K615" s="42"/>
      <c r="L615" s="45"/>
    </row>
    <row r="616" spans="1:12" ht="14.25" x14ac:dyDescent="0.2">
      <c r="A616" s="54"/>
      <c r="B616" s="58"/>
      <c r="C616" s="168" t="s">
        <v>568</v>
      </c>
      <c r="D616" s="168"/>
      <c r="E616" s="168"/>
      <c r="F616" s="168"/>
      <c r="G616" s="168"/>
      <c r="H616" s="168"/>
      <c r="I616" s="45"/>
      <c r="J616" s="54"/>
      <c r="K616" s="42"/>
      <c r="L616" s="45">
        <f>SUM(AR52:AR610)</f>
        <v>79435.28</v>
      </c>
    </row>
    <row r="617" spans="1:12" ht="14.25" hidden="1" x14ac:dyDescent="0.2">
      <c r="A617" s="54"/>
      <c r="B617" s="58"/>
      <c r="C617" s="168" t="s">
        <v>523</v>
      </c>
      <c r="D617" s="168"/>
      <c r="E617" s="168"/>
      <c r="F617" s="168"/>
      <c r="G617" s="168"/>
      <c r="H617" s="168"/>
      <c r="I617" s="45"/>
      <c r="J617" s="54"/>
      <c r="K617" s="42"/>
      <c r="L617" s="45">
        <f>L619+L622+L621</f>
        <v>1360.43</v>
      </c>
    </row>
    <row r="618" spans="1:12" ht="14.25" hidden="1" x14ac:dyDescent="0.2">
      <c r="A618" s="54"/>
      <c r="B618" s="58"/>
      <c r="C618" s="167" t="s">
        <v>524</v>
      </c>
      <c r="D618" s="168"/>
      <c r="E618" s="168"/>
      <c r="F618" s="168"/>
      <c r="G618" s="168"/>
      <c r="H618" s="168"/>
      <c r="I618" s="45"/>
      <c r="J618" s="54"/>
      <c r="K618" s="42"/>
      <c r="L618" s="45"/>
    </row>
    <row r="619" spans="1:12" ht="14.25" x14ac:dyDescent="0.2">
      <c r="A619" s="54"/>
      <c r="B619" s="58"/>
      <c r="C619" s="168" t="s">
        <v>523</v>
      </c>
      <c r="D619" s="168"/>
      <c r="E619" s="168"/>
      <c r="F619" s="168"/>
      <c r="G619" s="168"/>
      <c r="H619" s="168"/>
      <c r="I619" s="45"/>
      <c r="J619" s="54"/>
      <c r="K619" s="42"/>
      <c r="L619" s="45">
        <f>SUM(AO52:AO610)</f>
        <v>840.3900000000001</v>
      </c>
    </row>
    <row r="620" spans="1:12" ht="14.25" hidden="1" x14ac:dyDescent="0.2">
      <c r="A620" s="54"/>
      <c r="B620" s="58"/>
      <c r="C620" s="167" t="s">
        <v>525</v>
      </c>
      <c r="D620" s="168"/>
      <c r="E620" s="168"/>
      <c r="F620" s="168"/>
      <c r="G620" s="168"/>
      <c r="H620" s="168"/>
      <c r="I620" s="45"/>
      <c r="J620" s="54"/>
      <c r="K620" s="42"/>
      <c r="L620" s="45"/>
    </row>
    <row r="621" spans="1:12" ht="14.25" x14ac:dyDescent="0.2">
      <c r="A621" s="54"/>
      <c r="B621" s="58"/>
      <c r="C621" s="168" t="s">
        <v>545</v>
      </c>
      <c r="D621" s="168"/>
      <c r="E621" s="168"/>
      <c r="F621" s="168"/>
      <c r="G621" s="168"/>
      <c r="H621" s="168"/>
      <c r="I621" s="45"/>
      <c r="J621" s="54"/>
      <c r="K621" s="42"/>
      <c r="L621" s="45">
        <f>SUM(AT52:AT610)</f>
        <v>520.04</v>
      </c>
    </row>
    <row r="622" spans="1:12" ht="14.25" hidden="1" x14ac:dyDescent="0.2">
      <c r="A622" s="54"/>
      <c r="B622" s="58"/>
      <c r="C622" s="168" t="s">
        <v>526</v>
      </c>
      <c r="D622" s="168"/>
      <c r="E622" s="168"/>
      <c r="F622" s="168"/>
      <c r="G622" s="168"/>
      <c r="H622" s="168"/>
      <c r="I622" s="45"/>
      <c r="J622" s="54"/>
      <c r="K622" s="42"/>
      <c r="L622" s="45">
        <f>SUM(AV52:AV610)</f>
        <v>0</v>
      </c>
    </row>
    <row r="623" spans="1:12" ht="14.25" x14ac:dyDescent="0.2">
      <c r="A623" s="54"/>
      <c r="B623" s="58"/>
      <c r="C623" s="168" t="s">
        <v>527</v>
      </c>
      <c r="D623" s="168"/>
      <c r="E623" s="168"/>
      <c r="F623" s="168"/>
      <c r="G623" s="168"/>
      <c r="H623" s="168"/>
      <c r="I623" s="45"/>
      <c r="J623" s="54"/>
      <c r="K623" s="42"/>
      <c r="L623" s="45">
        <f>L625+L626</f>
        <v>129838.11000000003</v>
      </c>
    </row>
    <row r="624" spans="1:12" ht="14.25" x14ac:dyDescent="0.2">
      <c r="A624" s="54"/>
      <c r="B624" s="58"/>
      <c r="C624" s="167" t="s">
        <v>524</v>
      </c>
      <c r="D624" s="168"/>
      <c r="E624" s="168"/>
      <c r="F624" s="168"/>
      <c r="G624" s="168"/>
      <c r="H624" s="168"/>
      <c r="I624" s="45"/>
      <c r="J624" s="54"/>
      <c r="K624" s="42"/>
      <c r="L624" s="45"/>
    </row>
    <row r="625" spans="1:12" ht="14.25" x14ac:dyDescent="0.2">
      <c r="A625" s="54"/>
      <c r="B625" s="58"/>
      <c r="C625" s="168" t="s">
        <v>528</v>
      </c>
      <c r="D625" s="168"/>
      <c r="E625" s="168"/>
      <c r="F625" s="168"/>
      <c r="G625" s="168"/>
      <c r="H625" s="168"/>
      <c r="I625" s="45"/>
      <c r="J625" s="54"/>
      <c r="K625" s="42"/>
      <c r="L625" s="45">
        <f>SUM(AW52:AW610)-SUM(BK52:BK610)</f>
        <v>129838.11000000003</v>
      </c>
    </row>
    <row r="626" spans="1:12" ht="14.25" hidden="1" x14ac:dyDescent="0.2">
      <c r="A626" s="54"/>
      <c r="B626" s="58"/>
      <c r="C626" s="168" t="s">
        <v>529</v>
      </c>
      <c r="D626" s="168"/>
      <c r="E626" s="168"/>
      <c r="F626" s="168"/>
      <c r="G626" s="168"/>
      <c r="H626" s="168"/>
      <c r="I626" s="45"/>
      <c r="J626" s="54"/>
      <c r="K626" s="42"/>
      <c r="L626" s="45">
        <f>SUM(BC52:BC610)</f>
        <v>0</v>
      </c>
    </row>
    <row r="627" spans="1:12" ht="14.25" x14ac:dyDescent="0.2">
      <c r="A627" s="54"/>
      <c r="B627" s="58"/>
      <c r="C627" s="168" t="s">
        <v>530</v>
      </c>
      <c r="D627" s="168"/>
      <c r="E627" s="168"/>
      <c r="F627" s="168"/>
      <c r="G627" s="168"/>
      <c r="H627" s="168"/>
      <c r="I627" s="45"/>
      <c r="J627" s="54"/>
      <c r="K627" s="42"/>
      <c r="L627" s="45">
        <f>SUM(BB52:BB610)</f>
        <v>1111.47</v>
      </c>
    </row>
    <row r="628" spans="1:12" ht="14.25" x14ac:dyDescent="0.2">
      <c r="A628" s="54"/>
      <c r="B628" s="58"/>
      <c r="C628" s="168" t="s">
        <v>531</v>
      </c>
      <c r="D628" s="168"/>
      <c r="E628" s="168"/>
      <c r="F628" s="168"/>
      <c r="G628" s="168"/>
      <c r="H628" s="168"/>
      <c r="I628" s="45"/>
      <c r="J628" s="54"/>
      <c r="K628" s="42"/>
      <c r="L628" s="45">
        <f>SUM(AR52:AR610)+SUM(AT52:AT610)+SUM(AV52:AV610)</f>
        <v>79955.319999999992</v>
      </c>
    </row>
    <row r="629" spans="1:12" ht="14.25" x14ac:dyDescent="0.2">
      <c r="A629" s="54"/>
      <c r="B629" s="58"/>
      <c r="C629" s="168" t="s">
        <v>532</v>
      </c>
      <c r="D629" s="168"/>
      <c r="E629" s="168"/>
      <c r="F629" s="168"/>
      <c r="G629" s="168"/>
      <c r="H629" s="168"/>
      <c r="I629" s="45"/>
      <c r="J629" s="54"/>
      <c r="K629" s="42"/>
      <c r="L629" s="45">
        <f>SUM(AZ52:AZ610)</f>
        <v>74915.310000000012</v>
      </c>
    </row>
    <row r="630" spans="1:12" ht="14.25" x14ac:dyDescent="0.2">
      <c r="A630" s="54"/>
      <c r="B630" s="58"/>
      <c r="C630" s="168" t="s">
        <v>533</v>
      </c>
      <c r="D630" s="168"/>
      <c r="E630" s="168"/>
      <c r="F630" s="168"/>
      <c r="G630" s="168"/>
      <c r="H630" s="168"/>
      <c r="I630" s="45"/>
      <c r="J630" s="54"/>
      <c r="K630" s="42"/>
      <c r="L630" s="45">
        <f>SUM(BA52:BA610)</f>
        <v>38339.400000000009</v>
      </c>
    </row>
    <row r="631" spans="1:12" ht="14.25" hidden="1" x14ac:dyDescent="0.2">
      <c r="A631" s="54"/>
      <c r="B631" s="58"/>
      <c r="C631" s="168" t="s">
        <v>579</v>
      </c>
      <c r="D631" s="168"/>
      <c r="E631" s="168"/>
      <c r="F631" s="168"/>
      <c r="G631" s="168"/>
      <c r="H631" s="168"/>
      <c r="I631" s="45"/>
      <c r="J631" s="54"/>
      <c r="K631" s="42"/>
      <c r="L631" s="45">
        <f>L633+L634</f>
        <v>0</v>
      </c>
    </row>
    <row r="632" spans="1:12" ht="14.25" hidden="1" x14ac:dyDescent="0.2">
      <c r="A632" s="54"/>
      <c r="B632" s="58"/>
      <c r="C632" s="167" t="s">
        <v>521</v>
      </c>
      <c r="D632" s="168"/>
      <c r="E632" s="168"/>
      <c r="F632" s="168"/>
      <c r="G632" s="168"/>
      <c r="H632" s="168"/>
      <c r="I632" s="45"/>
      <c r="J632" s="54"/>
      <c r="K632" s="42"/>
      <c r="L632" s="45"/>
    </row>
    <row r="633" spans="1:12" ht="14.25" hidden="1" x14ac:dyDescent="0.2">
      <c r="A633" s="54"/>
      <c r="B633" s="58"/>
      <c r="C633" s="168" t="s">
        <v>535</v>
      </c>
      <c r="D633" s="168"/>
      <c r="E633" s="168"/>
      <c r="F633" s="168"/>
      <c r="G633" s="168"/>
      <c r="H633" s="168"/>
      <c r="I633" s="45"/>
      <c r="J633" s="54"/>
      <c r="K633" s="42"/>
      <c r="L633" s="45">
        <f>SUM(BK52:BK610)</f>
        <v>0</v>
      </c>
    </row>
    <row r="634" spans="1:12" ht="14.25" hidden="1" x14ac:dyDescent="0.2">
      <c r="A634" s="54"/>
      <c r="B634" s="58"/>
      <c r="C634" s="168" t="s">
        <v>536</v>
      </c>
      <c r="D634" s="168"/>
      <c r="E634" s="168"/>
      <c r="F634" s="168"/>
      <c r="G634" s="168"/>
      <c r="H634" s="168"/>
      <c r="I634" s="45"/>
      <c r="J634" s="54"/>
      <c r="K634" s="42"/>
      <c r="L634" s="45">
        <f>SUM(BD52:BD610)</f>
        <v>0</v>
      </c>
    </row>
    <row r="635" spans="1:12" ht="14.25" hidden="1" x14ac:dyDescent="0.2">
      <c r="A635" s="54"/>
      <c r="B635" s="58"/>
      <c r="C635" s="168" t="s">
        <v>580</v>
      </c>
      <c r="D635" s="168"/>
      <c r="E635" s="168"/>
      <c r="F635" s="168"/>
      <c r="G635" s="168"/>
      <c r="H635" s="168"/>
      <c r="I635" s="45"/>
      <c r="J635" s="54"/>
      <c r="K635" s="42"/>
      <c r="L635" s="45">
        <f>L588</f>
        <v>0</v>
      </c>
    </row>
    <row r="636" spans="1:12" ht="14.25" x14ac:dyDescent="0.2">
      <c r="A636" s="54"/>
      <c r="B636" s="58"/>
      <c r="C636" s="166" t="s">
        <v>540</v>
      </c>
      <c r="D636" s="168"/>
      <c r="E636" s="168"/>
      <c r="F636" s="168"/>
      <c r="G636" s="168"/>
      <c r="H636" s="168"/>
      <c r="I636" s="45"/>
      <c r="J636" s="54"/>
      <c r="K636" s="42"/>
      <c r="L636" s="45"/>
    </row>
    <row r="637" spans="1:12" ht="14.25" hidden="1" x14ac:dyDescent="0.2">
      <c r="A637" s="54"/>
      <c r="B637" s="58"/>
      <c r="C637" s="168" t="s">
        <v>541</v>
      </c>
      <c r="D637" s="168"/>
      <c r="E637" s="168"/>
      <c r="F637" s="168"/>
      <c r="G637" s="168"/>
      <c r="H637" s="168"/>
      <c r="I637" s="45"/>
      <c r="J637" s="54"/>
      <c r="K637" s="42"/>
      <c r="L637" s="45">
        <f>SUM(AX52:AX610)</f>
        <v>0</v>
      </c>
    </row>
    <row r="638" spans="1:12" ht="14.25" hidden="1" x14ac:dyDescent="0.2">
      <c r="A638" s="54"/>
      <c r="B638" s="58"/>
      <c r="C638" s="168" t="s">
        <v>542</v>
      </c>
      <c r="D638" s="168"/>
      <c r="E638" s="168"/>
      <c r="F638" s="168"/>
      <c r="G638" s="168"/>
      <c r="H638" s="168"/>
      <c r="I638" s="45"/>
      <c r="J638" s="54"/>
      <c r="K638" s="42"/>
      <c r="L638" s="45">
        <f>SUM(AY52:AY610)</f>
        <v>0</v>
      </c>
    </row>
    <row r="639" spans="1:12" ht="14.25" x14ac:dyDescent="0.2">
      <c r="A639" s="54"/>
      <c r="B639" s="58"/>
      <c r="C639" s="168" t="s">
        <v>543</v>
      </c>
      <c r="D639" s="168"/>
      <c r="E639" s="168"/>
      <c r="F639" s="169"/>
      <c r="G639" s="44">
        <f>Source!F210</f>
        <v>336.12007495</v>
      </c>
      <c r="H639" s="54"/>
      <c r="I639" s="54"/>
      <c r="J639" s="54"/>
      <c r="K639" s="54"/>
      <c r="L639" s="54"/>
    </row>
    <row r="640" spans="1:12" ht="14.25" x14ac:dyDescent="0.2">
      <c r="A640" s="54"/>
      <c r="B640" s="58"/>
      <c r="C640" s="168" t="s">
        <v>544</v>
      </c>
      <c r="D640" s="168"/>
      <c r="E640" s="168"/>
      <c r="F640" s="169"/>
      <c r="G640" s="44">
        <f>Source!F211</f>
        <v>1.9966502500000001</v>
      </c>
      <c r="H640" s="54"/>
      <c r="I640" s="54"/>
      <c r="J640" s="54"/>
      <c r="K640" s="54"/>
      <c r="L640" s="54"/>
    </row>
    <row r="644" spans="1:12" ht="14.25" customHeight="1" x14ac:dyDescent="0.2">
      <c r="A644" s="171" t="s">
        <v>581</v>
      </c>
      <c r="B644" s="171"/>
      <c r="C644" s="71" t="str">
        <f>IF(Source!AC12&lt;&gt;"", Source!AC12," ")</f>
        <v xml:space="preserve"> </v>
      </c>
      <c r="D644" s="32"/>
      <c r="E644" s="32"/>
      <c r="F644" s="32"/>
      <c r="G644" s="32"/>
      <c r="H644" s="13" t="str">
        <f>IF(Source!AB12&lt;&gt;"", Source!AB12," ")</f>
        <v xml:space="preserve"> </v>
      </c>
      <c r="I644" s="22"/>
      <c r="J644" s="22"/>
      <c r="K644" s="36"/>
      <c r="L644" s="36"/>
    </row>
    <row r="645" spans="1:12" ht="14.25" customHeight="1" x14ac:dyDescent="0.2">
      <c r="A645" s="18"/>
      <c r="B645" s="18"/>
      <c r="C645" s="172" t="s">
        <v>582</v>
      </c>
      <c r="D645" s="172"/>
      <c r="E645" s="172"/>
      <c r="F645" s="172"/>
      <c r="G645" s="172"/>
      <c r="H645" s="22"/>
      <c r="I645" s="22"/>
      <c r="J645" s="22"/>
      <c r="K645" s="36"/>
      <c r="L645" s="36"/>
    </row>
    <row r="646" spans="1:12" ht="14.25" customHeight="1" x14ac:dyDescent="0.2">
      <c r="A646" s="18"/>
      <c r="B646" s="18"/>
      <c r="C646" s="18"/>
      <c r="D646" s="18"/>
      <c r="E646" s="18"/>
      <c r="F646" s="18"/>
      <c r="G646" s="18"/>
      <c r="H646" s="22"/>
      <c r="I646" s="22"/>
      <c r="J646" s="22"/>
      <c r="K646" s="36"/>
      <c r="L646" s="36"/>
    </row>
    <row r="647" spans="1:12" ht="14.25" customHeight="1" x14ac:dyDescent="0.2">
      <c r="A647" s="171" t="s">
        <v>583</v>
      </c>
      <c r="B647" s="171"/>
      <c r="C647" s="71" t="str">
        <f>IF(Source!AE12&lt;&gt;"", Source!AE12," ")</f>
        <v xml:space="preserve"> </v>
      </c>
      <c r="D647" s="32"/>
      <c r="E647" s="32"/>
      <c r="F647" s="32"/>
      <c r="G647" s="32"/>
      <c r="H647" s="13" t="str">
        <f>IF(Source!AD12&lt;&gt;"", Source!AD12," ")</f>
        <v xml:space="preserve"> </v>
      </c>
      <c r="I647" s="22"/>
      <c r="J647" s="22"/>
      <c r="K647" s="36"/>
      <c r="L647" s="36"/>
    </row>
    <row r="648" spans="1:12" ht="14.25" customHeight="1" x14ac:dyDescent="0.2">
      <c r="A648" s="18"/>
      <c r="B648" s="18"/>
      <c r="C648" s="172" t="s">
        <v>582</v>
      </c>
      <c r="D648" s="172"/>
      <c r="E648" s="172"/>
      <c r="F648" s="172"/>
      <c r="G648" s="172"/>
      <c r="H648" s="22"/>
      <c r="I648" s="22"/>
      <c r="J648" s="22"/>
      <c r="K648" s="36"/>
      <c r="L648" s="36"/>
    </row>
  </sheetData>
  <mergeCells count="324">
    <mergeCell ref="C640:F640"/>
    <mergeCell ref="A644:B644"/>
    <mergeCell ref="C645:G645"/>
    <mergeCell ref="A647:B647"/>
    <mergeCell ref="C648:G648"/>
    <mergeCell ref="C634:H634"/>
    <mergeCell ref="C635:H635"/>
    <mergeCell ref="C636:H636"/>
    <mergeCell ref="C637:H637"/>
    <mergeCell ref="C638:H638"/>
    <mergeCell ref="C639:F639"/>
    <mergeCell ref="C628:H628"/>
    <mergeCell ref="C629:H629"/>
    <mergeCell ref="C630:H630"/>
    <mergeCell ref="C631:H631"/>
    <mergeCell ref="C632:H632"/>
    <mergeCell ref="C633:H633"/>
    <mergeCell ref="C622:H622"/>
    <mergeCell ref="C623:H623"/>
    <mergeCell ref="C624:H624"/>
    <mergeCell ref="C625:H625"/>
    <mergeCell ref="C626:H626"/>
    <mergeCell ref="C627:H627"/>
    <mergeCell ref="C616:H616"/>
    <mergeCell ref="C617:H617"/>
    <mergeCell ref="C618:H618"/>
    <mergeCell ref="C619:H619"/>
    <mergeCell ref="C620:H620"/>
    <mergeCell ref="C621:H621"/>
    <mergeCell ref="C609:H609"/>
    <mergeCell ref="C610:H610"/>
    <mergeCell ref="C612:H612"/>
    <mergeCell ref="C613:H613"/>
    <mergeCell ref="C614:H614"/>
    <mergeCell ref="C615:H615"/>
    <mergeCell ref="C603:H603"/>
    <mergeCell ref="C604:H604"/>
    <mergeCell ref="C605:H605"/>
    <mergeCell ref="C606:H606"/>
    <mergeCell ref="C607:H607"/>
    <mergeCell ref="C608:H608"/>
    <mergeCell ref="C597:H597"/>
    <mergeCell ref="C598:H598"/>
    <mergeCell ref="C599:H599"/>
    <mergeCell ref="C600:H600"/>
    <mergeCell ref="C601:H601"/>
    <mergeCell ref="C602:H602"/>
    <mergeCell ref="C591:H591"/>
    <mergeCell ref="C592:H592"/>
    <mergeCell ref="C593:H593"/>
    <mergeCell ref="C594:H594"/>
    <mergeCell ref="C595:H595"/>
    <mergeCell ref="C596:H596"/>
    <mergeCell ref="C584:H584"/>
    <mergeCell ref="C585:H585"/>
    <mergeCell ref="C586:H586"/>
    <mergeCell ref="C588:H588"/>
    <mergeCell ref="C589:H589"/>
    <mergeCell ref="C590:H590"/>
    <mergeCell ref="C577:H577"/>
    <mergeCell ref="C578:H578"/>
    <mergeCell ref="C579:H579"/>
    <mergeCell ref="C580:H580"/>
    <mergeCell ref="C581:H581"/>
    <mergeCell ref="C583:H583"/>
    <mergeCell ref="C571:H571"/>
    <mergeCell ref="C572:H572"/>
    <mergeCell ref="C573:H573"/>
    <mergeCell ref="C574:H574"/>
    <mergeCell ref="C575:H575"/>
    <mergeCell ref="C576:H576"/>
    <mergeCell ref="C565:H565"/>
    <mergeCell ref="C566:H566"/>
    <mergeCell ref="C567:H567"/>
    <mergeCell ref="C568:H568"/>
    <mergeCell ref="C569:H569"/>
    <mergeCell ref="C570:H570"/>
    <mergeCell ref="C558:H558"/>
    <mergeCell ref="C559:H559"/>
    <mergeCell ref="C560:H560"/>
    <mergeCell ref="C561:H561"/>
    <mergeCell ref="C563:H563"/>
    <mergeCell ref="C564:H564"/>
    <mergeCell ref="C552:H552"/>
    <mergeCell ref="C553:H553"/>
    <mergeCell ref="C554:H554"/>
    <mergeCell ref="C555:H555"/>
    <mergeCell ref="C556:H556"/>
    <mergeCell ref="C557:H557"/>
    <mergeCell ref="C546:H546"/>
    <mergeCell ref="C547:H547"/>
    <mergeCell ref="C548:H548"/>
    <mergeCell ref="C549:H549"/>
    <mergeCell ref="C550:H550"/>
    <mergeCell ref="C551:H551"/>
    <mergeCell ref="C537:F537"/>
    <mergeCell ref="C538:F538"/>
    <mergeCell ref="C541:H541"/>
    <mergeCell ref="C543:H543"/>
    <mergeCell ref="C544:H544"/>
    <mergeCell ref="C545:H545"/>
    <mergeCell ref="C531:H531"/>
    <mergeCell ref="C532:H532"/>
    <mergeCell ref="C533:H533"/>
    <mergeCell ref="C534:H534"/>
    <mergeCell ref="C535:H535"/>
    <mergeCell ref="C536:H536"/>
    <mergeCell ref="C525:H525"/>
    <mergeCell ref="C526:H526"/>
    <mergeCell ref="C527:H527"/>
    <mergeCell ref="C528:H528"/>
    <mergeCell ref="C529:H529"/>
    <mergeCell ref="C530:H530"/>
    <mergeCell ref="C519:H519"/>
    <mergeCell ref="C520:H520"/>
    <mergeCell ref="C521:H521"/>
    <mergeCell ref="C522:H522"/>
    <mergeCell ref="C523:H523"/>
    <mergeCell ref="C524:H524"/>
    <mergeCell ref="C513:H513"/>
    <mergeCell ref="C514:H514"/>
    <mergeCell ref="C515:H515"/>
    <mergeCell ref="C516:H516"/>
    <mergeCell ref="C517:H517"/>
    <mergeCell ref="C518:H518"/>
    <mergeCell ref="C508:H508"/>
    <mergeCell ref="I508:J508"/>
    <mergeCell ref="K508:L508"/>
    <mergeCell ref="C510:H510"/>
    <mergeCell ref="C511:H511"/>
    <mergeCell ref="C512:H512"/>
    <mergeCell ref="C504:H504"/>
    <mergeCell ref="I504:J504"/>
    <mergeCell ref="K504:L504"/>
    <mergeCell ref="C506:H506"/>
    <mergeCell ref="I506:J506"/>
    <mergeCell ref="K506:L506"/>
    <mergeCell ref="C476:H476"/>
    <mergeCell ref="I476:J476"/>
    <mergeCell ref="K476:L476"/>
    <mergeCell ref="C495:H495"/>
    <mergeCell ref="I495:J495"/>
    <mergeCell ref="K495:L495"/>
    <mergeCell ref="C450:H450"/>
    <mergeCell ref="C451:H451"/>
    <mergeCell ref="C452:H452"/>
    <mergeCell ref="C453:F453"/>
    <mergeCell ref="C454:F454"/>
    <mergeCell ref="A457:L457"/>
    <mergeCell ref="C444:H444"/>
    <mergeCell ref="C445:H445"/>
    <mergeCell ref="C446:H446"/>
    <mergeCell ref="C447:H447"/>
    <mergeCell ref="C448:H448"/>
    <mergeCell ref="C449:H449"/>
    <mergeCell ref="C438:H438"/>
    <mergeCell ref="C439:H439"/>
    <mergeCell ref="C440:H440"/>
    <mergeCell ref="C441:H441"/>
    <mergeCell ref="C442:H442"/>
    <mergeCell ref="C443:H443"/>
    <mergeCell ref="C432:H432"/>
    <mergeCell ref="C433:H433"/>
    <mergeCell ref="C434:H434"/>
    <mergeCell ref="C435:H435"/>
    <mergeCell ref="C436:H436"/>
    <mergeCell ref="C437:H437"/>
    <mergeCell ref="C426:H426"/>
    <mergeCell ref="C427:H427"/>
    <mergeCell ref="C428:H428"/>
    <mergeCell ref="C429:H429"/>
    <mergeCell ref="C430:H430"/>
    <mergeCell ref="C431:H431"/>
    <mergeCell ref="C398:F398"/>
    <mergeCell ref="C399:F399"/>
    <mergeCell ref="A402:L402"/>
    <mergeCell ref="C424:H424"/>
    <mergeCell ref="I424:J424"/>
    <mergeCell ref="K424:L424"/>
    <mergeCell ref="C392:H392"/>
    <mergeCell ref="C393:H393"/>
    <mergeCell ref="C394:H394"/>
    <mergeCell ref="C395:H395"/>
    <mergeCell ref="C396:H396"/>
    <mergeCell ref="C397:H397"/>
    <mergeCell ref="C386:H386"/>
    <mergeCell ref="C387:H387"/>
    <mergeCell ref="C388:H388"/>
    <mergeCell ref="C389:H389"/>
    <mergeCell ref="C390:H390"/>
    <mergeCell ref="C391:H391"/>
    <mergeCell ref="C380:H380"/>
    <mergeCell ref="C381:H381"/>
    <mergeCell ref="C382:H382"/>
    <mergeCell ref="C383:H383"/>
    <mergeCell ref="C384:H384"/>
    <mergeCell ref="C385:H385"/>
    <mergeCell ref="C374:H374"/>
    <mergeCell ref="C375:H375"/>
    <mergeCell ref="C376:H376"/>
    <mergeCell ref="C377:H377"/>
    <mergeCell ref="C378:H378"/>
    <mergeCell ref="C379:H379"/>
    <mergeCell ref="C369:H369"/>
    <mergeCell ref="I369:J369"/>
    <mergeCell ref="K369:L369"/>
    <mergeCell ref="C371:H371"/>
    <mergeCell ref="C372:H372"/>
    <mergeCell ref="C373:H373"/>
    <mergeCell ref="C332:F332"/>
    <mergeCell ref="C333:F333"/>
    <mergeCell ref="A336:L336"/>
    <mergeCell ref="C351:H351"/>
    <mergeCell ref="I351:J351"/>
    <mergeCell ref="K351:L351"/>
    <mergeCell ref="C326:H326"/>
    <mergeCell ref="C327:H327"/>
    <mergeCell ref="C328:H328"/>
    <mergeCell ref="C329:H329"/>
    <mergeCell ref="C330:H330"/>
    <mergeCell ref="C331:H331"/>
    <mergeCell ref="C320:H320"/>
    <mergeCell ref="C321:H321"/>
    <mergeCell ref="C322:H322"/>
    <mergeCell ref="C323:H323"/>
    <mergeCell ref="C324:H324"/>
    <mergeCell ref="C325:H325"/>
    <mergeCell ref="C314:H314"/>
    <mergeCell ref="C315:H315"/>
    <mergeCell ref="C316:H316"/>
    <mergeCell ref="C317:H317"/>
    <mergeCell ref="C318:H318"/>
    <mergeCell ref="C319:H319"/>
    <mergeCell ref="C308:H308"/>
    <mergeCell ref="C309:H309"/>
    <mergeCell ref="C310:H310"/>
    <mergeCell ref="C311:H311"/>
    <mergeCell ref="C312:H312"/>
    <mergeCell ref="C313:H313"/>
    <mergeCell ref="C303:H303"/>
    <mergeCell ref="I303:J303"/>
    <mergeCell ref="K303:L303"/>
    <mergeCell ref="C305:H305"/>
    <mergeCell ref="C306:H306"/>
    <mergeCell ref="C307:H307"/>
    <mergeCell ref="C265:H265"/>
    <mergeCell ref="I265:J265"/>
    <mergeCell ref="K265:L265"/>
    <mergeCell ref="C287:H287"/>
    <mergeCell ref="I287:J287"/>
    <mergeCell ref="K287:L287"/>
    <mergeCell ref="C225:H225"/>
    <mergeCell ref="I225:J225"/>
    <mergeCell ref="K225:L225"/>
    <mergeCell ref="C243:H243"/>
    <mergeCell ref="I243:J243"/>
    <mergeCell ref="K243:L243"/>
    <mergeCell ref="C189:H189"/>
    <mergeCell ref="I189:J189"/>
    <mergeCell ref="K189:L189"/>
    <mergeCell ref="C207:H207"/>
    <mergeCell ref="I207:J207"/>
    <mergeCell ref="K207:L207"/>
    <mergeCell ref="C150:H150"/>
    <mergeCell ref="I150:J150"/>
    <mergeCell ref="K150:L150"/>
    <mergeCell ref="C167:H167"/>
    <mergeCell ref="I167:J167"/>
    <mergeCell ref="K167:L167"/>
    <mergeCell ref="A116:L116"/>
    <mergeCell ref="C124:H124"/>
    <mergeCell ref="I124:J124"/>
    <mergeCell ref="K124:L124"/>
    <mergeCell ref="C132:H132"/>
    <mergeCell ref="I132:J132"/>
    <mergeCell ref="K132:L132"/>
    <mergeCell ref="C97:H97"/>
    <mergeCell ref="I97:J97"/>
    <mergeCell ref="K97:L97"/>
    <mergeCell ref="C114:H114"/>
    <mergeCell ref="I114:J114"/>
    <mergeCell ref="K114:L114"/>
    <mergeCell ref="C60:H60"/>
    <mergeCell ref="I60:J60"/>
    <mergeCell ref="K60:L60"/>
    <mergeCell ref="C83:H83"/>
    <mergeCell ref="I83:J83"/>
    <mergeCell ref="K83:L83"/>
    <mergeCell ref="A46:A50"/>
    <mergeCell ref="B46:B50"/>
    <mergeCell ref="C46:C50"/>
    <mergeCell ref="D46:D50"/>
    <mergeCell ref="E46:G49"/>
    <mergeCell ref="H46:L49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</mergeCells>
  <pageMargins left="0.39370078740157483" right="0.19685039370078741" top="0.19685039370078741" bottom="0.39370078740157483" header="0.19685039370078741" footer="0.19685039370078741"/>
  <pageSetup paperSize="9" scale="70" fitToHeight="0" orientation="landscape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46"/>
  <sheetViews>
    <sheetView workbookViewId="0"/>
  </sheetViews>
  <sheetFormatPr defaultRowHeight="12.75" x14ac:dyDescent="0.2"/>
  <cols>
    <col min="1" max="1" width="10.7109375" customWidth="1"/>
    <col min="2" max="2" width="31.7109375" customWidth="1"/>
    <col min="3" max="6" width="10.7109375" customWidth="1"/>
    <col min="10" max="69" width="0" hidden="1" customWidth="1"/>
    <col min="70" max="71" width="42.7109375" hidden="1" customWidth="1"/>
    <col min="72" max="72" width="82.7109375" hidden="1" customWidth="1"/>
    <col min="73" max="74" width="0" hidden="1" customWidth="1"/>
    <col min="75" max="75" width="21.7109375" hidden="1" customWidth="1"/>
    <col min="76" max="76" width="0" hidden="1" customWidth="1"/>
    <col min="77" max="77" width="32.7109375" hidden="1" customWidth="1"/>
    <col min="78" max="78" width="21.7109375" hidden="1" customWidth="1"/>
    <col min="79" max="256" width="0" hidden="1" customWidth="1"/>
  </cols>
  <sheetData>
    <row r="1" spans="1:255" s="92" customFormat="1" ht="11.25" x14ac:dyDescent="0.2">
      <c r="A1" s="92" t="s">
        <v>617</v>
      </c>
    </row>
    <row r="2" spans="1:255" x14ac:dyDescent="0.2">
      <c r="C2" s="177" t="s">
        <v>618</v>
      </c>
      <c r="D2" s="178"/>
      <c r="E2" s="178"/>
      <c r="F2" s="178"/>
    </row>
    <row r="3" spans="1:255" x14ac:dyDescent="0.2">
      <c r="C3" s="177" t="s">
        <v>585</v>
      </c>
      <c r="D3" s="178"/>
      <c r="E3" s="178"/>
      <c r="F3" s="178"/>
    </row>
    <row r="4" spans="1:255" x14ac:dyDescent="0.2">
      <c r="C4" s="177" t="s">
        <v>586</v>
      </c>
      <c r="D4" s="178"/>
      <c r="E4" s="178"/>
      <c r="F4" s="178"/>
    </row>
    <row r="5" spans="1:255" s="91" customFormat="1" ht="11.25" x14ac:dyDescent="0.2">
      <c r="E5" s="179" t="s">
        <v>587</v>
      </c>
      <c r="F5" s="180"/>
    </row>
    <row r="6" spans="1:255" s="91" customFormat="1" ht="11.25" x14ac:dyDescent="0.2">
      <c r="D6" s="93" t="s">
        <v>588</v>
      </c>
      <c r="E6" s="175" t="s">
        <v>619</v>
      </c>
      <c r="F6" s="180"/>
    </row>
    <row r="7" spans="1:255" x14ac:dyDescent="0.2">
      <c r="A7" s="95" t="s">
        <v>620</v>
      </c>
      <c r="B7" s="173"/>
      <c r="C7" s="174"/>
      <c r="D7" s="99" t="s">
        <v>590</v>
      </c>
      <c r="E7" s="175"/>
      <c r="F7" s="176"/>
      <c r="BR7" s="96">
        <f>B7</f>
        <v>0</v>
      </c>
      <c r="IU7" s="97"/>
    </row>
    <row r="8" spans="1:255" x14ac:dyDescent="0.2">
      <c r="A8" s="95" t="s">
        <v>621</v>
      </c>
      <c r="B8" s="181"/>
      <c r="C8" s="182"/>
      <c r="D8" s="99" t="s">
        <v>590</v>
      </c>
      <c r="E8" s="175"/>
      <c r="F8" s="176"/>
      <c r="BR8" s="96">
        <f>B8</f>
        <v>0</v>
      </c>
      <c r="IU8" s="97"/>
    </row>
    <row r="9" spans="1:255" x14ac:dyDescent="0.2">
      <c r="A9" s="95" t="s">
        <v>622</v>
      </c>
      <c r="B9" s="181"/>
      <c r="C9" s="182"/>
      <c r="D9" s="99" t="s">
        <v>590</v>
      </c>
      <c r="E9" s="175"/>
      <c r="F9" s="176"/>
      <c r="BR9" s="96">
        <f>B9</f>
        <v>0</v>
      </c>
      <c r="IU9" s="97"/>
    </row>
    <row r="10" spans="1:255" x14ac:dyDescent="0.2">
      <c r="A10" s="95" t="s">
        <v>623</v>
      </c>
      <c r="B10" s="181"/>
      <c r="C10" s="182"/>
      <c r="D10" s="99" t="s">
        <v>590</v>
      </c>
      <c r="E10" s="175"/>
      <c r="F10" s="176"/>
      <c r="BR10" s="96">
        <f>B10</f>
        <v>0</v>
      </c>
      <c r="IU10" s="97"/>
    </row>
    <row r="11" spans="1:255" x14ac:dyDescent="0.2">
      <c r="A11" s="100" t="s">
        <v>624</v>
      </c>
      <c r="B11" s="183"/>
      <c r="C11" s="182"/>
      <c r="E11" s="175"/>
      <c r="F11" s="184"/>
      <c r="BS11" s="101">
        <f>B11</f>
        <v>0</v>
      </c>
      <c r="IU11" s="97"/>
    </row>
    <row r="12" spans="1:255" ht="33.75" x14ac:dyDescent="0.2">
      <c r="A12" s="100" t="s">
        <v>596</v>
      </c>
      <c r="B12" s="185" t="s">
        <v>5</v>
      </c>
      <c r="C12" s="186"/>
      <c r="E12" s="175"/>
      <c r="F12" s="184"/>
      <c r="BS12" s="101" t="str">
        <f>B12</f>
        <v>Текущий ремонт помещения №10  Налоговой инспекции, по адресу: г.Орел, Московское шоссе, д.19</v>
      </c>
      <c r="IU12" s="97"/>
    </row>
    <row r="13" spans="1:255" s="91" customFormat="1" ht="11.25" x14ac:dyDescent="0.2">
      <c r="B13" s="187" t="s">
        <v>625</v>
      </c>
      <c r="C13" s="187"/>
      <c r="D13" s="187"/>
      <c r="E13" s="175"/>
      <c r="F13" s="180"/>
    </row>
    <row r="14" spans="1:255" s="91" customFormat="1" x14ac:dyDescent="0.2">
      <c r="B14" s="188" t="s">
        <v>599</v>
      </c>
      <c r="C14" s="188"/>
      <c r="D14" s="102" t="s">
        <v>600</v>
      </c>
      <c r="E14" s="189"/>
      <c r="F14" s="190"/>
      <c r="BW14" s="106">
        <f>E14</f>
        <v>0</v>
      </c>
      <c r="IU14" s="105"/>
    </row>
    <row r="15" spans="1:255" s="91" customFormat="1" x14ac:dyDescent="0.2">
      <c r="D15" s="103" t="s">
        <v>601</v>
      </c>
      <c r="E15" s="191"/>
      <c r="F15" s="192"/>
    </row>
    <row r="16" spans="1:255" s="91" customFormat="1" x14ac:dyDescent="0.2">
      <c r="D16" s="107" t="s">
        <v>602</v>
      </c>
      <c r="E16" s="193"/>
      <c r="F16" s="194"/>
    </row>
    <row r="18" spans="1:255" x14ac:dyDescent="0.2">
      <c r="C18" s="195" t="s">
        <v>603</v>
      </c>
      <c r="D18" s="195" t="s">
        <v>604</v>
      </c>
      <c r="E18" s="195" t="s">
        <v>605</v>
      </c>
      <c r="F18" s="197"/>
    </row>
    <row r="19" spans="1:255" ht="13.5" thickBot="1" x14ac:dyDescent="0.25">
      <c r="C19" s="196"/>
      <c r="D19" s="196"/>
      <c r="E19" s="108" t="s">
        <v>606</v>
      </c>
      <c r="F19" s="114" t="s">
        <v>607</v>
      </c>
    </row>
    <row r="20" spans="1:255" ht="13.5" thickBot="1" x14ac:dyDescent="0.25">
      <c r="A20" s="109"/>
      <c r="B20" s="109"/>
      <c r="C20" s="110"/>
      <c r="D20" s="111"/>
      <c r="E20" s="112"/>
      <c r="F20" s="113"/>
    </row>
    <row r="22" spans="1:255" ht="14.25" x14ac:dyDescent="0.3">
      <c r="A22" s="200" t="s">
        <v>626</v>
      </c>
      <c r="B22" s="201"/>
      <c r="C22" s="201"/>
      <c r="D22" s="201"/>
      <c r="E22" s="201"/>
      <c r="F22" s="201"/>
    </row>
    <row r="23" spans="1:255" ht="13.5" x14ac:dyDescent="0.25">
      <c r="A23" s="202" t="s">
        <v>627</v>
      </c>
      <c r="B23" s="201"/>
      <c r="C23" s="201"/>
      <c r="D23" s="201"/>
      <c r="E23" s="201"/>
      <c r="F23" s="201"/>
    </row>
    <row r="24" spans="1:255" x14ac:dyDescent="0.2">
      <c r="A24" s="203"/>
      <c r="B24" s="201"/>
      <c r="C24" s="201"/>
      <c r="D24" s="201"/>
      <c r="E24" s="201"/>
      <c r="F24" s="201"/>
      <c r="BT24" s="104">
        <f>A24</f>
        <v>0</v>
      </c>
      <c r="IU24" s="97"/>
    </row>
    <row r="25" spans="1:255" ht="13.5" thickBot="1" x14ac:dyDescent="0.25"/>
    <row r="26" spans="1:255" ht="34.5" customHeight="1" thickBot="1" x14ac:dyDescent="0.25">
      <c r="A26" s="117" t="s">
        <v>628</v>
      </c>
      <c r="B26" s="117" t="s">
        <v>630</v>
      </c>
      <c r="C26" s="117"/>
      <c r="D26" s="204" t="s">
        <v>639</v>
      </c>
      <c r="E26" s="205"/>
      <c r="F26" s="206"/>
    </row>
    <row r="27" spans="1:255" x14ac:dyDescent="0.2">
      <c r="A27" s="118" t="s">
        <v>629</v>
      </c>
      <c r="B27" s="118" t="s">
        <v>631</v>
      </c>
      <c r="C27" s="118" t="s">
        <v>587</v>
      </c>
      <c r="D27" s="118" t="s">
        <v>633</v>
      </c>
      <c r="E27" s="118" t="s">
        <v>633</v>
      </c>
      <c r="F27" s="116" t="s">
        <v>521</v>
      </c>
    </row>
    <row r="28" spans="1:255" x14ac:dyDescent="0.2">
      <c r="A28" s="115"/>
      <c r="B28" s="118" t="s">
        <v>632</v>
      </c>
      <c r="C28" s="118"/>
      <c r="D28" s="118" t="s">
        <v>634</v>
      </c>
      <c r="E28" s="118" t="s">
        <v>636</v>
      </c>
      <c r="F28" s="116" t="s">
        <v>637</v>
      </c>
    </row>
    <row r="29" spans="1:255" ht="13.5" thickBot="1" x14ac:dyDescent="0.25">
      <c r="A29" s="115"/>
      <c r="B29" s="115"/>
      <c r="C29" s="115"/>
      <c r="D29" s="118" t="s">
        <v>635</v>
      </c>
      <c r="E29" s="118"/>
      <c r="F29" s="116" t="s">
        <v>638</v>
      </c>
    </row>
    <row r="30" spans="1:255" ht="13.5" thickBot="1" x14ac:dyDescent="0.25">
      <c r="A30" s="119">
        <v>1</v>
      </c>
      <c r="B30" s="119">
        <v>2</v>
      </c>
      <c r="C30" s="119">
        <v>3</v>
      </c>
      <c r="D30" s="119">
        <v>4</v>
      </c>
      <c r="E30" s="119">
        <v>5</v>
      </c>
      <c r="F30" s="119">
        <v>6</v>
      </c>
    </row>
    <row r="31" spans="1:255" ht="24" x14ac:dyDescent="0.2">
      <c r="A31" s="120"/>
      <c r="B31" s="121" t="s">
        <v>640</v>
      </c>
      <c r="C31" s="120"/>
      <c r="D31" s="122"/>
      <c r="E31" s="122"/>
      <c r="F31" s="123"/>
    </row>
    <row r="32" spans="1:255" x14ac:dyDescent="0.2">
      <c r="A32" s="128"/>
      <c r="B32" s="129" t="s">
        <v>445</v>
      </c>
      <c r="C32" s="128"/>
      <c r="D32" s="130"/>
      <c r="E32" s="130"/>
      <c r="F32" s="131"/>
    </row>
    <row r="33" spans="1:255" x14ac:dyDescent="0.2">
      <c r="A33" s="128"/>
      <c r="B33" s="129"/>
      <c r="C33" s="128"/>
      <c r="D33" s="132"/>
      <c r="E33" s="132"/>
      <c r="F33" s="133"/>
    </row>
    <row r="34" spans="1:255" x14ac:dyDescent="0.2">
      <c r="A34" s="128"/>
      <c r="B34" s="129"/>
      <c r="C34" s="128"/>
      <c r="D34" s="130"/>
      <c r="E34" s="130"/>
      <c r="F34" s="131"/>
    </row>
    <row r="35" spans="1:255" x14ac:dyDescent="0.2">
      <c r="A35" s="128"/>
      <c r="B35" s="129"/>
      <c r="C35" s="128"/>
      <c r="D35" s="130"/>
      <c r="E35" s="130"/>
      <c r="F35" s="131"/>
    </row>
    <row r="36" spans="1:255" x14ac:dyDescent="0.2">
      <c r="A36" s="128"/>
      <c r="B36" s="129" t="s">
        <v>641</v>
      </c>
      <c r="C36" s="128"/>
      <c r="D36" s="130">
        <f>ROUND(D31,2)</f>
        <v>0</v>
      </c>
      <c r="E36" s="130">
        <f>ROUND(E31,2)</f>
        <v>0</v>
      </c>
      <c r="F36" s="131">
        <f>ROUND(F31,2)</f>
        <v>0</v>
      </c>
    </row>
    <row r="37" spans="1:255" x14ac:dyDescent="0.2">
      <c r="A37" s="128"/>
      <c r="B37" s="129" t="s">
        <v>642</v>
      </c>
      <c r="C37" s="128">
        <v>20</v>
      </c>
      <c r="D37" s="130">
        <f>ROUND(D36*C37/100,2)</f>
        <v>0</v>
      </c>
      <c r="E37" s="130">
        <f>ROUND(E36*C37/100,2)</f>
        <v>0</v>
      </c>
      <c r="F37" s="131">
        <f>ROUND(F36*C37/100,2)</f>
        <v>0</v>
      </c>
    </row>
    <row r="38" spans="1:255" x14ac:dyDescent="0.2">
      <c r="A38" s="124"/>
      <c r="B38" s="125" t="s">
        <v>643</v>
      </c>
      <c r="C38" s="124"/>
      <c r="D38" s="126">
        <f>ROUND(D36+D37,2)</f>
        <v>0</v>
      </c>
      <c r="E38" s="126">
        <f>ROUND(E36+E37,2)</f>
        <v>0</v>
      </c>
      <c r="F38" s="127">
        <f>ROUND(F36+F37,2)</f>
        <v>0</v>
      </c>
    </row>
    <row r="41" spans="1:255" x14ac:dyDescent="0.2">
      <c r="A41" s="134" t="s">
        <v>644</v>
      </c>
      <c r="B41" s="136"/>
      <c r="C41" s="135"/>
      <c r="D41" s="135"/>
      <c r="E41" s="198"/>
      <c r="F41" s="198"/>
      <c r="BY41" s="96">
        <f>B41</f>
        <v>0</v>
      </c>
      <c r="BZ41" s="96">
        <f>E41</f>
        <v>0</v>
      </c>
      <c r="IU41" s="97"/>
    </row>
    <row r="42" spans="1:255" s="138" customFormat="1" ht="11.25" x14ac:dyDescent="0.2">
      <c r="A42" s="137"/>
      <c r="B42" s="199" t="s">
        <v>645</v>
      </c>
      <c r="C42" s="199"/>
      <c r="D42" s="199"/>
      <c r="E42" s="199" t="s">
        <v>646</v>
      </c>
      <c r="F42" s="199"/>
    </row>
    <row r="43" spans="1:255" x14ac:dyDescent="0.2">
      <c r="A43" s="94"/>
      <c r="B43" s="94"/>
      <c r="C43" s="98" t="s">
        <v>647</v>
      </c>
      <c r="D43" s="94"/>
      <c r="E43" s="94"/>
      <c r="F43" s="94"/>
    </row>
    <row r="44" spans="1:255" x14ac:dyDescent="0.2">
      <c r="A44" s="134" t="s">
        <v>648</v>
      </c>
      <c r="B44" s="136"/>
      <c r="C44" s="135"/>
      <c r="D44" s="135"/>
      <c r="E44" s="198"/>
      <c r="F44" s="198"/>
      <c r="BY44" s="96">
        <f>B44</f>
        <v>0</v>
      </c>
      <c r="BZ44" s="96">
        <f>E44</f>
        <v>0</v>
      </c>
      <c r="IU44" s="97"/>
    </row>
    <row r="45" spans="1:255" s="138" customFormat="1" ht="11.25" x14ac:dyDescent="0.2">
      <c r="A45" s="137"/>
      <c r="B45" s="199" t="s">
        <v>645</v>
      </c>
      <c r="C45" s="199"/>
      <c r="D45" s="199"/>
      <c r="E45" s="199" t="s">
        <v>646</v>
      </c>
      <c r="F45" s="199"/>
    </row>
    <row r="46" spans="1:255" x14ac:dyDescent="0.2">
      <c r="A46" s="94"/>
      <c r="B46" s="94"/>
      <c r="C46" s="98" t="s">
        <v>647</v>
      </c>
      <c r="D46" s="94"/>
      <c r="E46" s="94"/>
      <c r="F46" s="94"/>
    </row>
  </sheetData>
  <mergeCells count="36">
    <mergeCell ref="E44:F44"/>
    <mergeCell ref="B45:D45"/>
    <mergeCell ref="E45:F45"/>
    <mergeCell ref="A22:F22"/>
    <mergeCell ref="A23:F23"/>
    <mergeCell ref="A24:F24"/>
    <mergeCell ref="D26:F26"/>
    <mergeCell ref="E41:F41"/>
    <mergeCell ref="B42:D42"/>
    <mergeCell ref="E42:F42"/>
    <mergeCell ref="B14:C14"/>
    <mergeCell ref="E14:F14"/>
    <mergeCell ref="E15:F15"/>
    <mergeCell ref="E16:F16"/>
    <mergeCell ref="C18:C19"/>
    <mergeCell ref="D18:D19"/>
    <mergeCell ref="E18:F18"/>
    <mergeCell ref="B11:C11"/>
    <mergeCell ref="E11:F11"/>
    <mergeCell ref="B12:C12"/>
    <mergeCell ref="E12:F12"/>
    <mergeCell ref="B13:D13"/>
    <mergeCell ref="E13:F13"/>
    <mergeCell ref="B8:C8"/>
    <mergeCell ref="E8:F8"/>
    <mergeCell ref="B9:C9"/>
    <mergeCell ref="E9:F9"/>
    <mergeCell ref="B10:C10"/>
    <mergeCell ref="E10:F10"/>
    <mergeCell ref="B7:C7"/>
    <mergeCell ref="E7:F7"/>
    <mergeCell ref="C2:F2"/>
    <mergeCell ref="C3:F3"/>
    <mergeCell ref="C4:F4"/>
    <mergeCell ref="E5:F5"/>
    <mergeCell ref="E6:F6"/>
  </mergeCells>
  <printOptions horizontalCentered="1"/>
  <pageMargins left="1.1811023622047201" right="0.39370078740157499" top="0.39370078740157499" bottom="0.39370078740157499" header="0" footer="0"/>
  <pageSetup paperSize="9" orientation="portrait" horizontalDpi="0" verticalDpi="0" r:id="rId1"/>
  <headerFooter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636"/>
  <sheetViews>
    <sheetView zoomScaleNormal="100" workbookViewId="0">
      <selection activeCell="A495" sqref="A495"/>
    </sheetView>
  </sheetViews>
  <sheetFormatPr defaultRowHeight="12.75" x14ac:dyDescent="0.2"/>
  <cols>
    <col min="1" max="2" width="5.7109375" customWidth="1"/>
    <col min="3" max="3" width="20.7109375" customWidth="1"/>
    <col min="4" max="4" width="40.7109375" customWidth="1"/>
    <col min="5" max="5" width="10.7109375" customWidth="1"/>
    <col min="6" max="13" width="15.7109375" customWidth="1"/>
    <col min="15" max="99" width="0" hidden="1" customWidth="1"/>
  </cols>
  <sheetData>
    <row r="1" spans="1:13" x14ac:dyDescent="0.2">
      <c r="A1" s="9" t="str">
        <f>Source!B1</f>
        <v>Smeta.RU  (495) 974-1589</v>
      </c>
    </row>
    <row r="2" spans="1:13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16" t="s">
        <v>584</v>
      </c>
      <c r="K2" s="216"/>
      <c r="L2" s="216"/>
      <c r="M2" s="216"/>
    </row>
    <row r="3" spans="1:13" ht="12.75" customHeight="1" x14ac:dyDescent="0.2">
      <c r="A3" s="26"/>
      <c r="B3" s="26"/>
      <c r="C3" s="26"/>
      <c r="D3" s="26"/>
      <c r="E3" s="26"/>
      <c r="F3" s="26"/>
      <c r="G3" s="26"/>
      <c r="H3" s="26"/>
      <c r="I3" s="216" t="s">
        <v>585</v>
      </c>
      <c r="J3" s="216"/>
      <c r="K3" s="216"/>
      <c r="L3" s="216"/>
      <c r="M3" s="216"/>
    </row>
    <row r="4" spans="1:13" ht="12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16" t="s">
        <v>586</v>
      </c>
      <c r="K4" s="216"/>
      <c r="L4" s="216"/>
      <c r="M4" s="216"/>
    </row>
    <row r="5" spans="1:13" ht="12.7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25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14" t="s">
        <v>587</v>
      </c>
      <c r="L6" s="214"/>
      <c r="M6" s="214"/>
    </row>
    <row r="7" spans="1:13" ht="28.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72" t="s">
        <v>588</v>
      </c>
      <c r="K7" s="217">
        <v>322005</v>
      </c>
      <c r="L7" s="218"/>
      <c r="M7" s="219"/>
    </row>
    <row r="8" spans="1:13" ht="12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74"/>
      <c r="K8" s="210" t="str">
        <f>IF(Source!AT15 &lt;&gt; "", Source!AT15, "")</f>
        <v/>
      </c>
      <c r="L8" s="211"/>
      <c r="M8" s="212"/>
    </row>
    <row r="9" spans="1:13" ht="14.25" customHeight="1" x14ac:dyDescent="0.2">
      <c r="A9" s="207" t="s">
        <v>589</v>
      </c>
      <c r="B9" s="207"/>
      <c r="C9" s="208" t="str">
        <f>IF(Source!BA15 &lt;&gt; "", Source!BA15, IF(Source!AU15 &lt;&gt; "", Source!AU15, ""))</f>
        <v/>
      </c>
      <c r="D9" s="208"/>
      <c r="E9" s="208"/>
      <c r="F9" s="208"/>
      <c r="G9" s="208"/>
      <c r="H9" s="208"/>
      <c r="I9" s="208"/>
      <c r="J9" s="75" t="s">
        <v>590</v>
      </c>
      <c r="K9" s="213"/>
      <c r="L9" s="214"/>
      <c r="M9" s="215"/>
    </row>
    <row r="10" spans="1:13" ht="12.75" customHeight="1" x14ac:dyDescent="0.2">
      <c r="A10" s="26"/>
      <c r="B10" s="26"/>
      <c r="C10" s="209" t="s">
        <v>591</v>
      </c>
      <c r="D10" s="209"/>
      <c r="E10" s="209"/>
      <c r="F10" s="209"/>
      <c r="G10" s="209"/>
      <c r="H10" s="209"/>
      <c r="I10" s="209"/>
      <c r="J10" s="74"/>
      <c r="K10" s="210" t="str">
        <f>IF(Source!AK15 &lt;&gt; "", Source!AK15, "")</f>
        <v/>
      </c>
      <c r="L10" s="211"/>
      <c r="M10" s="212"/>
    </row>
    <row r="11" spans="1:13" ht="14.25" customHeight="1" x14ac:dyDescent="0.2">
      <c r="A11" s="207" t="s">
        <v>592</v>
      </c>
      <c r="B11" s="207"/>
      <c r="C11" s="208" t="str">
        <f>IF(Source!AX12&lt;&gt; "", Source!AX12, IF(Source!AJ12 &lt;&gt; "", Source!AJ12, ""))</f>
        <v/>
      </c>
      <c r="D11" s="208"/>
      <c r="E11" s="208"/>
      <c r="F11" s="208"/>
      <c r="G11" s="208"/>
      <c r="H11" s="208"/>
      <c r="I11" s="208"/>
      <c r="J11" s="75" t="s">
        <v>590</v>
      </c>
      <c r="K11" s="213"/>
      <c r="L11" s="214"/>
      <c r="M11" s="215"/>
    </row>
    <row r="12" spans="1:13" ht="12.75" customHeight="1" x14ac:dyDescent="0.2">
      <c r="A12" s="26"/>
      <c r="B12" s="26"/>
      <c r="C12" s="209" t="s">
        <v>591</v>
      </c>
      <c r="D12" s="209"/>
      <c r="E12" s="209"/>
      <c r="F12" s="209"/>
      <c r="G12" s="209"/>
      <c r="H12" s="209"/>
      <c r="I12" s="209"/>
      <c r="J12" s="74"/>
      <c r="K12" s="210" t="str">
        <f>IF(Source!AO15 &lt;&gt; "", Source!AO15, "")</f>
        <v/>
      </c>
      <c r="L12" s="211"/>
      <c r="M12" s="212"/>
    </row>
    <row r="13" spans="1:13" ht="14.25" customHeight="1" x14ac:dyDescent="0.2">
      <c r="A13" s="207" t="s">
        <v>593</v>
      </c>
      <c r="B13" s="207"/>
      <c r="C13" s="208" t="str">
        <f>IF(Source!AY12&lt;&gt; "", Source!AY12, IF(Source!AN12 &lt;&gt; "", Source!AN12, ""))</f>
        <v/>
      </c>
      <c r="D13" s="208"/>
      <c r="E13" s="208"/>
      <c r="F13" s="208"/>
      <c r="G13" s="208"/>
      <c r="H13" s="208"/>
      <c r="I13" s="208"/>
      <c r="J13" s="75" t="s">
        <v>590</v>
      </c>
      <c r="K13" s="213"/>
      <c r="L13" s="214"/>
      <c r="M13" s="215"/>
    </row>
    <row r="14" spans="1:13" ht="12.75" customHeight="1" x14ac:dyDescent="0.2">
      <c r="A14" s="26"/>
      <c r="B14" s="26"/>
      <c r="C14" s="209" t="s">
        <v>591</v>
      </c>
      <c r="D14" s="209"/>
      <c r="E14" s="209"/>
      <c r="F14" s="209"/>
      <c r="G14" s="209"/>
      <c r="H14" s="209"/>
      <c r="I14" s="209"/>
      <c r="J14" s="74"/>
      <c r="K14" s="210" t="str">
        <f>IF(Source!CO15 &lt;&gt; "", Source!CO15, "")</f>
        <v/>
      </c>
      <c r="L14" s="211"/>
      <c r="M14" s="212"/>
    </row>
    <row r="15" spans="1:13" ht="14.25" customHeight="1" x14ac:dyDescent="0.2">
      <c r="A15" s="207" t="s">
        <v>594</v>
      </c>
      <c r="B15" s="207"/>
      <c r="C15" s="208" t="s">
        <v>5</v>
      </c>
      <c r="D15" s="208"/>
      <c r="E15" s="208"/>
      <c r="F15" s="208"/>
      <c r="G15" s="208"/>
      <c r="H15" s="208"/>
      <c r="I15" s="208"/>
      <c r="J15" s="76"/>
      <c r="K15" s="213"/>
      <c r="L15" s="214"/>
      <c r="M15" s="215"/>
    </row>
    <row r="16" spans="1:13" ht="12.75" customHeight="1" x14ac:dyDescent="0.2">
      <c r="A16" s="26"/>
      <c r="B16" s="26"/>
      <c r="C16" s="209" t="s">
        <v>595</v>
      </c>
      <c r="D16" s="209"/>
      <c r="E16" s="209"/>
      <c r="F16" s="209"/>
      <c r="G16" s="209"/>
      <c r="H16" s="209"/>
      <c r="I16" s="209"/>
      <c r="J16" s="74"/>
      <c r="K16" s="210" t="str">
        <f>IF(Source!CP15 &lt;&gt; "", Source!CP15, "")</f>
        <v/>
      </c>
      <c r="L16" s="211"/>
      <c r="M16" s="212"/>
    </row>
    <row r="17" spans="1:13" ht="14.25" customHeight="1" x14ac:dyDescent="0.2">
      <c r="A17" s="207" t="s">
        <v>596</v>
      </c>
      <c r="B17" s="207"/>
      <c r="C17" s="208" t="str">
        <f>IF(Source!G12&lt;&gt;"Новый объект", Source!G12, "")</f>
        <v>Текущий ремонт помещения №10  Налоговой инспекции, по адресу: г.Орел, Московское шоссе, д.19</v>
      </c>
      <c r="D17" s="208"/>
      <c r="E17" s="208"/>
      <c r="F17" s="208"/>
      <c r="G17" s="208"/>
      <c r="H17" s="208"/>
      <c r="I17" s="208"/>
      <c r="J17" s="76"/>
      <c r="K17" s="213"/>
      <c r="L17" s="214"/>
      <c r="M17" s="215"/>
    </row>
    <row r="18" spans="1:13" ht="12.75" customHeight="1" x14ac:dyDescent="0.2">
      <c r="A18" s="26"/>
      <c r="B18" s="26"/>
      <c r="C18" s="209" t="s">
        <v>597</v>
      </c>
      <c r="D18" s="209"/>
      <c r="E18" s="209"/>
      <c r="F18" s="209"/>
      <c r="G18" s="209"/>
      <c r="H18" s="209"/>
      <c r="I18" s="209"/>
      <c r="J18" s="26"/>
      <c r="K18" s="78"/>
      <c r="L18" s="78"/>
      <c r="M18" s="78"/>
    </row>
    <row r="19" spans="1:13" ht="14.25" customHeight="1" x14ac:dyDescent="0.2">
      <c r="A19" s="26"/>
      <c r="B19" s="26"/>
      <c r="C19" s="26"/>
      <c r="D19" s="26"/>
      <c r="E19" s="26"/>
      <c r="F19" s="26"/>
      <c r="G19" s="26"/>
      <c r="H19" s="220" t="s">
        <v>598</v>
      </c>
      <c r="I19" s="220"/>
      <c r="J19" s="221"/>
      <c r="K19" s="217" t="str">
        <f>IF(Source!CQ15 &lt;&gt; "", Source!CQ15, "")</f>
        <v/>
      </c>
      <c r="L19" s="218"/>
      <c r="M19" s="219"/>
    </row>
    <row r="20" spans="1:13" ht="14.25" customHeight="1" x14ac:dyDescent="0.2">
      <c r="A20" s="26"/>
      <c r="B20" s="26"/>
      <c r="C20" s="26"/>
      <c r="D20" s="26"/>
      <c r="E20" s="26"/>
      <c r="F20" s="26"/>
      <c r="G20" s="26"/>
      <c r="H20" s="222" t="s">
        <v>599</v>
      </c>
      <c r="I20" s="223"/>
      <c r="J20" s="79" t="s">
        <v>600</v>
      </c>
      <c r="K20" s="217" t="str">
        <f>IF(Source!CR15 &lt;&gt; "", Source!CR15, "")</f>
        <v/>
      </c>
      <c r="L20" s="218"/>
      <c r="M20" s="219"/>
    </row>
    <row r="21" spans="1:13" ht="14.25" customHeight="1" x14ac:dyDescent="0.2">
      <c r="A21" s="26"/>
      <c r="B21" s="26"/>
      <c r="C21" s="26"/>
      <c r="D21" s="26"/>
      <c r="E21" s="26"/>
      <c r="F21" s="26"/>
      <c r="G21" s="26"/>
      <c r="H21" s="26"/>
      <c r="I21" s="73"/>
      <c r="J21" s="79" t="s">
        <v>601</v>
      </c>
      <c r="K21" s="224" t="str">
        <f>IF(Source!CS15 &lt;&gt; 0, Source!CS15, "")</f>
        <v/>
      </c>
      <c r="L21" s="225"/>
      <c r="M21" s="226"/>
    </row>
    <row r="22" spans="1:13" ht="14.2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80" t="s">
        <v>602</v>
      </c>
      <c r="K22" s="217" t="str">
        <f>IF(Source!CT15 &lt;&gt; "", Source!CT15, "")</f>
        <v/>
      </c>
      <c r="L22" s="218"/>
      <c r="M22" s="219"/>
    </row>
    <row r="23" spans="1:13" ht="12.75" customHeight="1" x14ac:dyDescent="0.2">
      <c r="A23" s="26"/>
      <c r="B23" s="26"/>
      <c r="C23" s="26"/>
      <c r="D23" s="26"/>
      <c r="E23" s="26"/>
      <c r="F23" s="26"/>
      <c r="G23" s="81"/>
      <c r="H23" s="81"/>
      <c r="I23" s="81"/>
      <c r="J23" s="81"/>
      <c r="K23" s="77"/>
      <c r="L23" s="77"/>
      <c r="M23" s="77"/>
    </row>
    <row r="24" spans="1:13" ht="12.75" customHeight="1" x14ac:dyDescent="0.2">
      <c r="A24" s="26"/>
      <c r="B24" s="26"/>
      <c r="C24" s="26"/>
      <c r="D24" s="26"/>
      <c r="E24" s="26"/>
      <c r="F24" s="74"/>
      <c r="G24" s="227" t="s">
        <v>603</v>
      </c>
      <c r="H24" s="147" t="s">
        <v>604</v>
      </c>
      <c r="I24" s="230" t="s">
        <v>605</v>
      </c>
      <c r="J24" s="231"/>
      <c r="K24" s="82"/>
      <c r="L24" s="26"/>
      <c r="M24" s="26"/>
    </row>
    <row r="25" spans="1:13" ht="12.75" customHeight="1" x14ac:dyDescent="0.2">
      <c r="A25" s="26"/>
      <c r="B25" s="26"/>
      <c r="C25" s="26"/>
      <c r="D25" s="26"/>
      <c r="E25" s="26"/>
      <c r="F25" s="76"/>
      <c r="G25" s="228"/>
      <c r="H25" s="229"/>
      <c r="I25" s="33" t="s">
        <v>606</v>
      </c>
      <c r="J25" s="33" t="s">
        <v>607</v>
      </c>
      <c r="K25" s="82"/>
      <c r="L25" s="26"/>
      <c r="M25" s="26"/>
    </row>
    <row r="26" spans="1:13" ht="12.75" customHeight="1" x14ac:dyDescent="0.2">
      <c r="A26" s="26"/>
      <c r="B26" s="26"/>
      <c r="C26" s="26"/>
      <c r="D26" s="26"/>
      <c r="E26" s="26"/>
      <c r="F26" s="73"/>
      <c r="G26" s="83" t="str">
        <f>IF(Source!CN15 &lt;&gt; "", Source!CN15, "")</f>
        <v/>
      </c>
      <c r="H26" s="84" t="str">
        <f>IF(Source!CX15 &lt;&gt; 0, Source!CX15, "")</f>
        <v/>
      </c>
      <c r="I26" s="84" t="str">
        <f>IF(Source!CV15 &lt;&gt; 0, Source!CV15, "")</f>
        <v/>
      </c>
      <c r="J26" s="84" t="str">
        <f>IF(Source!CW15 &lt;&gt; 0, Source!CW15, "")</f>
        <v/>
      </c>
      <c r="K26" s="82"/>
      <c r="L26" s="26"/>
      <c r="M26" s="26"/>
    </row>
    <row r="27" spans="1:13" ht="12.75" customHeight="1" x14ac:dyDescent="0.2">
      <c r="A27" s="26"/>
      <c r="B27" s="26"/>
      <c r="C27" s="26"/>
      <c r="D27" s="26"/>
      <c r="E27" s="26"/>
      <c r="F27" s="26"/>
      <c r="G27" s="77"/>
      <c r="H27" s="77"/>
      <c r="I27" s="77"/>
      <c r="J27" s="77"/>
      <c r="K27" s="26"/>
      <c r="L27" s="26"/>
      <c r="M27" s="26"/>
    </row>
    <row r="28" spans="1:13" ht="18" customHeight="1" x14ac:dyDescent="0.25">
      <c r="A28" s="232" t="s">
        <v>608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</row>
    <row r="29" spans="1:13" ht="18" customHeight="1" x14ac:dyDescent="0.25">
      <c r="A29" s="232" t="s">
        <v>609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</row>
    <row r="30" spans="1:13" ht="12.7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4.25" customHeight="1" x14ac:dyDescent="0.2">
      <c r="A31" s="233" t="s">
        <v>468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</row>
    <row r="32" spans="1:13" ht="12.75" customHeight="1" x14ac:dyDescent="0.2">
      <c r="A32" s="230" t="s">
        <v>453</v>
      </c>
      <c r="B32" s="234"/>
      <c r="C32" s="227" t="s">
        <v>454</v>
      </c>
      <c r="D32" s="147" t="s">
        <v>455</v>
      </c>
      <c r="E32" s="147" t="s">
        <v>456</v>
      </c>
      <c r="F32" s="150" t="s">
        <v>457</v>
      </c>
      <c r="G32" s="151"/>
      <c r="H32" s="152"/>
      <c r="I32" s="150" t="s">
        <v>458</v>
      </c>
      <c r="J32" s="151"/>
      <c r="K32" s="151"/>
      <c r="L32" s="151"/>
      <c r="M32" s="152"/>
    </row>
    <row r="33" spans="1:82" ht="12.75" customHeight="1" x14ac:dyDescent="0.2">
      <c r="A33" s="147" t="s">
        <v>453</v>
      </c>
      <c r="B33" s="237" t="s">
        <v>610</v>
      </c>
      <c r="C33" s="235"/>
      <c r="D33" s="148"/>
      <c r="E33" s="148"/>
      <c r="F33" s="153"/>
      <c r="G33" s="154"/>
      <c r="H33" s="155"/>
      <c r="I33" s="159"/>
      <c r="J33" s="154"/>
      <c r="K33" s="154"/>
      <c r="L33" s="154"/>
      <c r="M33" s="155"/>
    </row>
    <row r="34" spans="1:82" ht="12.75" customHeight="1" x14ac:dyDescent="0.2">
      <c r="A34" s="148"/>
      <c r="B34" s="238"/>
      <c r="C34" s="235"/>
      <c r="D34" s="148"/>
      <c r="E34" s="148"/>
      <c r="F34" s="153"/>
      <c r="G34" s="154"/>
      <c r="H34" s="155"/>
      <c r="I34" s="159"/>
      <c r="J34" s="154"/>
      <c r="K34" s="154"/>
      <c r="L34" s="154"/>
      <c r="M34" s="155"/>
    </row>
    <row r="35" spans="1:82" ht="12.75" customHeight="1" x14ac:dyDescent="0.2">
      <c r="A35" s="148"/>
      <c r="B35" s="238"/>
      <c r="C35" s="235"/>
      <c r="D35" s="148"/>
      <c r="E35" s="148"/>
      <c r="F35" s="156"/>
      <c r="G35" s="157"/>
      <c r="H35" s="158"/>
      <c r="I35" s="160"/>
      <c r="J35" s="157"/>
      <c r="K35" s="157"/>
      <c r="L35" s="157"/>
      <c r="M35" s="158"/>
    </row>
    <row r="36" spans="1:82" ht="51" customHeight="1" x14ac:dyDescent="0.2">
      <c r="A36" s="149"/>
      <c r="B36" s="239"/>
      <c r="C36" s="236"/>
      <c r="D36" s="149"/>
      <c r="E36" s="149"/>
      <c r="F36" s="33" t="s">
        <v>459</v>
      </c>
      <c r="G36" s="33" t="s">
        <v>460</v>
      </c>
      <c r="H36" s="34" t="s">
        <v>461</v>
      </c>
      <c r="I36" s="33" t="s">
        <v>462</v>
      </c>
      <c r="J36" s="33" t="s">
        <v>463</v>
      </c>
      <c r="K36" s="33" t="s">
        <v>464</v>
      </c>
      <c r="L36" s="33" t="s">
        <v>460</v>
      </c>
      <c r="M36" s="33" t="s">
        <v>465</v>
      </c>
    </row>
    <row r="37" spans="1:82" ht="12.75" customHeight="1" x14ac:dyDescent="0.2">
      <c r="A37" s="85">
        <v>1</v>
      </c>
      <c r="B37" s="85">
        <v>2</v>
      </c>
      <c r="C37" s="85">
        <v>3</v>
      </c>
      <c r="D37" s="85">
        <v>4</v>
      </c>
      <c r="E37" s="85">
        <v>5</v>
      </c>
      <c r="F37" s="85">
        <v>6</v>
      </c>
      <c r="G37" s="85">
        <v>7</v>
      </c>
      <c r="H37" s="85">
        <v>8</v>
      </c>
      <c r="I37" s="85">
        <v>9</v>
      </c>
      <c r="J37" s="85">
        <v>10</v>
      </c>
      <c r="K37" s="85">
        <v>11</v>
      </c>
      <c r="L37" s="85">
        <v>12</v>
      </c>
      <c r="M37" s="85">
        <v>13</v>
      </c>
    </row>
    <row r="39" spans="1:82" ht="16.5" x14ac:dyDescent="0.2">
      <c r="A39" s="165" t="s">
        <v>611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</row>
    <row r="40" spans="1:82" ht="28.5" x14ac:dyDescent="0.2">
      <c r="A40" s="38" t="s">
        <v>14</v>
      </c>
      <c r="B40" s="40">
        <v>2</v>
      </c>
      <c r="C40" s="40" t="s">
        <v>469</v>
      </c>
      <c r="D40" s="40" t="str">
        <f>Source!G24</f>
        <v>Разборка плинтусов: деревянных и из пластмассовых материалов</v>
      </c>
      <c r="E40" s="41" t="str">
        <f>Source!H24</f>
        <v>100 м</v>
      </c>
      <c r="F40" s="44">
        <f>Source!K24</f>
        <v>0.33400000000000002</v>
      </c>
      <c r="G40" s="39"/>
      <c r="H40" s="44">
        <f>Source!I24</f>
        <v>0.33400000000000002</v>
      </c>
      <c r="I40" s="45"/>
      <c r="J40" s="43"/>
      <c r="K40" s="45"/>
      <c r="L40" s="40"/>
      <c r="M40" s="45"/>
    </row>
    <row r="41" spans="1:82" ht="15" x14ac:dyDescent="0.2">
      <c r="A41" s="39"/>
      <c r="B41" s="39"/>
      <c r="C41" s="42">
        <v>1</v>
      </c>
      <c r="D41" s="39" t="s">
        <v>470</v>
      </c>
      <c r="E41" s="41" t="s">
        <v>278</v>
      </c>
      <c r="F41" s="44"/>
      <c r="G41" s="42"/>
      <c r="H41" s="44">
        <f>Source!U24</f>
        <v>1.2591800000000002</v>
      </c>
      <c r="I41" s="42"/>
      <c r="J41" s="42"/>
      <c r="K41" s="42"/>
      <c r="L41" s="42"/>
      <c r="M41" s="46">
        <f>SUM(M42:M42)-SUMIF(CE42:CE42, 1, M42:M42)</f>
        <v>273.57</v>
      </c>
    </row>
    <row r="42" spans="1:82" ht="28.5" x14ac:dyDescent="0.2">
      <c r="A42" s="40"/>
      <c r="B42" s="40"/>
      <c r="C42" s="40" t="s">
        <v>276</v>
      </c>
      <c r="D42" s="40" t="s">
        <v>277</v>
      </c>
      <c r="E42" s="41" t="s">
        <v>278</v>
      </c>
      <c r="F42" s="44">
        <v>3.77</v>
      </c>
      <c r="G42" s="39"/>
      <c r="H42" s="44">
        <f>SmtRes!CX1</f>
        <v>1.25918</v>
      </c>
      <c r="I42" s="45"/>
      <c r="J42" s="43"/>
      <c r="K42" s="45">
        <f>SmtRes!CZ1</f>
        <v>217.26</v>
      </c>
      <c r="L42" s="40"/>
      <c r="M42" s="45">
        <f>SmtRes!DI1</f>
        <v>273.57</v>
      </c>
    </row>
    <row r="43" spans="1:82" ht="15" x14ac:dyDescent="0.2">
      <c r="A43" s="39"/>
      <c r="B43" s="39"/>
      <c r="C43" s="42">
        <v>4</v>
      </c>
      <c r="D43" s="47" t="s">
        <v>471</v>
      </c>
      <c r="E43" s="48"/>
      <c r="F43" s="49"/>
      <c r="G43" s="50"/>
      <c r="H43" s="49"/>
      <c r="I43" s="50"/>
      <c r="J43" s="50"/>
      <c r="K43" s="50"/>
      <c r="L43" s="50"/>
      <c r="M43" s="51">
        <f>0</f>
        <v>0</v>
      </c>
    </row>
    <row r="44" spans="1:82" ht="15" x14ac:dyDescent="0.2">
      <c r="A44" s="40"/>
      <c r="B44" s="40"/>
      <c r="C44" s="40"/>
      <c r="D44" s="53" t="s">
        <v>472</v>
      </c>
      <c r="E44" s="41"/>
      <c r="F44" s="44"/>
      <c r="G44" s="39"/>
      <c r="H44" s="44"/>
      <c r="I44" s="45"/>
      <c r="J44" s="43"/>
      <c r="K44" s="45"/>
      <c r="L44" s="40"/>
      <c r="M44" s="45">
        <f>M41+M43</f>
        <v>273.57</v>
      </c>
    </row>
    <row r="45" spans="1:82" ht="14.25" x14ac:dyDescent="0.2">
      <c r="A45" s="40"/>
      <c r="B45" s="40"/>
      <c r="C45" s="40"/>
      <c r="D45" s="40" t="s">
        <v>473</v>
      </c>
      <c r="E45" s="41"/>
      <c r="F45" s="44"/>
      <c r="G45" s="39"/>
      <c r="H45" s="44"/>
      <c r="I45" s="45"/>
      <c r="J45" s="43"/>
      <c r="K45" s="45"/>
      <c r="L45" s="40"/>
      <c r="M45" s="45">
        <f>SUM(AR40:AR48)+SUM(AS40:AS48)+SUM(AT40:AT48)+SUM(AU40:AU48)+SUM(AV40:AV48)</f>
        <v>273.57</v>
      </c>
    </row>
    <row r="46" spans="1:82" ht="14.25" x14ac:dyDescent="0.2">
      <c r="A46" s="40"/>
      <c r="B46" s="40"/>
      <c r="C46" s="40" t="s">
        <v>22</v>
      </c>
      <c r="D46" s="40" t="s">
        <v>474</v>
      </c>
      <c r="E46" s="41" t="s">
        <v>384</v>
      </c>
      <c r="F46" s="44">
        <f>Source!BZ24</f>
        <v>89</v>
      </c>
      <c r="G46" s="39"/>
      <c r="H46" s="44">
        <f>Source!AT24</f>
        <v>89</v>
      </c>
      <c r="I46" s="45"/>
      <c r="J46" s="43"/>
      <c r="K46" s="45"/>
      <c r="L46" s="40"/>
      <c r="M46" s="45">
        <f>SUM(AZ40:AZ48)</f>
        <v>243.48</v>
      </c>
    </row>
    <row r="47" spans="1:82" ht="14.25" x14ac:dyDescent="0.2">
      <c r="A47" s="55"/>
      <c r="B47" s="55"/>
      <c r="C47" s="55" t="s">
        <v>23</v>
      </c>
      <c r="D47" s="55" t="s">
        <v>475</v>
      </c>
      <c r="E47" s="48" t="s">
        <v>384</v>
      </c>
      <c r="F47" s="49">
        <f>Source!CA24</f>
        <v>49</v>
      </c>
      <c r="G47" s="47"/>
      <c r="H47" s="49">
        <f>Source!AU24</f>
        <v>49</v>
      </c>
      <c r="I47" s="56"/>
      <c r="J47" s="57"/>
      <c r="K47" s="56"/>
      <c r="L47" s="55"/>
      <c r="M47" s="56">
        <f>SUM(BA40:BA48)</f>
        <v>134.05000000000001</v>
      </c>
    </row>
    <row r="48" spans="1:82" ht="15" x14ac:dyDescent="0.2">
      <c r="D48" s="163" t="s">
        <v>476</v>
      </c>
      <c r="E48" s="163"/>
      <c r="F48" s="163"/>
      <c r="G48" s="163"/>
      <c r="H48" s="163"/>
      <c r="I48" s="163"/>
      <c r="J48" s="164">
        <f>L48/F40</f>
        <v>1949.40119760479</v>
      </c>
      <c r="K48" s="164"/>
      <c r="L48" s="164">
        <f>M41+M43+M46+M47</f>
        <v>651.09999999999991</v>
      </c>
      <c r="M48" s="164"/>
      <c r="AD48">
        <f>ROUND((Source!AT24/100)*((ROUND(SUMIF(SmtRes!AQ1:'SmtRes'!AQ2,"=1",SmtRes!AD1:'SmtRes'!AD2)*Source!I24, 2)+ROUND(SUMIF(SmtRes!AQ1:'SmtRes'!AQ2,"=1",SmtRes!AC1:'SmtRes'!AC2)*Source!I24, 2))), 2)</f>
        <v>64.58</v>
      </c>
      <c r="AE48">
        <f>ROUND((Source!AU24/100)*((ROUND(SUMIF(SmtRes!AQ1:'SmtRes'!AQ2,"=1",SmtRes!AD1:'SmtRes'!AD2)*Source!I24, 2)+ROUND(SUMIF(SmtRes!AQ1:'SmtRes'!AQ2,"=1",SmtRes!AC1:'SmtRes'!AC2)*Source!I24, 2))), 2)</f>
        <v>35.549999999999997</v>
      </c>
      <c r="AN48" s="52">
        <f>M41+M43+M46+M47</f>
        <v>651.09999999999991</v>
      </c>
      <c r="AO48">
        <f>0</f>
        <v>0</v>
      </c>
      <c r="AQ48" t="s">
        <v>477</v>
      </c>
      <c r="AR48" s="52">
        <f>M41</f>
        <v>273.57</v>
      </c>
      <c r="AT48">
        <f>0</f>
        <v>0</v>
      </c>
      <c r="AV48" t="s">
        <v>477</v>
      </c>
      <c r="AW48" s="52">
        <f>M43</f>
        <v>0</v>
      </c>
      <c r="AZ48">
        <f>Source!X24</f>
        <v>243.48</v>
      </c>
      <c r="BA48">
        <f>Source!Y24</f>
        <v>134.05000000000001</v>
      </c>
      <c r="CD48">
        <v>1</v>
      </c>
    </row>
    <row r="49" spans="1:83" ht="119.25" x14ac:dyDescent="0.2">
      <c r="A49" s="38" t="s">
        <v>24</v>
      </c>
      <c r="B49" s="40">
        <v>3</v>
      </c>
      <c r="C49" s="40" t="s">
        <v>478</v>
      </c>
      <c r="D49" s="40" t="s">
        <v>479</v>
      </c>
      <c r="E49" s="41" t="str">
        <f>Source!H25</f>
        <v>100 м</v>
      </c>
      <c r="F49" s="44">
        <f>Source!K25</f>
        <v>0.33400000000000002</v>
      </c>
      <c r="G49" s="39"/>
      <c r="H49" s="44">
        <f>Source!I25</f>
        <v>0.33400000000000002</v>
      </c>
      <c r="I49" s="45"/>
      <c r="J49" s="43"/>
      <c r="K49" s="45"/>
      <c r="L49" s="40"/>
      <c r="M49" s="45"/>
    </row>
    <row r="50" spans="1:83" ht="15" x14ac:dyDescent="0.2">
      <c r="A50" s="39"/>
      <c r="B50" s="39"/>
      <c r="C50" s="42">
        <v>1</v>
      </c>
      <c r="D50" s="39" t="s">
        <v>470</v>
      </c>
      <c r="E50" s="41" t="s">
        <v>278</v>
      </c>
      <c r="F50" s="44"/>
      <c r="G50" s="42"/>
      <c r="H50" s="44">
        <f>Source!U25</f>
        <v>2.565788</v>
      </c>
      <c r="I50" s="42"/>
      <c r="J50" s="42"/>
      <c r="K50" s="42"/>
      <c r="L50" s="42"/>
      <c r="M50" s="46">
        <f>SUM(M51:M51)-SUMIF(CE51:CE51, 1, M51:M51)</f>
        <v>654.61</v>
      </c>
    </row>
    <row r="51" spans="1:83" ht="28.5" x14ac:dyDescent="0.2">
      <c r="A51" s="40"/>
      <c r="B51" s="40"/>
      <c r="C51" s="40" t="s">
        <v>282</v>
      </c>
      <c r="D51" s="40" t="s">
        <v>283</v>
      </c>
      <c r="E51" s="41" t="s">
        <v>278</v>
      </c>
      <c r="F51" s="44">
        <v>6.68</v>
      </c>
      <c r="G51" s="39">
        <f>ROUND(1.15,7)</f>
        <v>1.1499999999999999</v>
      </c>
      <c r="H51" s="44">
        <f>SmtRes!CX3</f>
        <v>2.565788</v>
      </c>
      <c r="I51" s="45"/>
      <c r="J51" s="43"/>
      <c r="K51" s="45">
        <f>SmtRes!CZ3</f>
        <v>255.13</v>
      </c>
      <c r="L51" s="40"/>
      <c r="M51" s="45">
        <f>SmtRes!DI3</f>
        <v>654.61</v>
      </c>
    </row>
    <row r="52" spans="1:83" ht="15" x14ac:dyDescent="0.2">
      <c r="A52" s="39"/>
      <c r="B52" s="39"/>
      <c r="C52" s="42">
        <v>2</v>
      </c>
      <c r="D52" s="39" t="s">
        <v>480</v>
      </c>
      <c r="E52" s="41"/>
      <c r="F52" s="44"/>
      <c r="G52" s="42"/>
      <c r="H52" s="44"/>
      <c r="I52" s="42"/>
      <c r="J52" s="42"/>
      <c r="K52" s="42"/>
      <c r="L52" s="42"/>
      <c r="M52" s="46">
        <f>SUM(M53:M57)-SUMIF(CE53:CE57, 1, M53:M57)</f>
        <v>6.8600000000000012</v>
      </c>
    </row>
    <row r="53" spans="1:83" ht="15" x14ac:dyDescent="0.2">
      <c r="A53" s="39"/>
      <c r="B53" s="39"/>
      <c r="C53" s="42"/>
      <c r="D53" s="39" t="s">
        <v>483</v>
      </c>
      <c r="E53" s="41" t="s">
        <v>278</v>
      </c>
      <c r="F53" s="44"/>
      <c r="G53" s="42"/>
      <c r="H53" s="44">
        <f>Source!V25</f>
        <v>1.6700000000000003E-2</v>
      </c>
      <c r="I53" s="42"/>
      <c r="J53" s="42"/>
      <c r="K53" s="42"/>
      <c r="L53" s="42"/>
      <c r="M53" s="46">
        <f>SUMIF(CE54:CE57, 1, M54:M57)</f>
        <v>3.85</v>
      </c>
      <c r="CE53">
        <v>1</v>
      </c>
    </row>
    <row r="54" spans="1:83" ht="42.75" x14ac:dyDescent="0.2">
      <c r="A54" s="40"/>
      <c r="B54" s="40"/>
      <c r="C54" s="40" t="s">
        <v>286</v>
      </c>
      <c r="D54" s="40" t="s">
        <v>288</v>
      </c>
      <c r="E54" s="41" t="s">
        <v>289</v>
      </c>
      <c r="F54" s="44">
        <v>5.0000000000000001E-3</v>
      </c>
      <c r="G54" s="39">
        <f>ROUND(1.25,7)</f>
        <v>1.25</v>
      </c>
      <c r="H54" s="44">
        <f>SmtRes!CX5</f>
        <v>2.0874999999999999E-3</v>
      </c>
      <c r="I54" s="45">
        <f>SmtRes!CZ5</f>
        <v>37.32</v>
      </c>
      <c r="J54" s="43">
        <f>SmtRes!AJ5</f>
        <v>1.31</v>
      </c>
      <c r="K54" s="45">
        <f>ROUND(I54*J54, 2)</f>
        <v>48.89</v>
      </c>
      <c r="L54" s="40"/>
      <c r="M54" s="45">
        <f>SmtRes!DG5</f>
        <v>0.1</v>
      </c>
    </row>
    <row r="55" spans="1:83" ht="28.5" x14ac:dyDescent="0.2">
      <c r="A55" s="40"/>
      <c r="B55" s="40"/>
      <c r="C55" s="40" t="s">
        <v>290</v>
      </c>
      <c r="D55" s="40" t="s">
        <v>481</v>
      </c>
      <c r="E55" s="41" t="s">
        <v>278</v>
      </c>
      <c r="F55" s="44">
        <f>SmtRes!DO5*SmtRes!AT5</f>
        <v>5.0000000000000001E-3</v>
      </c>
      <c r="G55" s="39">
        <f>ROUND(1.25,7)</f>
        <v>1.25</v>
      </c>
      <c r="H55" s="44">
        <f>SmtRes!DO5*SmtRes!CX5</f>
        <v>2.0874999999999999E-3</v>
      </c>
      <c r="I55" s="45"/>
      <c r="J55" s="43"/>
      <c r="K55" s="45">
        <f>ROUND(SmtRes!AG5/SmtRes!DO5, 2)</f>
        <v>237.19</v>
      </c>
      <c r="L55" s="40"/>
      <c r="M55" s="45">
        <f>SmtRes!DH5</f>
        <v>0.5</v>
      </c>
      <c r="CE55">
        <v>1</v>
      </c>
    </row>
    <row r="56" spans="1:83" ht="28.5" x14ac:dyDescent="0.2">
      <c r="A56" s="40"/>
      <c r="B56" s="40"/>
      <c r="C56" s="40" t="s">
        <v>291</v>
      </c>
      <c r="D56" s="40" t="s">
        <v>293</v>
      </c>
      <c r="E56" s="41" t="s">
        <v>289</v>
      </c>
      <c r="F56" s="44">
        <v>0.03</v>
      </c>
      <c r="G56" s="39">
        <f>ROUND(1.25,7)</f>
        <v>1.25</v>
      </c>
      <c r="H56" s="44">
        <f>SmtRes!CX6</f>
        <v>1.2525E-2</v>
      </c>
      <c r="I56" s="45">
        <f>SmtRes!CZ6</f>
        <v>477.92</v>
      </c>
      <c r="J56" s="43">
        <f>SmtRes!AJ6</f>
        <v>1.1299999999999999</v>
      </c>
      <c r="K56" s="45">
        <f>ROUND(I56*J56, 2)</f>
        <v>540.04999999999995</v>
      </c>
      <c r="L56" s="40"/>
      <c r="M56" s="45">
        <f>SmtRes!DG6</f>
        <v>6.76</v>
      </c>
    </row>
    <row r="57" spans="1:83" ht="28.5" x14ac:dyDescent="0.2">
      <c r="A57" s="40"/>
      <c r="B57" s="40"/>
      <c r="C57" s="40" t="s">
        <v>294</v>
      </c>
      <c r="D57" s="40" t="s">
        <v>482</v>
      </c>
      <c r="E57" s="41" t="s">
        <v>278</v>
      </c>
      <c r="F57" s="44">
        <f>SmtRes!DO6*SmtRes!AT6</f>
        <v>0.03</v>
      </c>
      <c r="G57" s="39">
        <f>ROUND(1.25,7)</f>
        <v>1.25</v>
      </c>
      <c r="H57" s="44">
        <f>SmtRes!DO6*SmtRes!CX6</f>
        <v>1.2525E-2</v>
      </c>
      <c r="I57" s="45"/>
      <c r="J57" s="43"/>
      <c r="K57" s="45">
        <f>ROUND(SmtRes!AG6/SmtRes!DO6, 2)</f>
        <v>267.08999999999997</v>
      </c>
      <c r="L57" s="40"/>
      <c r="M57" s="45">
        <f>SmtRes!DH6</f>
        <v>3.35</v>
      </c>
      <c r="CE57">
        <v>1</v>
      </c>
    </row>
    <row r="58" spans="1:83" ht="15" x14ac:dyDescent="0.2">
      <c r="A58" s="39"/>
      <c r="B58" s="39"/>
      <c r="C58" s="42">
        <v>4</v>
      </c>
      <c r="D58" s="39" t="s">
        <v>471</v>
      </c>
      <c r="E58" s="41"/>
      <c r="F58" s="44"/>
      <c r="G58" s="42"/>
      <c r="H58" s="44"/>
      <c r="I58" s="42"/>
      <c r="J58" s="42"/>
      <c r="K58" s="42"/>
      <c r="L58" s="42"/>
      <c r="M58" s="46">
        <f>SUM(M59:M65)-SUMIF(CE59:CE65, 1, M59:M65)</f>
        <v>12462.93</v>
      </c>
    </row>
    <row r="59" spans="1:83" ht="14.25" x14ac:dyDescent="0.2">
      <c r="A59" s="40"/>
      <c r="B59" s="40"/>
      <c r="C59" s="40" t="s">
        <v>295</v>
      </c>
      <c r="D59" s="40" t="s">
        <v>297</v>
      </c>
      <c r="E59" s="41" t="s">
        <v>298</v>
      </c>
      <c r="F59" s="44">
        <v>2.5407999999999999</v>
      </c>
      <c r="G59" s="39"/>
      <c r="H59" s="44">
        <f>SmtRes!CX7</f>
        <v>0.84862720000000003</v>
      </c>
      <c r="I59" s="45"/>
      <c r="J59" s="43"/>
      <c r="K59" s="45">
        <f>SmtRes!CZ7</f>
        <v>6.92</v>
      </c>
      <c r="L59" s="40"/>
      <c r="M59" s="45">
        <f>SmtRes!DF7</f>
        <v>5.87</v>
      </c>
    </row>
    <row r="60" spans="1:83" ht="28.5" x14ac:dyDescent="0.2">
      <c r="A60" s="40"/>
      <c r="B60" s="40"/>
      <c r="C60" s="40" t="s">
        <v>299</v>
      </c>
      <c r="D60" s="40" t="s">
        <v>301</v>
      </c>
      <c r="E60" s="41" t="s">
        <v>302</v>
      </c>
      <c r="F60" s="44">
        <v>0.26300000000000001</v>
      </c>
      <c r="G60" s="39"/>
      <c r="H60" s="44">
        <f>SmtRes!CX8</f>
        <v>8.7842000000000003E-2</v>
      </c>
      <c r="I60" s="45">
        <f>SmtRes!CZ8</f>
        <v>174.13</v>
      </c>
      <c r="J60" s="43">
        <f>SmtRes!AI8</f>
        <v>1.01</v>
      </c>
      <c r="K60" s="45">
        <f>ROUND(I60*J60, 2)</f>
        <v>175.87</v>
      </c>
      <c r="L60" s="40"/>
      <c r="M60" s="45">
        <f>SmtRes!DF8</f>
        <v>15.45</v>
      </c>
    </row>
    <row r="61" spans="1:83" ht="71.25" x14ac:dyDescent="0.2">
      <c r="A61" s="40"/>
      <c r="B61" s="40"/>
      <c r="C61" s="40" t="s">
        <v>303</v>
      </c>
      <c r="D61" s="40" t="s">
        <v>305</v>
      </c>
      <c r="E61" s="41" t="s">
        <v>162</v>
      </c>
      <c r="F61" s="44">
        <v>2.63</v>
      </c>
      <c r="G61" s="39"/>
      <c r="H61" s="44">
        <f>SmtRes!CX9</f>
        <v>0.87841999999999998</v>
      </c>
      <c r="I61" s="45">
        <f>SmtRes!CZ9</f>
        <v>23.03</v>
      </c>
      <c r="J61" s="43">
        <f>SmtRes!AI9</f>
        <v>1.01</v>
      </c>
      <c r="K61" s="45">
        <f>ROUND(I61*J61, 2)</f>
        <v>23.26</v>
      </c>
      <c r="L61" s="40"/>
      <c r="M61" s="45">
        <f>SmtRes!DF9</f>
        <v>20.43</v>
      </c>
    </row>
    <row r="62" spans="1:83" ht="14.25" x14ac:dyDescent="0.2">
      <c r="A62" s="40"/>
      <c r="B62" s="40"/>
      <c r="C62" s="40" t="s">
        <v>306</v>
      </c>
      <c r="D62" s="40" t="s">
        <v>307</v>
      </c>
      <c r="E62" s="41" t="s">
        <v>308</v>
      </c>
      <c r="F62" s="44">
        <v>101</v>
      </c>
      <c r="G62" s="39"/>
      <c r="H62" s="44">
        <f>SmtRes!CX10</f>
        <v>33.734000000000002</v>
      </c>
      <c r="I62" s="45">
        <f>SmtRes!CZ10</f>
        <v>357</v>
      </c>
      <c r="J62" s="43"/>
      <c r="K62" s="45"/>
      <c r="L62" s="40"/>
      <c r="M62" s="45">
        <f>SmtRes!DF10</f>
        <v>12043.04</v>
      </c>
    </row>
    <row r="63" spans="1:83" ht="28.5" x14ac:dyDescent="0.2">
      <c r="A63" s="40"/>
      <c r="B63" s="40"/>
      <c r="C63" s="40" t="s">
        <v>309</v>
      </c>
      <c r="D63" s="40" t="s">
        <v>311</v>
      </c>
      <c r="E63" s="41" t="s">
        <v>162</v>
      </c>
      <c r="F63" s="44">
        <v>0.16</v>
      </c>
      <c r="G63" s="39"/>
      <c r="H63" s="44">
        <f>SmtRes!CX11</f>
        <v>5.3440000000000001E-2</v>
      </c>
      <c r="I63" s="45">
        <f>SmtRes!CZ11</f>
        <v>1815.16</v>
      </c>
      <c r="J63" s="43">
        <f>SmtRes!AI11</f>
        <v>1.08</v>
      </c>
      <c r="K63" s="45">
        <f>ROUND(I63*J63, 2)</f>
        <v>1960.37</v>
      </c>
      <c r="L63" s="40"/>
      <c r="M63" s="45">
        <f>SmtRes!DF11</f>
        <v>104.76</v>
      </c>
    </row>
    <row r="64" spans="1:83" ht="28.5" x14ac:dyDescent="0.2">
      <c r="A64" s="40"/>
      <c r="B64" s="40"/>
      <c r="C64" s="40" t="s">
        <v>312</v>
      </c>
      <c r="D64" s="40" t="s">
        <v>314</v>
      </c>
      <c r="E64" s="41" t="s">
        <v>162</v>
      </c>
      <c r="F64" s="44">
        <v>0.4</v>
      </c>
      <c r="G64" s="39"/>
      <c r="H64" s="44">
        <f>SmtRes!CX12</f>
        <v>0.1336</v>
      </c>
      <c r="I64" s="45">
        <f>SmtRes!CZ12</f>
        <v>1448.4</v>
      </c>
      <c r="J64" s="43">
        <f>SmtRes!AI12</f>
        <v>1.08</v>
      </c>
      <c r="K64" s="45">
        <f>ROUND(I64*J64, 2)</f>
        <v>1564.27</v>
      </c>
      <c r="L64" s="40"/>
      <c r="M64" s="45">
        <f>SmtRes!DF12</f>
        <v>208.99</v>
      </c>
    </row>
    <row r="65" spans="1:83" ht="28.5" x14ac:dyDescent="0.2">
      <c r="A65" s="40"/>
      <c r="B65" s="40"/>
      <c r="C65" s="40" t="s">
        <v>315</v>
      </c>
      <c r="D65" s="40" t="s">
        <v>317</v>
      </c>
      <c r="E65" s="41" t="s">
        <v>162</v>
      </c>
      <c r="F65" s="44">
        <v>0.14000000000000001</v>
      </c>
      <c r="G65" s="39"/>
      <c r="H65" s="44">
        <f>SmtRes!CX13</f>
        <v>4.6760000000000003E-2</v>
      </c>
      <c r="I65" s="45">
        <f>SmtRes!CZ13</f>
        <v>1275.1199999999999</v>
      </c>
      <c r="J65" s="43">
        <f>SmtRes!AI13</f>
        <v>1.08</v>
      </c>
      <c r="K65" s="45">
        <f>ROUND(I65*J65, 2)</f>
        <v>1377.13</v>
      </c>
      <c r="L65" s="40"/>
      <c r="M65" s="45">
        <f>SmtRes!DF13</f>
        <v>64.39</v>
      </c>
    </row>
    <row r="66" spans="1:83" ht="14.25" x14ac:dyDescent="0.2">
      <c r="A66" s="40"/>
      <c r="B66" s="40"/>
      <c r="C66" s="40" t="str">
        <f>EtalonRes!I10</f>
        <v>11.3.03.06</v>
      </c>
      <c r="D66" s="55" t="str">
        <f>EtalonRes!K10</f>
        <v>Плинтуса для полов пластиковые</v>
      </c>
      <c r="E66" s="48" t="str">
        <f>EtalonRes!O10</f>
        <v>м</v>
      </c>
      <c r="F66" s="49">
        <f>EtalonRes!X10</f>
        <v>101</v>
      </c>
      <c r="G66" s="47"/>
      <c r="H66" s="49">
        <f>ROUND(EtalonRes!AG10*Source!I25, 7)</f>
        <v>33.734000000000002</v>
      </c>
      <c r="I66" s="56"/>
      <c r="J66" s="57"/>
      <c r="K66" s="56"/>
      <c r="L66" s="55"/>
      <c r="M66" s="56"/>
    </row>
    <row r="67" spans="1:83" ht="15" x14ac:dyDescent="0.2">
      <c r="A67" s="40"/>
      <c r="B67" s="40"/>
      <c r="C67" s="40"/>
      <c r="D67" s="53" t="s">
        <v>472</v>
      </c>
      <c r="E67" s="41"/>
      <c r="F67" s="44"/>
      <c r="G67" s="39"/>
      <c r="H67" s="44"/>
      <c r="I67" s="45"/>
      <c r="J67" s="43"/>
      <c r="K67" s="45"/>
      <c r="L67" s="40"/>
      <c r="M67" s="45">
        <f>M50+M52+M53+M58</f>
        <v>13128.25</v>
      </c>
    </row>
    <row r="68" spans="1:83" ht="14.25" x14ac:dyDescent="0.2">
      <c r="A68" s="40"/>
      <c r="B68" s="40"/>
      <c r="C68" s="40"/>
      <c r="D68" s="40" t="s">
        <v>473</v>
      </c>
      <c r="E68" s="41"/>
      <c r="F68" s="44"/>
      <c r="G68" s="39"/>
      <c r="H68" s="44"/>
      <c r="I68" s="45"/>
      <c r="J68" s="43"/>
      <c r="K68" s="45"/>
      <c r="L68" s="40"/>
      <c r="M68" s="45">
        <f>SUM(AR49:AR71)+SUM(AS49:AS71)+SUM(AT49:AT71)+SUM(AU49:AU71)+SUM(AV49:AV71)</f>
        <v>658.46</v>
      </c>
    </row>
    <row r="69" spans="1:83" ht="28.5" x14ac:dyDescent="0.2">
      <c r="A69" s="40"/>
      <c r="B69" s="40"/>
      <c r="C69" s="40" t="s">
        <v>484</v>
      </c>
      <c r="D69" s="40" t="s">
        <v>474</v>
      </c>
      <c r="E69" s="41" t="s">
        <v>384</v>
      </c>
      <c r="F69" s="44">
        <f>Source!BZ25</f>
        <v>112</v>
      </c>
      <c r="G69" s="39">
        <f>ROUND(0.9,7)</f>
        <v>0.9</v>
      </c>
      <c r="H69" s="44">
        <f>Source!AT25</f>
        <v>100.8</v>
      </c>
      <c r="I69" s="45"/>
      <c r="J69" s="43"/>
      <c r="K69" s="45"/>
      <c r="L69" s="40"/>
      <c r="M69" s="45">
        <f>SUM(AZ49:AZ71)</f>
        <v>663.73</v>
      </c>
    </row>
    <row r="70" spans="1:83" ht="28.5" x14ac:dyDescent="0.2">
      <c r="A70" s="55"/>
      <c r="B70" s="55"/>
      <c r="C70" s="55" t="s">
        <v>485</v>
      </c>
      <c r="D70" s="55" t="s">
        <v>475</v>
      </c>
      <c r="E70" s="48" t="s">
        <v>384</v>
      </c>
      <c r="F70" s="49">
        <f>Source!CA25</f>
        <v>65</v>
      </c>
      <c r="G70" s="47">
        <f>ROUND(0.85,7)</f>
        <v>0.85</v>
      </c>
      <c r="H70" s="49">
        <f>Source!AU25</f>
        <v>55.25</v>
      </c>
      <c r="I70" s="56"/>
      <c r="J70" s="57"/>
      <c r="K70" s="56"/>
      <c r="L70" s="55"/>
      <c r="M70" s="56">
        <f>SUM(BA49:BA71)</f>
        <v>363.8</v>
      </c>
    </row>
    <row r="71" spans="1:83" ht="15" x14ac:dyDescent="0.2">
      <c r="D71" s="163" t="s">
        <v>476</v>
      </c>
      <c r="E71" s="163"/>
      <c r="F71" s="163"/>
      <c r="G71" s="163"/>
      <c r="H71" s="163"/>
      <c r="I71" s="163"/>
      <c r="J71" s="164">
        <f>L71/F49</f>
        <v>42382.574850299396</v>
      </c>
      <c r="K71" s="164"/>
      <c r="L71" s="164">
        <f>M50+M52+M58+M69+M70+M53</f>
        <v>14155.779999999999</v>
      </c>
      <c r="M71" s="164"/>
      <c r="AD71">
        <f>ROUND((Source!AT25/100)*((ROUND(SUMIF(SmtRes!AQ3:'SmtRes'!AQ13,"=1",SmtRes!AD3:'SmtRes'!AD13)*Source!I25, 2)+ROUND(SUMIF(SmtRes!AQ3:'SmtRes'!AQ13,"=1",SmtRes!AC3:'SmtRes'!AC13)*Source!I25, 2))), 2)</f>
        <v>255.67</v>
      </c>
      <c r="AE71">
        <f>ROUND((Source!AU25/100)*((ROUND(SUMIF(SmtRes!AQ3:'SmtRes'!AQ13,"=1",SmtRes!AD3:'SmtRes'!AD13)*Source!I25, 2)+ROUND(SUMIF(SmtRes!AQ3:'SmtRes'!AQ13,"=1",SmtRes!AC3:'SmtRes'!AC13)*Source!I25, 2))), 2)</f>
        <v>140.13999999999999</v>
      </c>
      <c r="AN71" s="52">
        <f>M50+M52+M58+M69+M70+M53</f>
        <v>14155.779999999999</v>
      </c>
      <c r="AO71" s="52">
        <f>M52</f>
        <v>6.8600000000000012</v>
      </c>
      <c r="AQ71" t="s">
        <v>477</v>
      </c>
      <c r="AR71" s="52">
        <f>M50</f>
        <v>654.61</v>
      </c>
      <c r="AT71" s="52">
        <f>M53</f>
        <v>3.85</v>
      </c>
      <c r="AV71" t="s">
        <v>477</v>
      </c>
      <c r="AW71" s="52">
        <f>M58</f>
        <v>12462.93</v>
      </c>
      <c r="AZ71">
        <f>Source!X25</f>
        <v>663.73</v>
      </c>
      <c r="BA71">
        <f>Source!Y25</f>
        <v>363.8</v>
      </c>
      <c r="CD71">
        <v>1</v>
      </c>
    </row>
    <row r="72" spans="1:83" ht="92.25" x14ac:dyDescent="0.2">
      <c r="A72" s="38" t="s">
        <v>36</v>
      </c>
      <c r="B72" s="40">
        <v>5</v>
      </c>
      <c r="C72" s="40" t="s">
        <v>486</v>
      </c>
      <c r="D72" s="40" t="s">
        <v>487</v>
      </c>
      <c r="E72" s="41" t="str">
        <f>Source!H26</f>
        <v>100 м2</v>
      </c>
      <c r="F72" s="44">
        <f>Source!K26</f>
        <v>0.65</v>
      </c>
      <c r="G72" s="39"/>
      <c r="H72" s="44">
        <f>Source!I26</f>
        <v>0.65</v>
      </c>
      <c r="I72" s="45"/>
      <c r="J72" s="43"/>
      <c r="K72" s="45"/>
      <c r="L72" s="40"/>
      <c r="M72" s="45"/>
    </row>
    <row r="73" spans="1:83" ht="15" x14ac:dyDescent="0.2">
      <c r="A73" s="39"/>
      <c r="B73" s="39"/>
      <c r="C73" s="42">
        <v>1</v>
      </c>
      <c r="D73" s="39" t="s">
        <v>470</v>
      </c>
      <c r="E73" s="41" t="s">
        <v>278</v>
      </c>
      <c r="F73" s="44"/>
      <c r="G73" s="42"/>
      <c r="H73" s="44">
        <f>Source!U26</f>
        <v>11.726000000000003</v>
      </c>
      <c r="I73" s="42"/>
      <c r="J73" s="42"/>
      <c r="K73" s="42"/>
      <c r="L73" s="42"/>
      <c r="M73" s="46">
        <f>SUM(M74:M74)-SUMIF(CE74:CE74, 1, M74:M74)</f>
        <v>2781.29</v>
      </c>
    </row>
    <row r="74" spans="1:83" ht="28.5" x14ac:dyDescent="0.2">
      <c r="A74" s="40"/>
      <c r="B74" s="40"/>
      <c r="C74" s="40" t="s">
        <v>318</v>
      </c>
      <c r="D74" s="40" t="s">
        <v>319</v>
      </c>
      <c r="E74" s="41" t="s">
        <v>278</v>
      </c>
      <c r="F74" s="44">
        <v>22.55</v>
      </c>
      <c r="G74" s="39">
        <f>ROUND(0.8,7)</f>
        <v>0.8</v>
      </c>
      <c r="H74" s="44">
        <f>SmtRes!CX14</f>
        <v>11.726000000000001</v>
      </c>
      <c r="I74" s="45"/>
      <c r="J74" s="43"/>
      <c r="K74" s="45">
        <f>SmtRes!CZ14</f>
        <v>237.19</v>
      </c>
      <c r="L74" s="40"/>
      <c r="M74" s="45">
        <f>SmtRes!DI14</f>
        <v>2781.29</v>
      </c>
    </row>
    <row r="75" spans="1:83" ht="15" x14ac:dyDescent="0.2">
      <c r="A75" s="39"/>
      <c r="B75" s="39"/>
      <c r="C75" s="42">
        <v>2</v>
      </c>
      <c r="D75" s="39" t="s">
        <v>480</v>
      </c>
      <c r="E75" s="41"/>
      <c r="F75" s="44"/>
      <c r="G75" s="42"/>
      <c r="H75" s="44"/>
      <c r="I75" s="42"/>
      <c r="J75" s="42"/>
      <c r="K75" s="42"/>
      <c r="L75" s="42"/>
      <c r="M75" s="46">
        <f>SUM(M76:M78)-SUMIF(CE76:CE78, 1, M76:M78)</f>
        <v>28.08</v>
      </c>
    </row>
    <row r="76" spans="1:83" ht="15" x14ac:dyDescent="0.2">
      <c r="A76" s="39"/>
      <c r="B76" s="39"/>
      <c r="C76" s="42"/>
      <c r="D76" s="39" t="s">
        <v>483</v>
      </c>
      <c r="E76" s="41" t="s">
        <v>278</v>
      </c>
      <c r="F76" s="44"/>
      <c r="G76" s="42"/>
      <c r="H76" s="44">
        <f>Source!V26</f>
        <v>5.2000000000000011E-2</v>
      </c>
      <c r="I76" s="42"/>
      <c r="J76" s="42"/>
      <c r="K76" s="42"/>
      <c r="L76" s="42"/>
      <c r="M76" s="46">
        <f>SUMIF(CE77:CE78, 1, M77:M78)</f>
        <v>13.89</v>
      </c>
      <c r="CE76">
        <v>1</v>
      </c>
    </row>
    <row r="77" spans="1:83" ht="28.5" x14ac:dyDescent="0.2">
      <c r="A77" s="40"/>
      <c r="B77" s="40"/>
      <c r="C77" s="40" t="s">
        <v>291</v>
      </c>
      <c r="D77" s="40" t="s">
        <v>293</v>
      </c>
      <c r="E77" s="41" t="s">
        <v>289</v>
      </c>
      <c r="F77" s="44">
        <v>0.1</v>
      </c>
      <c r="G77" s="39">
        <f>ROUND(0.8,7)</f>
        <v>0.8</v>
      </c>
      <c r="H77" s="44">
        <f>SmtRes!CX16</f>
        <v>5.1999999999999998E-2</v>
      </c>
      <c r="I77" s="45">
        <f>SmtRes!CZ16</f>
        <v>477.92</v>
      </c>
      <c r="J77" s="43">
        <f>SmtRes!AJ16</f>
        <v>1.1299999999999999</v>
      </c>
      <c r="K77" s="45">
        <f>ROUND(I77*J77, 2)</f>
        <v>540.04999999999995</v>
      </c>
      <c r="L77" s="40"/>
      <c r="M77" s="45">
        <f>SmtRes!DG16</f>
        <v>28.08</v>
      </c>
    </row>
    <row r="78" spans="1:83" ht="28.5" x14ac:dyDescent="0.2">
      <c r="A78" s="40"/>
      <c r="B78" s="40"/>
      <c r="C78" s="40" t="s">
        <v>294</v>
      </c>
      <c r="D78" s="40" t="s">
        <v>482</v>
      </c>
      <c r="E78" s="41" t="s">
        <v>278</v>
      </c>
      <c r="F78" s="44">
        <f>SmtRes!DO16*SmtRes!AT16</f>
        <v>0.1</v>
      </c>
      <c r="G78" s="39">
        <f>ROUND(0.8,7)</f>
        <v>0.8</v>
      </c>
      <c r="H78" s="44">
        <f>SmtRes!DO16*SmtRes!CX16</f>
        <v>5.1999999999999998E-2</v>
      </c>
      <c r="I78" s="45"/>
      <c r="J78" s="43"/>
      <c r="K78" s="45">
        <f>ROUND(SmtRes!AG16/SmtRes!DO16, 2)</f>
        <v>267.08999999999997</v>
      </c>
      <c r="L78" s="40"/>
      <c r="M78" s="45">
        <f>SmtRes!DH16</f>
        <v>13.89</v>
      </c>
      <c r="CE78">
        <v>1</v>
      </c>
    </row>
    <row r="79" spans="1:83" ht="15" x14ac:dyDescent="0.2">
      <c r="A79" s="39"/>
      <c r="B79" s="39"/>
      <c r="C79" s="42">
        <v>4</v>
      </c>
      <c r="D79" s="39" t="s">
        <v>471</v>
      </c>
      <c r="E79" s="41"/>
      <c r="F79" s="44"/>
      <c r="G79" s="42"/>
      <c r="H79" s="44"/>
      <c r="I79" s="42"/>
      <c r="J79" s="42"/>
      <c r="K79" s="42"/>
      <c r="L79" s="42"/>
      <c r="M79" s="46">
        <f>0</f>
        <v>0</v>
      </c>
    </row>
    <row r="80" spans="1:83" ht="28.5" x14ac:dyDescent="0.2">
      <c r="A80" s="40"/>
      <c r="B80" s="40"/>
      <c r="C80" s="40" t="str">
        <f>EtalonRes!I18</f>
        <v>11.2.03.02</v>
      </c>
      <c r="D80" s="55" t="str">
        <f>EtalonRes!K18</f>
        <v>Покрытие напольное ламинированное (ламинат)</v>
      </c>
      <c r="E80" s="48" t="str">
        <f>EtalonRes!O18</f>
        <v>м2</v>
      </c>
      <c r="F80" s="49">
        <f>EtalonRes!X18</f>
        <v>102.5</v>
      </c>
      <c r="G80" s="47">
        <f>ROUND(0,7)</f>
        <v>0</v>
      </c>
      <c r="H80" s="49">
        <f>ROUND(EtalonRes!AG18*Source!I26, 7)</f>
        <v>0</v>
      </c>
      <c r="I80" s="56"/>
      <c r="J80" s="57"/>
      <c r="K80" s="56"/>
      <c r="L80" s="55"/>
      <c r="M80" s="56"/>
    </row>
    <row r="81" spans="1:83" ht="15" x14ac:dyDescent="0.2">
      <c r="A81" s="40"/>
      <c r="B81" s="40"/>
      <c r="C81" s="40"/>
      <c r="D81" s="53" t="s">
        <v>472</v>
      </c>
      <c r="E81" s="41"/>
      <c r="F81" s="44"/>
      <c r="G81" s="39"/>
      <c r="H81" s="44"/>
      <c r="I81" s="45"/>
      <c r="J81" s="43"/>
      <c r="K81" s="45"/>
      <c r="L81" s="40"/>
      <c r="M81" s="45">
        <f>M73+M75+M76+M79</f>
        <v>2823.2599999999998</v>
      </c>
    </row>
    <row r="82" spans="1:83" ht="14.25" x14ac:dyDescent="0.2">
      <c r="A82" s="40"/>
      <c r="B82" s="40"/>
      <c r="C82" s="40"/>
      <c r="D82" s="40" t="s">
        <v>473</v>
      </c>
      <c r="E82" s="41"/>
      <c r="F82" s="44"/>
      <c r="G82" s="39"/>
      <c r="H82" s="44"/>
      <c r="I82" s="45"/>
      <c r="J82" s="43"/>
      <c r="K82" s="45"/>
      <c r="L82" s="40"/>
      <c r="M82" s="45">
        <f>SUM(AR72:AR85)+SUM(AS72:AS85)+SUM(AT72:AT85)+SUM(AU72:AU85)+SUM(AV72:AV85)</f>
        <v>2795.18</v>
      </c>
    </row>
    <row r="83" spans="1:83" ht="14.25" x14ac:dyDescent="0.2">
      <c r="A83" s="40"/>
      <c r="B83" s="40"/>
      <c r="C83" s="40" t="s">
        <v>34</v>
      </c>
      <c r="D83" s="40" t="s">
        <v>474</v>
      </c>
      <c r="E83" s="41" t="s">
        <v>384</v>
      </c>
      <c r="F83" s="44">
        <f>Source!BZ26</f>
        <v>112</v>
      </c>
      <c r="G83" s="39"/>
      <c r="H83" s="44">
        <f>Source!AT26</f>
        <v>112</v>
      </c>
      <c r="I83" s="45"/>
      <c r="J83" s="43"/>
      <c r="K83" s="45"/>
      <c r="L83" s="40"/>
      <c r="M83" s="45">
        <f>SUM(AZ72:AZ85)</f>
        <v>3130.6</v>
      </c>
    </row>
    <row r="84" spans="1:83" ht="14.25" x14ac:dyDescent="0.2">
      <c r="A84" s="55"/>
      <c r="B84" s="55"/>
      <c r="C84" s="55" t="s">
        <v>35</v>
      </c>
      <c r="D84" s="55" t="s">
        <v>475</v>
      </c>
      <c r="E84" s="48" t="s">
        <v>384</v>
      </c>
      <c r="F84" s="49">
        <f>Source!CA26</f>
        <v>65</v>
      </c>
      <c r="G84" s="47"/>
      <c r="H84" s="49">
        <f>Source!AU26</f>
        <v>65</v>
      </c>
      <c r="I84" s="56"/>
      <c r="J84" s="57"/>
      <c r="K84" s="56"/>
      <c r="L84" s="55"/>
      <c r="M84" s="56">
        <f>SUM(BA72:BA85)</f>
        <v>1816.87</v>
      </c>
    </row>
    <row r="85" spans="1:83" ht="15" x14ac:dyDescent="0.2">
      <c r="D85" s="163" t="s">
        <v>476</v>
      </c>
      <c r="E85" s="163"/>
      <c r="F85" s="163"/>
      <c r="G85" s="163"/>
      <c r="H85" s="163"/>
      <c r="I85" s="163"/>
      <c r="J85" s="164">
        <f>L85/F72</f>
        <v>11954.969230769229</v>
      </c>
      <c r="K85" s="164"/>
      <c r="L85" s="164">
        <f>M73+M75+M79+M83+M84+M76</f>
        <v>7770.73</v>
      </c>
      <c r="M85" s="164"/>
      <c r="AD85">
        <f>ROUND((Source!AT26/100)*((ROUND(SUMIF(SmtRes!AQ14:'SmtRes'!AQ19,"=1",SmtRes!AD14:'SmtRes'!AD19)*Source!I26, 2)+ROUND(SUMIF(SmtRes!AQ14:'SmtRes'!AQ19,"=1",SmtRes!AC14:'SmtRes'!AC19)*Source!I26, 2))), 2)</f>
        <v>367.11</v>
      </c>
      <c r="AE85">
        <f>ROUND((Source!AU26/100)*((ROUND(SUMIF(SmtRes!AQ14:'SmtRes'!AQ19,"=1",SmtRes!AD14:'SmtRes'!AD19)*Source!I26, 2)+ROUND(SUMIF(SmtRes!AQ14:'SmtRes'!AQ19,"=1",SmtRes!AC14:'SmtRes'!AC19)*Source!I26, 2))), 2)</f>
        <v>213.06</v>
      </c>
      <c r="AN85" s="52">
        <f>M73+M75+M79+M83+M84+M76</f>
        <v>7770.73</v>
      </c>
      <c r="AO85" s="52">
        <f>M75</f>
        <v>28.08</v>
      </c>
      <c r="AQ85" t="s">
        <v>477</v>
      </c>
      <c r="AR85" s="52">
        <f>M73</f>
        <v>2781.29</v>
      </c>
      <c r="AT85" s="52">
        <f>M76</f>
        <v>13.89</v>
      </c>
      <c r="AV85" t="s">
        <v>477</v>
      </c>
      <c r="AW85" s="52">
        <f>M79</f>
        <v>0</v>
      </c>
      <c r="AZ85">
        <f>Source!X26</f>
        <v>3130.6</v>
      </c>
      <c r="BA85">
        <f>Source!Y26</f>
        <v>1816.87</v>
      </c>
      <c r="CD85">
        <v>1</v>
      </c>
    </row>
    <row r="86" spans="1:83" ht="105" x14ac:dyDescent="0.2">
      <c r="A86" s="38" t="s">
        <v>43</v>
      </c>
      <c r="B86" s="40">
        <v>6</v>
      </c>
      <c r="C86" s="40" t="s">
        <v>486</v>
      </c>
      <c r="D86" s="40" t="s">
        <v>488</v>
      </c>
      <c r="E86" s="41" t="str">
        <f>Source!H27</f>
        <v>100 м2</v>
      </c>
      <c r="F86" s="44">
        <f>Source!K27</f>
        <v>0.65</v>
      </c>
      <c r="G86" s="39"/>
      <c r="H86" s="44">
        <f>Source!I27</f>
        <v>0.65</v>
      </c>
      <c r="I86" s="45"/>
      <c r="J86" s="43"/>
      <c r="K86" s="45"/>
      <c r="L86" s="40"/>
      <c r="M86" s="45"/>
    </row>
    <row r="87" spans="1:83" ht="15" x14ac:dyDescent="0.2">
      <c r="A87" s="39"/>
      <c r="B87" s="39"/>
      <c r="C87" s="42">
        <v>1</v>
      </c>
      <c r="D87" s="39" t="s">
        <v>470</v>
      </c>
      <c r="E87" s="41" t="s">
        <v>278</v>
      </c>
      <c r="F87" s="44"/>
      <c r="G87" s="42"/>
      <c r="H87" s="44">
        <f>Source!U27</f>
        <v>16.856124999999999</v>
      </c>
      <c r="I87" s="42"/>
      <c r="J87" s="42"/>
      <c r="K87" s="42"/>
      <c r="L87" s="42"/>
      <c r="M87" s="46">
        <f>SUM(M88:M88)-SUMIF(CE88:CE88, 1, M88:M88)</f>
        <v>3998.1</v>
      </c>
    </row>
    <row r="88" spans="1:83" ht="28.5" x14ac:dyDescent="0.2">
      <c r="A88" s="40"/>
      <c r="B88" s="40"/>
      <c r="C88" s="40" t="s">
        <v>318</v>
      </c>
      <c r="D88" s="40" t="s">
        <v>319</v>
      </c>
      <c r="E88" s="41" t="s">
        <v>278</v>
      </c>
      <c r="F88" s="44">
        <v>22.55</v>
      </c>
      <c r="G88" s="39">
        <f>ROUND(1.15,7)</f>
        <v>1.1499999999999999</v>
      </c>
      <c r="H88" s="44">
        <f>SmtRes!CX20</f>
        <v>16.856124999999999</v>
      </c>
      <c r="I88" s="45"/>
      <c r="J88" s="43"/>
      <c r="K88" s="45">
        <f>SmtRes!CZ20</f>
        <v>237.19</v>
      </c>
      <c r="L88" s="40"/>
      <c r="M88" s="45">
        <f>SmtRes!DI20</f>
        <v>3998.1</v>
      </c>
    </row>
    <row r="89" spans="1:83" ht="15" x14ac:dyDescent="0.2">
      <c r="A89" s="39"/>
      <c r="B89" s="39"/>
      <c r="C89" s="42">
        <v>2</v>
      </c>
      <c r="D89" s="39" t="s">
        <v>480</v>
      </c>
      <c r="E89" s="41"/>
      <c r="F89" s="44"/>
      <c r="G89" s="42"/>
      <c r="H89" s="44"/>
      <c r="I89" s="42"/>
      <c r="J89" s="42"/>
      <c r="K89" s="42"/>
      <c r="L89" s="42"/>
      <c r="M89" s="46">
        <f>SUM(M90:M92)-SUMIF(CE90:CE92, 1, M90:M92)</f>
        <v>43.88</v>
      </c>
    </row>
    <row r="90" spans="1:83" ht="15" x14ac:dyDescent="0.2">
      <c r="A90" s="39"/>
      <c r="B90" s="39"/>
      <c r="C90" s="42"/>
      <c r="D90" s="39" t="s">
        <v>483</v>
      </c>
      <c r="E90" s="41" t="s">
        <v>278</v>
      </c>
      <c r="F90" s="44"/>
      <c r="G90" s="42"/>
      <c r="H90" s="44">
        <f>Source!V27</f>
        <v>8.1250000000000003E-2</v>
      </c>
      <c r="I90" s="42"/>
      <c r="J90" s="42"/>
      <c r="K90" s="42"/>
      <c r="L90" s="42"/>
      <c r="M90" s="46">
        <f>SUMIF(CE91:CE92, 1, M91:M92)</f>
        <v>21.7</v>
      </c>
      <c r="CE90">
        <v>1</v>
      </c>
    </row>
    <row r="91" spans="1:83" ht="28.5" x14ac:dyDescent="0.2">
      <c r="A91" s="40"/>
      <c r="B91" s="40"/>
      <c r="C91" s="40" t="s">
        <v>291</v>
      </c>
      <c r="D91" s="40" t="s">
        <v>293</v>
      </c>
      <c r="E91" s="41" t="s">
        <v>289</v>
      </c>
      <c r="F91" s="44">
        <v>0.1</v>
      </c>
      <c r="G91" s="39">
        <f>ROUND(1.25,7)</f>
        <v>1.25</v>
      </c>
      <c r="H91" s="44">
        <f>SmtRes!CX22</f>
        <v>8.1250000000000003E-2</v>
      </c>
      <c r="I91" s="45">
        <f>SmtRes!CZ22</f>
        <v>477.92</v>
      </c>
      <c r="J91" s="43">
        <f>SmtRes!AJ22</f>
        <v>1.1299999999999999</v>
      </c>
      <c r="K91" s="45">
        <f>ROUND(I91*J91, 2)</f>
        <v>540.04999999999995</v>
      </c>
      <c r="L91" s="40"/>
      <c r="M91" s="45">
        <f>SmtRes!DG22</f>
        <v>43.88</v>
      </c>
    </row>
    <row r="92" spans="1:83" ht="28.5" x14ac:dyDescent="0.2">
      <c r="A92" s="40"/>
      <c r="B92" s="40"/>
      <c r="C92" s="40" t="s">
        <v>294</v>
      </c>
      <c r="D92" s="40" t="s">
        <v>482</v>
      </c>
      <c r="E92" s="41" t="s">
        <v>278</v>
      </c>
      <c r="F92" s="44">
        <f>SmtRes!DO22*SmtRes!AT22</f>
        <v>0.1</v>
      </c>
      <c r="G92" s="39">
        <f>ROUND(1.25,7)</f>
        <v>1.25</v>
      </c>
      <c r="H92" s="44">
        <f>SmtRes!DO22*SmtRes!CX22</f>
        <v>8.1250000000000003E-2</v>
      </c>
      <c r="I92" s="45"/>
      <c r="J92" s="43"/>
      <c r="K92" s="45">
        <f>ROUND(SmtRes!AG22/SmtRes!DO22, 2)</f>
        <v>267.08999999999997</v>
      </c>
      <c r="L92" s="40"/>
      <c r="M92" s="45">
        <f>SmtRes!DH22</f>
        <v>21.7</v>
      </c>
      <c r="CE92">
        <v>1</v>
      </c>
    </row>
    <row r="93" spans="1:83" ht="15" x14ac:dyDescent="0.2">
      <c r="A93" s="39"/>
      <c r="B93" s="39"/>
      <c r="C93" s="42">
        <v>4</v>
      </c>
      <c r="D93" s="39" t="s">
        <v>471</v>
      </c>
      <c r="E93" s="41"/>
      <c r="F93" s="44"/>
      <c r="G93" s="42"/>
      <c r="H93" s="44"/>
      <c r="I93" s="42"/>
      <c r="J93" s="42"/>
      <c r="K93" s="42"/>
      <c r="L93" s="42"/>
      <c r="M93" s="46">
        <f>SUM(M94:M96)-SUMIF(CE94:CE96, 1, M94:M96)</f>
        <v>68155.11</v>
      </c>
    </row>
    <row r="94" spans="1:83" ht="14.25" x14ac:dyDescent="0.2">
      <c r="A94" s="40"/>
      <c r="B94" s="40"/>
      <c r="C94" s="40" t="s">
        <v>295</v>
      </c>
      <c r="D94" s="40" t="s">
        <v>297</v>
      </c>
      <c r="E94" s="41" t="s">
        <v>298</v>
      </c>
      <c r="F94" s="44">
        <v>0.58099999999999996</v>
      </c>
      <c r="G94" s="39"/>
      <c r="H94" s="44">
        <f>SmtRes!CX23</f>
        <v>0.37764999999999999</v>
      </c>
      <c r="I94" s="45"/>
      <c r="J94" s="43"/>
      <c r="K94" s="45">
        <f>SmtRes!CZ23</f>
        <v>6.92</v>
      </c>
      <c r="L94" s="40"/>
      <c r="M94" s="45">
        <f>SmtRes!DF23</f>
        <v>2.61</v>
      </c>
    </row>
    <row r="95" spans="1:83" ht="14.25" x14ac:dyDescent="0.2">
      <c r="A95" s="40"/>
      <c r="B95" s="40"/>
      <c r="C95" s="40" t="s">
        <v>326</v>
      </c>
      <c r="D95" s="40" t="s">
        <v>327</v>
      </c>
      <c r="E95" s="41" t="s">
        <v>49</v>
      </c>
      <c r="F95" s="44">
        <v>105</v>
      </c>
      <c r="G95" s="39"/>
      <c r="H95" s="44">
        <f>SmtRes!CX24</f>
        <v>68.25</v>
      </c>
      <c r="I95" s="45">
        <f>SmtRes!CZ24</f>
        <v>120</v>
      </c>
      <c r="J95" s="43"/>
      <c r="K95" s="45"/>
      <c r="L95" s="40"/>
      <c r="M95" s="45">
        <f>SmtRes!DF24</f>
        <v>8190</v>
      </c>
    </row>
    <row r="96" spans="1:83" ht="28.5" x14ac:dyDescent="0.2">
      <c r="A96" s="40"/>
      <c r="B96" s="40"/>
      <c r="C96" s="40" t="s">
        <v>326</v>
      </c>
      <c r="D96" s="40" t="s">
        <v>328</v>
      </c>
      <c r="E96" s="41" t="s">
        <v>49</v>
      </c>
      <c r="F96" s="44">
        <v>102.5</v>
      </c>
      <c r="G96" s="39"/>
      <c r="H96" s="44">
        <f>SmtRes!CX25</f>
        <v>66.625</v>
      </c>
      <c r="I96" s="45">
        <f>SmtRes!CZ25</f>
        <v>900</v>
      </c>
      <c r="J96" s="43"/>
      <c r="K96" s="45"/>
      <c r="L96" s="40"/>
      <c r="M96" s="45">
        <f>SmtRes!DF25</f>
        <v>59962.5</v>
      </c>
    </row>
    <row r="97" spans="1:82" ht="28.5" x14ac:dyDescent="0.2">
      <c r="A97" s="40"/>
      <c r="B97" s="40"/>
      <c r="C97" s="40" t="str">
        <f>EtalonRes!I24</f>
        <v>11.2.03.02</v>
      </c>
      <c r="D97" s="55" t="str">
        <f>EtalonRes!K24</f>
        <v>Покрытие напольное ламинированное (ламинат)</v>
      </c>
      <c r="E97" s="48" t="str">
        <f>EtalonRes!O24</f>
        <v>м2</v>
      </c>
      <c r="F97" s="49">
        <f>EtalonRes!X24</f>
        <v>102.5</v>
      </c>
      <c r="G97" s="47"/>
      <c r="H97" s="49">
        <f>ROUND(EtalonRes!AG24*Source!I27, 7)</f>
        <v>66.625</v>
      </c>
      <c r="I97" s="56"/>
      <c r="J97" s="57"/>
      <c r="K97" s="56"/>
      <c r="L97" s="55"/>
      <c r="M97" s="56"/>
    </row>
    <row r="98" spans="1:82" ht="15" x14ac:dyDescent="0.2">
      <c r="A98" s="40"/>
      <c r="B98" s="40"/>
      <c r="C98" s="40"/>
      <c r="D98" s="53" t="s">
        <v>472</v>
      </c>
      <c r="E98" s="41"/>
      <c r="F98" s="44"/>
      <c r="G98" s="39"/>
      <c r="H98" s="44"/>
      <c r="I98" s="45"/>
      <c r="J98" s="43"/>
      <c r="K98" s="45"/>
      <c r="L98" s="40"/>
      <c r="M98" s="45">
        <f>M87+M89+M90+M93</f>
        <v>72218.789999999994</v>
      </c>
    </row>
    <row r="99" spans="1:82" ht="14.25" x14ac:dyDescent="0.2">
      <c r="A99" s="40"/>
      <c r="B99" s="40"/>
      <c r="C99" s="40"/>
      <c r="D99" s="40" t="s">
        <v>473</v>
      </c>
      <c r="E99" s="41"/>
      <c r="F99" s="44"/>
      <c r="G99" s="39"/>
      <c r="H99" s="44"/>
      <c r="I99" s="45"/>
      <c r="J99" s="43"/>
      <c r="K99" s="45"/>
      <c r="L99" s="40"/>
      <c r="M99" s="45">
        <f>SUM(AR86:AR102)+SUM(AS86:AS102)+SUM(AT86:AT102)+SUM(AU86:AU102)+SUM(AV86:AV102)</f>
        <v>4019.7999999999997</v>
      </c>
    </row>
    <row r="100" spans="1:82" ht="28.5" x14ac:dyDescent="0.2">
      <c r="A100" s="40"/>
      <c r="B100" s="40"/>
      <c r="C100" s="40" t="s">
        <v>484</v>
      </c>
      <c r="D100" s="40" t="s">
        <v>474</v>
      </c>
      <c r="E100" s="41" t="s">
        <v>384</v>
      </c>
      <c r="F100" s="44">
        <f>Source!BZ27</f>
        <v>112</v>
      </c>
      <c r="G100" s="39">
        <f>ROUND(0.9,7)</f>
        <v>0.9</v>
      </c>
      <c r="H100" s="44">
        <f>Source!AT27</f>
        <v>100.8</v>
      </c>
      <c r="I100" s="45"/>
      <c r="J100" s="43"/>
      <c r="K100" s="45"/>
      <c r="L100" s="40"/>
      <c r="M100" s="45">
        <f>SUM(AZ86:AZ102)</f>
        <v>4051.96</v>
      </c>
    </row>
    <row r="101" spans="1:82" ht="28.5" x14ac:dyDescent="0.2">
      <c r="A101" s="55"/>
      <c r="B101" s="55"/>
      <c r="C101" s="55" t="s">
        <v>485</v>
      </c>
      <c r="D101" s="55" t="s">
        <v>475</v>
      </c>
      <c r="E101" s="48" t="s">
        <v>384</v>
      </c>
      <c r="F101" s="49">
        <f>Source!CA27</f>
        <v>65</v>
      </c>
      <c r="G101" s="47">
        <f>ROUND(0.85,7)</f>
        <v>0.85</v>
      </c>
      <c r="H101" s="49">
        <f>Source!AU27</f>
        <v>55.25</v>
      </c>
      <c r="I101" s="56"/>
      <c r="J101" s="57"/>
      <c r="K101" s="56"/>
      <c r="L101" s="55"/>
      <c r="M101" s="56">
        <f>SUM(BA86:BA102)</f>
        <v>2220.94</v>
      </c>
    </row>
    <row r="102" spans="1:82" ht="15" x14ac:dyDescent="0.2">
      <c r="D102" s="163" t="s">
        <v>476</v>
      </c>
      <c r="E102" s="163"/>
      <c r="F102" s="163"/>
      <c r="G102" s="163"/>
      <c r="H102" s="163"/>
      <c r="I102" s="163"/>
      <c r="J102" s="164">
        <f>L102/F86</f>
        <v>120756.44615384615</v>
      </c>
      <c r="K102" s="164"/>
      <c r="L102" s="164">
        <f>M87+M89+M93+M100+M101+M90</f>
        <v>78491.69</v>
      </c>
      <c r="M102" s="164"/>
      <c r="AD102">
        <f>ROUND((Source!AT27/100)*((ROUND(SUMIF(SmtRes!AQ20:'SmtRes'!AQ25,"=1",SmtRes!AD20:'SmtRes'!AD25)*Source!I27, 2)+ROUND(SUMIF(SmtRes!AQ20:'SmtRes'!AQ25,"=1",SmtRes!AC20:'SmtRes'!AC25)*Source!I27, 2))), 2)</f>
        <v>330.4</v>
      </c>
      <c r="AE102">
        <f>ROUND((Source!AU27/100)*((ROUND(SUMIF(SmtRes!AQ20:'SmtRes'!AQ25,"=1",SmtRes!AD20:'SmtRes'!AD25)*Source!I27, 2)+ROUND(SUMIF(SmtRes!AQ20:'SmtRes'!AQ25,"=1",SmtRes!AC20:'SmtRes'!AC25)*Source!I27, 2))), 2)</f>
        <v>181.1</v>
      </c>
      <c r="AN102" s="52">
        <f>M87+M89+M93+M100+M101+M90</f>
        <v>78491.69</v>
      </c>
      <c r="AO102" s="52">
        <f>M89</f>
        <v>43.88</v>
      </c>
      <c r="AQ102" t="s">
        <v>477</v>
      </c>
      <c r="AR102" s="52">
        <f>M87</f>
        <v>3998.1</v>
      </c>
      <c r="AT102" s="52">
        <f>M90</f>
        <v>21.7</v>
      </c>
      <c r="AV102" t="s">
        <v>477</v>
      </c>
      <c r="AW102" s="52">
        <f>M93</f>
        <v>68155.11</v>
      </c>
      <c r="AZ102">
        <f>Source!X27</f>
        <v>4051.96</v>
      </c>
      <c r="BA102">
        <f>Source!Y27</f>
        <v>2220.94</v>
      </c>
      <c r="CD102">
        <v>1</v>
      </c>
    </row>
    <row r="104" spans="1:82" ht="16.5" x14ac:dyDescent="0.2">
      <c r="A104" s="165" t="s">
        <v>489</v>
      </c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</row>
    <row r="105" spans="1:82" ht="28.5" x14ac:dyDescent="0.2">
      <c r="A105" s="38" t="s">
        <v>14</v>
      </c>
      <c r="B105" s="40">
        <v>2</v>
      </c>
      <c r="C105" s="40" t="s">
        <v>490</v>
      </c>
      <c r="D105" s="40" t="str">
        <f>Source!G33</f>
        <v>Расчистка поверхностей шпателем, щетками от старых покрасок(Стен)</v>
      </c>
      <c r="E105" s="41" t="str">
        <f>Source!H33</f>
        <v>м2</v>
      </c>
      <c r="F105" s="44">
        <f>Source!K33</f>
        <v>81.03</v>
      </c>
      <c r="G105" s="39"/>
      <c r="H105" s="44">
        <f>Source!I33</f>
        <v>81.03</v>
      </c>
      <c r="I105" s="45"/>
      <c r="J105" s="43"/>
      <c r="K105" s="45"/>
      <c r="L105" s="40"/>
      <c r="M105" s="45"/>
    </row>
    <row r="106" spans="1:82" ht="15" x14ac:dyDescent="0.2">
      <c r="A106" s="39"/>
      <c r="B106" s="39"/>
      <c r="C106" s="42">
        <v>1</v>
      </c>
      <c r="D106" s="39" t="s">
        <v>470</v>
      </c>
      <c r="E106" s="41" t="s">
        <v>278</v>
      </c>
      <c r="F106" s="44"/>
      <c r="G106" s="42"/>
      <c r="H106" s="44">
        <f>Source!U33</f>
        <v>46.997399999999999</v>
      </c>
      <c r="I106" s="42"/>
      <c r="J106" s="42"/>
      <c r="K106" s="42"/>
      <c r="L106" s="42"/>
      <c r="M106" s="46">
        <f>SUM(M107:M107)-SUMIF(CE107:CE107, 1, M107:M107)</f>
        <v>9873.2099999999991</v>
      </c>
    </row>
    <row r="107" spans="1:82" ht="28.5" x14ac:dyDescent="0.2">
      <c r="A107" s="40"/>
      <c r="B107" s="40"/>
      <c r="C107" s="40" t="s">
        <v>329</v>
      </c>
      <c r="D107" s="55" t="s">
        <v>330</v>
      </c>
      <c r="E107" s="48" t="s">
        <v>278</v>
      </c>
      <c r="F107" s="49">
        <v>0.57999999999999996</v>
      </c>
      <c r="G107" s="47"/>
      <c r="H107" s="49">
        <f>SmtRes!CX26</f>
        <v>46.997399999999999</v>
      </c>
      <c r="I107" s="56"/>
      <c r="J107" s="57"/>
      <c r="K107" s="56">
        <f>SmtRes!CZ26</f>
        <v>210.08</v>
      </c>
      <c r="L107" s="55"/>
      <c r="M107" s="56">
        <f>SmtRes!DI26</f>
        <v>9873.2099999999991</v>
      </c>
    </row>
    <row r="108" spans="1:82" ht="15" x14ac:dyDescent="0.2">
      <c r="A108" s="40"/>
      <c r="B108" s="40"/>
      <c r="C108" s="40"/>
      <c r="D108" s="53" t="s">
        <v>472</v>
      </c>
      <c r="E108" s="41"/>
      <c r="F108" s="44"/>
      <c r="G108" s="39"/>
      <c r="H108" s="44"/>
      <c r="I108" s="45"/>
      <c r="J108" s="43"/>
      <c r="K108" s="45"/>
      <c r="L108" s="40"/>
      <c r="M108" s="45">
        <f>M106</f>
        <v>9873.2099999999991</v>
      </c>
    </row>
    <row r="109" spans="1:82" ht="14.25" x14ac:dyDescent="0.2">
      <c r="A109" s="40"/>
      <c r="B109" s="40"/>
      <c r="C109" s="40"/>
      <c r="D109" s="40" t="s">
        <v>473</v>
      </c>
      <c r="E109" s="41"/>
      <c r="F109" s="44"/>
      <c r="G109" s="39"/>
      <c r="H109" s="44"/>
      <c r="I109" s="45"/>
      <c r="J109" s="43"/>
      <c r="K109" s="45"/>
      <c r="L109" s="40"/>
      <c r="M109" s="45">
        <f>SUM(AR105:AR112)+SUM(AS105:AS112)+SUM(AT105:AT112)+SUM(AU105:AU112)+SUM(AV105:AV112)</f>
        <v>9873.2099999999991</v>
      </c>
    </row>
    <row r="110" spans="1:82" ht="14.25" x14ac:dyDescent="0.2">
      <c r="A110" s="40"/>
      <c r="B110" s="40"/>
      <c r="C110" s="40" t="s">
        <v>53</v>
      </c>
      <c r="D110" s="40" t="s">
        <v>491</v>
      </c>
      <c r="E110" s="41" t="s">
        <v>384</v>
      </c>
      <c r="F110" s="44">
        <f>Source!BZ33</f>
        <v>90</v>
      </c>
      <c r="G110" s="39"/>
      <c r="H110" s="44">
        <f>Source!AT33</f>
        <v>90</v>
      </c>
      <c r="I110" s="45"/>
      <c r="J110" s="43"/>
      <c r="K110" s="45"/>
      <c r="L110" s="40"/>
      <c r="M110" s="45">
        <f>SUM(AZ105:AZ112)</f>
        <v>8885.89</v>
      </c>
    </row>
    <row r="111" spans="1:82" ht="14.25" x14ac:dyDescent="0.2">
      <c r="A111" s="55"/>
      <c r="B111" s="55"/>
      <c r="C111" s="55" t="s">
        <v>54</v>
      </c>
      <c r="D111" s="55" t="s">
        <v>492</v>
      </c>
      <c r="E111" s="48" t="s">
        <v>384</v>
      </c>
      <c r="F111" s="49">
        <f>Source!CA33</f>
        <v>46</v>
      </c>
      <c r="G111" s="47"/>
      <c r="H111" s="49">
        <f>Source!AU33</f>
        <v>46</v>
      </c>
      <c r="I111" s="56"/>
      <c r="J111" s="57"/>
      <c r="K111" s="56"/>
      <c r="L111" s="55"/>
      <c r="M111" s="56">
        <f>SUM(BA105:BA112)</f>
        <v>4541.68</v>
      </c>
    </row>
    <row r="112" spans="1:82" ht="15" x14ac:dyDescent="0.2">
      <c r="D112" s="163" t="s">
        <v>476</v>
      </c>
      <c r="E112" s="163"/>
      <c r="F112" s="163"/>
      <c r="G112" s="163"/>
      <c r="H112" s="163"/>
      <c r="I112" s="163"/>
      <c r="J112" s="164">
        <f>L112/F105</f>
        <v>287.55744785881768</v>
      </c>
      <c r="K112" s="164"/>
      <c r="L112" s="164">
        <f>M106+M110+M111</f>
        <v>23300.78</v>
      </c>
      <c r="M112" s="164"/>
      <c r="AD112">
        <f>ROUND((Source!AT33/100)*((ROUND(SUMIF(SmtRes!AQ26:'SmtRes'!AQ26,"=1",SmtRes!AD26:'SmtRes'!AD26)*Source!I33, 2)+ROUND(SUMIF(SmtRes!AQ26:'SmtRes'!AQ26,"=1",SmtRes!AC26:'SmtRes'!AC26)*Source!I33, 2))), 2)</f>
        <v>15320.5</v>
      </c>
      <c r="AE112">
        <f>ROUND((Source!AU33/100)*((ROUND(SUMIF(SmtRes!AQ26:'SmtRes'!AQ26,"=1",SmtRes!AD26:'SmtRes'!AD26)*Source!I33, 2)+ROUND(SUMIF(SmtRes!AQ26:'SmtRes'!AQ26,"=1",SmtRes!AC26:'SmtRes'!AC26)*Source!I33, 2))), 2)</f>
        <v>7830.48</v>
      </c>
      <c r="AN112" s="52">
        <f>M106+M110+M111</f>
        <v>23300.78</v>
      </c>
      <c r="AO112">
        <f>0</f>
        <v>0</v>
      </c>
      <c r="AQ112" t="s">
        <v>477</v>
      </c>
      <c r="AR112" s="52">
        <f>M106</f>
        <v>9873.2099999999991</v>
      </c>
      <c r="AT112">
        <f>0</f>
        <v>0</v>
      </c>
      <c r="AV112" t="s">
        <v>477</v>
      </c>
      <c r="AW112">
        <f>0</f>
        <v>0</v>
      </c>
      <c r="AZ112">
        <f>Source!X33</f>
        <v>8885.89</v>
      </c>
      <c r="BA112">
        <f>Source!Y33</f>
        <v>4541.68</v>
      </c>
      <c r="CD112">
        <v>1</v>
      </c>
    </row>
    <row r="113" spans="1:83" ht="28.5" x14ac:dyDescent="0.2">
      <c r="A113" s="38" t="s">
        <v>24</v>
      </c>
      <c r="B113" s="40">
        <v>3</v>
      </c>
      <c r="C113" s="40" t="s">
        <v>490</v>
      </c>
      <c r="D113" s="40" t="str">
        <f>Source!G34</f>
        <v>Расчистка поверхностей шпателем, щетками от старых покрасок(потолков)</v>
      </c>
      <c r="E113" s="41" t="str">
        <f>Source!H34</f>
        <v>м2</v>
      </c>
      <c r="F113" s="44">
        <f>Source!K34</f>
        <v>65</v>
      </c>
      <c r="G113" s="39"/>
      <c r="H113" s="44">
        <f>Source!I34</f>
        <v>65</v>
      </c>
      <c r="I113" s="45"/>
      <c r="J113" s="43"/>
      <c r="K113" s="45"/>
      <c r="L113" s="40"/>
      <c r="M113" s="45"/>
    </row>
    <row r="114" spans="1:83" ht="15" x14ac:dyDescent="0.2">
      <c r="A114" s="39"/>
      <c r="B114" s="39"/>
      <c r="C114" s="42">
        <v>1</v>
      </c>
      <c r="D114" s="39" t="s">
        <v>470</v>
      </c>
      <c r="E114" s="41" t="s">
        <v>278</v>
      </c>
      <c r="F114" s="44"/>
      <c r="G114" s="42"/>
      <c r="H114" s="44">
        <f>Source!U34</f>
        <v>37.699999999999996</v>
      </c>
      <c r="I114" s="42"/>
      <c r="J114" s="42"/>
      <c r="K114" s="42"/>
      <c r="L114" s="42"/>
      <c r="M114" s="46">
        <f>SUM(M115:M115)-SUMIF(CE115:CE115, 1, M115:M115)</f>
        <v>7920.02</v>
      </c>
    </row>
    <row r="115" spans="1:83" ht="28.5" x14ac:dyDescent="0.2">
      <c r="A115" s="40"/>
      <c r="B115" s="40"/>
      <c r="C115" s="40" t="s">
        <v>329</v>
      </c>
      <c r="D115" s="55" t="s">
        <v>330</v>
      </c>
      <c r="E115" s="48" t="s">
        <v>278</v>
      </c>
      <c r="F115" s="49">
        <v>0.57999999999999996</v>
      </c>
      <c r="G115" s="47"/>
      <c r="H115" s="49">
        <f>SmtRes!CX27</f>
        <v>37.700000000000003</v>
      </c>
      <c r="I115" s="56"/>
      <c r="J115" s="57"/>
      <c r="K115" s="56">
        <f>SmtRes!CZ27</f>
        <v>210.08</v>
      </c>
      <c r="L115" s="55"/>
      <c r="M115" s="56">
        <f>SmtRes!DI27</f>
        <v>7920.02</v>
      </c>
    </row>
    <row r="116" spans="1:83" ht="15" x14ac:dyDescent="0.2">
      <c r="A116" s="40"/>
      <c r="B116" s="40"/>
      <c r="C116" s="40"/>
      <c r="D116" s="53" t="s">
        <v>472</v>
      </c>
      <c r="E116" s="41"/>
      <c r="F116" s="44"/>
      <c r="G116" s="39"/>
      <c r="H116" s="44"/>
      <c r="I116" s="45"/>
      <c r="J116" s="43"/>
      <c r="K116" s="45"/>
      <c r="L116" s="40"/>
      <c r="M116" s="45">
        <f>M114</f>
        <v>7920.02</v>
      </c>
    </row>
    <row r="117" spans="1:83" ht="14.25" x14ac:dyDescent="0.2">
      <c r="A117" s="40"/>
      <c r="B117" s="40"/>
      <c r="C117" s="40"/>
      <c r="D117" s="40" t="s">
        <v>473</v>
      </c>
      <c r="E117" s="41"/>
      <c r="F117" s="44"/>
      <c r="G117" s="39"/>
      <c r="H117" s="44"/>
      <c r="I117" s="45"/>
      <c r="J117" s="43"/>
      <c r="K117" s="45"/>
      <c r="L117" s="40"/>
      <c r="M117" s="45">
        <f>SUM(AR113:AR120)+SUM(AS113:AS120)+SUM(AT113:AT120)+SUM(AU113:AU120)+SUM(AV113:AV120)</f>
        <v>7920.02</v>
      </c>
    </row>
    <row r="118" spans="1:83" ht="14.25" x14ac:dyDescent="0.2">
      <c r="A118" s="40"/>
      <c r="B118" s="40"/>
      <c r="C118" s="40" t="s">
        <v>53</v>
      </c>
      <c r="D118" s="40" t="s">
        <v>491</v>
      </c>
      <c r="E118" s="41" t="s">
        <v>384</v>
      </c>
      <c r="F118" s="44">
        <f>Source!BZ34</f>
        <v>90</v>
      </c>
      <c r="G118" s="39"/>
      <c r="H118" s="44">
        <f>Source!AT34</f>
        <v>90</v>
      </c>
      <c r="I118" s="45"/>
      <c r="J118" s="43"/>
      <c r="K118" s="45"/>
      <c r="L118" s="40"/>
      <c r="M118" s="45">
        <f>SUM(AZ113:AZ120)</f>
        <v>7128.02</v>
      </c>
    </row>
    <row r="119" spans="1:83" ht="14.25" x14ac:dyDescent="0.2">
      <c r="A119" s="55"/>
      <c r="B119" s="55"/>
      <c r="C119" s="55" t="s">
        <v>54</v>
      </c>
      <c r="D119" s="55" t="s">
        <v>492</v>
      </c>
      <c r="E119" s="48" t="s">
        <v>384</v>
      </c>
      <c r="F119" s="49">
        <f>Source!CA34</f>
        <v>46</v>
      </c>
      <c r="G119" s="47"/>
      <c r="H119" s="49">
        <f>Source!AU34</f>
        <v>46</v>
      </c>
      <c r="I119" s="56"/>
      <c r="J119" s="57"/>
      <c r="K119" s="56"/>
      <c r="L119" s="55"/>
      <c r="M119" s="56">
        <f>SUM(BA113:BA120)</f>
        <v>3643.21</v>
      </c>
    </row>
    <row r="120" spans="1:83" ht="15" x14ac:dyDescent="0.2">
      <c r="D120" s="163" t="s">
        <v>476</v>
      </c>
      <c r="E120" s="163"/>
      <c r="F120" s="163"/>
      <c r="G120" s="163"/>
      <c r="H120" s="163"/>
      <c r="I120" s="163"/>
      <c r="J120" s="164">
        <f>L120/F113</f>
        <v>287.55769230769232</v>
      </c>
      <c r="K120" s="164"/>
      <c r="L120" s="164">
        <f>M114+M118+M119</f>
        <v>18691.25</v>
      </c>
      <c r="M120" s="164"/>
      <c r="AD120">
        <f>ROUND((Source!AT34/100)*((ROUND(SUMIF(SmtRes!AQ27:'SmtRes'!AQ27,"=1",SmtRes!AD27:'SmtRes'!AD27)*Source!I34, 2)+ROUND(SUMIF(SmtRes!AQ27:'SmtRes'!AQ27,"=1",SmtRes!AC27:'SmtRes'!AC27)*Source!I34, 2))), 2)</f>
        <v>12289.68</v>
      </c>
      <c r="AE120">
        <f>ROUND((Source!AU34/100)*((ROUND(SUMIF(SmtRes!AQ27:'SmtRes'!AQ27,"=1",SmtRes!AD27:'SmtRes'!AD27)*Source!I34, 2)+ROUND(SUMIF(SmtRes!AQ27:'SmtRes'!AQ27,"=1",SmtRes!AC27:'SmtRes'!AC27)*Source!I34, 2))), 2)</f>
        <v>6281.39</v>
      </c>
      <c r="AN120" s="52">
        <f>M114+M118+M119</f>
        <v>18691.25</v>
      </c>
      <c r="AO120">
        <f>0</f>
        <v>0</v>
      </c>
      <c r="AQ120" t="s">
        <v>477</v>
      </c>
      <c r="AR120" s="52">
        <f>M114</f>
        <v>7920.02</v>
      </c>
      <c r="AT120">
        <f>0</f>
        <v>0</v>
      </c>
      <c r="AV120" t="s">
        <v>477</v>
      </c>
      <c r="AW120">
        <f>0</f>
        <v>0</v>
      </c>
      <c r="AZ120">
        <f>Source!X34</f>
        <v>7128.02</v>
      </c>
      <c r="BA120">
        <f>Source!Y34</f>
        <v>3643.21</v>
      </c>
      <c r="CD120">
        <v>1</v>
      </c>
    </row>
    <row r="121" spans="1:83" ht="105" x14ac:dyDescent="0.2">
      <c r="A121" s="38" t="s">
        <v>56</v>
      </c>
      <c r="B121" s="40">
        <v>4</v>
      </c>
      <c r="C121" s="40" t="s">
        <v>493</v>
      </c>
      <c r="D121" s="40" t="s">
        <v>494</v>
      </c>
      <c r="E121" s="41" t="str">
        <f>Source!H35</f>
        <v>100 м2</v>
      </c>
      <c r="F121" s="44">
        <f>Source!K35</f>
        <v>0.81030000000000002</v>
      </c>
      <c r="G121" s="39"/>
      <c r="H121" s="44">
        <f>Source!I35</f>
        <v>0.81030000000000002</v>
      </c>
      <c r="I121" s="45"/>
      <c r="J121" s="43"/>
      <c r="K121" s="45"/>
      <c r="L121" s="40"/>
      <c r="M121" s="45"/>
    </row>
    <row r="122" spans="1:83" ht="15" x14ac:dyDescent="0.2">
      <c r="A122" s="39"/>
      <c r="B122" s="39"/>
      <c r="C122" s="42">
        <v>1</v>
      </c>
      <c r="D122" s="39" t="s">
        <v>470</v>
      </c>
      <c r="E122" s="41" t="s">
        <v>278</v>
      </c>
      <c r="F122" s="44"/>
      <c r="G122" s="42"/>
      <c r="H122" s="44">
        <f>Source!U35</f>
        <v>4.3330792499999999</v>
      </c>
      <c r="I122" s="42"/>
      <c r="J122" s="42"/>
      <c r="K122" s="42"/>
      <c r="L122" s="42"/>
      <c r="M122" s="46">
        <f>SUM(M123:M123)-SUMIF(CE123:CE123, 1, M123:M123)</f>
        <v>1157.32</v>
      </c>
    </row>
    <row r="123" spans="1:83" ht="28.5" x14ac:dyDescent="0.2">
      <c r="A123" s="40"/>
      <c r="B123" s="40"/>
      <c r="C123" s="40" t="s">
        <v>331</v>
      </c>
      <c r="D123" s="40" t="s">
        <v>332</v>
      </c>
      <c r="E123" s="41" t="s">
        <v>278</v>
      </c>
      <c r="F123" s="44">
        <v>4.6500000000000004</v>
      </c>
      <c r="G123" s="39">
        <f>ROUND(1.15,7)</f>
        <v>1.1499999999999999</v>
      </c>
      <c r="H123" s="44">
        <f>SmtRes!CX28</f>
        <v>4.3330792999999996</v>
      </c>
      <c r="I123" s="45"/>
      <c r="J123" s="43"/>
      <c r="K123" s="45">
        <f>SmtRes!CZ28</f>
        <v>267.08999999999997</v>
      </c>
      <c r="L123" s="40"/>
      <c r="M123" s="45">
        <f>SmtRes!DI28</f>
        <v>1157.32</v>
      </c>
    </row>
    <row r="124" spans="1:83" ht="15" x14ac:dyDescent="0.2">
      <c r="A124" s="39"/>
      <c r="B124" s="39"/>
      <c r="C124" s="42">
        <v>2</v>
      </c>
      <c r="D124" s="39" t="s">
        <v>480</v>
      </c>
      <c r="E124" s="41"/>
      <c r="F124" s="44"/>
      <c r="G124" s="42"/>
      <c r="H124" s="44"/>
      <c r="I124" s="42"/>
      <c r="J124" s="42"/>
      <c r="K124" s="42"/>
      <c r="L124" s="42"/>
      <c r="M124" s="46">
        <f>SUM(M125:M129)-SUMIF(CE125:CE129, 1, M125:M129)</f>
        <v>5.9700000000000024</v>
      </c>
    </row>
    <row r="125" spans="1:83" ht="15" x14ac:dyDescent="0.2">
      <c r="A125" s="39"/>
      <c r="B125" s="39"/>
      <c r="C125" s="42"/>
      <c r="D125" s="39" t="s">
        <v>483</v>
      </c>
      <c r="E125" s="41" t="s">
        <v>278</v>
      </c>
      <c r="F125" s="44"/>
      <c r="G125" s="42"/>
      <c r="H125" s="44">
        <f>Source!V35</f>
        <v>2.0257500000000001E-2</v>
      </c>
      <c r="I125" s="42"/>
      <c r="J125" s="42"/>
      <c r="K125" s="42"/>
      <c r="L125" s="42"/>
      <c r="M125" s="46">
        <f>SUMIF(CE126:CE129, 1, M126:M129)</f>
        <v>5.1099999999999994</v>
      </c>
      <c r="CE125">
        <v>1</v>
      </c>
    </row>
    <row r="126" spans="1:83" ht="42.75" x14ac:dyDescent="0.2">
      <c r="A126" s="40"/>
      <c r="B126" s="40"/>
      <c r="C126" s="40" t="s">
        <v>286</v>
      </c>
      <c r="D126" s="40" t="s">
        <v>288</v>
      </c>
      <c r="E126" s="41" t="s">
        <v>289</v>
      </c>
      <c r="F126" s="44">
        <v>0.01</v>
      </c>
      <c r="G126" s="39">
        <f>ROUND(1.25,7)</f>
        <v>1.25</v>
      </c>
      <c r="H126" s="44">
        <f>SmtRes!CX30</f>
        <v>1.01288E-2</v>
      </c>
      <c r="I126" s="45">
        <f>SmtRes!CZ30</f>
        <v>37.32</v>
      </c>
      <c r="J126" s="43">
        <f>SmtRes!AJ30</f>
        <v>1.31</v>
      </c>
      <c r="K126" s="45">
        <f>ROUND(I126*J126, 2)</f>
        <v>48.89</v>
      </c>
      <c r="L126" s="40"/>
      <c r="M126" s="45">
        <f>SmtRes!DG30</f>
        <v>0.5</v>
      </c>
    </row>
    <row r="127" spans="1:83" ht="28.5" x14ac:dyDescent="0.2">
      <c r="A127" s="40"/>
      <c r="B127" s="40"/>
      <c r="C127" s="40" t="s">
        <v>290</v>
      </c>
      <c r="D127" s="40" t="s">
        <v>481</v>
      </c>
      <c r="E127" s="41" t="s">
        <v>278</v>
      </c>
      <c r="F127" s="44">
        <f>SmtRes!DO30*SmtRes!AT30</f>
        <v>0.01</v>
      </c>
      <c r="G127" s="39">
        <f>ROUND(1.25,7)</f>
        <v>1.25</v>
      </c>
      <c r="H127" s="44">
        <f>SmtRes!DO30*SmtRes!CX30</f>
        <v>1.01288E-2</v>
      </c>
      <c r="I127" s="45"/>
      <c r="J127" s="43"/>
      <c r="K127" s="45">
        <f>ROUND(SmtRes!AG30/SmtRes!DO30, 2)</f>
        <v>237.19</v>
      </c>
      <c r="L127" s="40"/>
      <c r="M127" s="45">
        <f>SmtRes!DH30</f>
        <v>2.4</v>
      </c>
      <c r="CE127">
        <v>1</v>
      </c>
    </row>
    <row r="128" spans="1:83" ht="28.5" x14ac:dyDescent="0.2">
      <c r="A128" s="40"/>
      <c r="B128" s="40"/>
      <c r="C128" s="40" t="s">
        <v>291</v>
      </c>
      <c r="D128" s="40" t="s">
        <v>293</v>
      </c>
      <c r="E128" s="41" t="s">
        <v>289</v>
      </c>
      <c r="F128" s="44">
        <v>0.01</v>
      </c>
      <c r="G128" s="39">
        <f>ROUND(1.25,7)</f>
        <v>1.25</v>
      </c>
      <c r="H128" s="44">
        <f>SmtRes!CX31</f>
        <v>1.01288E-2</v>
      </c>
      <c r="I128" s="45">
        <f>SmtRes!CZ31</f>
        <v>477.92</v>
      </c>
      <c r="J128" s="43">
        <f>SmtRes!AJ31</f>
        <v>1.1299999999999999</v>
      </c>
      <c r="K128" s="45">
        <f>ROUND(I128*J128, 2)</f>
        <v>540.04999999999995</v>
      </c>
      <c r="L128" s="40"/>
      <c r="M128" s="45">
        <f>SmtRes!DG31</f>
        <v>5.47</v>
      </c>
    </row>
    <row r="129" spans="1:83" ht="28.5" x14ac:dyDescent="0.2">
      <c r="A129" s="40"/>
      <c r="B129" s="40"/>
      <c r="C129" s="40" t="s">
        <v>294</v>
      </c>
      <c r="D129" s="40" t="s">
        <v>482</v>
      </c>
      <c r="E129" s="41" t="s">
        <v>278</v>
      </c>
      <c r="F129" s="44">
        <f>SmtRes!DO31*SmtRes!AT31</f>
        <v>0.01</v>
      </c>
      <c r="G129" s="39">
        <f>ROUND(1.25,7)</f>
        <v>1.25</v>
      </c>
      <c r="H129" s="44">
        <f>SmtRes!DO31*SmtRes!CX31</f>
        <v>1.01288E-2</v>
      </c>
      <c r="I129" s="45"/>
      <c r="J129" s="43"/>
      <c r="K129" s="45">
        <f>ROUND(SmtRes!AG31/SmtRes!DO31, 2)</f>
        <v>267.08999999999997</v>
      </c>
      <c r="L129" s="40"/>
      <c r="M129" s="45">
        <f>SmtRes!DH31</f>
        <v>2.71</v>
      </c>
      <c r="CE129">
        <v>1</v>
      </c>
    </row>
    <row r="130" spans="1:83" ht="15" x14ac:dyDescent="0.2">
      <c r="A130" s="39"/>
      <c r="B130" s="39"/>
      <c r="C130" s="42">
        <v>4</v>
      </c>
      <c r="D130" s="39" t="s">
        <v>471</v>
      </c>
      <c r="E130" s="41"/>
      <c r="F130" s="44"/>
      <c r="G130" s="42"/>
      <c r="H130" s="44"/>
      <c r="I130" s="42"/>
      <c r="J130" s="42"/>
      <c r="K130" s="42"/>
      <c r="L130" s="42"/>
      <c r="M130" s="46">
        <f>SUM(M131:M132)-SUMIF(CE131:CE132, 1, M131:M132)</f>
        <v>985.1</v>
      </c>
    </row>
    <row r="131" spans="1:83" ht="14.25" x14ac:dyDescent="0.2">
      <c r="A131" s="40"/>
      <c r="B131" s="40"/>
      <c r="C131" s="40" t="s">
        <v>333</v>
      </c>
      <c r="D131" s="40" t="s">
        <v>335</v>
      </c>
      <c r="E131" s="41" t="s">
        <v>336</v>
      </c>
      <c r="F131" s="44">
        <v>0.1</v>
      </c>
      <c r="G131" s="39"/>
      <c r="H131" s="44">
        <f>SmtRes!CX32</f>
        <v>8.1030000000000005E-2</v>
      </c>
      <c r="I131" s="45">
        <f>SmtRes!CZ32</f>
        <v>56.81</v>
      </c>
      <c r="J131" s="43">
        <f>SmtRes!AI32</f>
        <v>1.87</v>
      </c>
      <c r="K131" s="45">
        <f>ROUND(I131*J131, 2)</f>
        <v>106.23</v>
      </c>
      <c r="L131" s="40"/>
      <c r="M131" s="45">
        <f>SmtRes!DF32</f>
        <v>8.61</v>
      </c>
    </row>
    <row r="132" spans="1:83" ht="14.25" x14ac:dyDescent="0.2">
      <c r="A132" s="40"/>
      <c r="B132" s="40"/>
      <c r="C132" s="40" t="s">
        <v>326</v>
      </c>
      <c r="D132" s="40" t="s">
        <v>337</v>
      </c>
      <c r="E132" s="41" t="s">
        <v>281</v>
      </c>
      <c r="F132" s="44">
        <v>1.0300012341108231E-2</v>
      </c>
      <c r="G132" s="39"/>
      <c r="H132" s="44">
        <f>SmtRes!CX33</f>
        <v>8.3461000000000004E-3</v>
      </c>
      <c r="I132" s="45">
        <f>SmtRes!CZ33</f>
        <v>117000</v>
      </c>
      <c r="J132" s="43"/>
      <c r="K132" s="45"/>
      <c r="L132" s="40"/>
      <c r="M132" s="45">
        <f>SmtRes!DF33</f>
        <v>976.49</v>
      </c>
    </row>
    <row r="133" spans="1:83" ht="14.25" x14ac:dyDescent="0.2">
      <c r="A133" s="40"/>
      <c r="B133" s="40"/>
      <c r="C133" s="40" t="str">
        <f>EtalonRes!I33</f>
        <v>14.3.01.03</v>
      </c>
      <c r="D133" s="55" t="str">
        <f>EtalonRes!K33</f>
        <v>Грунтовка</v>
      </c>
      <c r="E133" s="48" t="str">
        <f>EtalonRes!O33</f>
        <v>т</v>
      </c>
      <c r="F133" s="49">
        <f>EtalonRes!X33</f>
        <v>1.03E-2</v>
      </c>
      <c r="G133" s="47"/>
      <c r="H133" s="49">
        <f>ROUND(EtalonRes!AG33*Source!I35, 7)</f>
        <v>8.3461000000000004E-3</v>
      </c>
      <c r="I133" s="56"/>
      <c r="J133" s="57"/>
      <c r="K133" s="56"/>
      <c r="L133" s="55"/>
      <c r="M133" s="56"/>
    </row>
    <row r="134" spans="1:83" ht="15" x14ac:dyDescent="0.2">
      <c r="A134" s="40"/>
      <c r="B134" s="40"/>
      <c r="C134" s="40"/>
      <c r="D134" s="53" t="s">
        <v>472</v>
      </c>
      <c r="E134" s="41"/>
      <c r="F134" s="44"/>
      <c r="G134" s="39"/>
      <c r="H134" s="44"/>
      <c r="I134" s="45"/>
      <c r="J134" s="43"/>
      <c r="K134" s="45"/>
      <c r="L134" s="40"/>
      <c r="M134" s="45">
        <f>M122+M124+M125+M130</f>
        <v>2153.5</v>
      </c>
    </row>
    <row r="135" spans="1:83" ht="14.25" x14ac:dyDescent="0.2">
      <c r="A135" s="40"/>
      <c r="B135" s="40"/>
      <c r="C135" s="40"/>
      <c r="D135" s="40" t="s">
        <v>473</v>
      </c>
      <c r="E135" s="41"/>
      <c r="F135" s="44"/>
      <c r="G135" s="39"/>
      <c r="H135" s="44"/>
      <c r="I135" s="45"/>
      <c r="J135" s="43"/>
      <c r="K135" s="45"/>
      <c r="L135" s="40"/>
      <c r="M135" s="45">
        <f>SUM(AR121:AR138)+SUM(AS121:AS138)+SUM(AT121:AT138)+SUM(AU121:AU138)+SUM(AV121:AV138)</f>
        <v>1162.4299999999998</v>
      </c>
    </row>
    <row r="136" spans="1:83" ht="28.5" x14ac:dyDescent="0.2">
      <c r="A136" s="40"/>
      <c r="B136" s="40"/>
      <c r="C136" s="40" t="s">
        <v>495</v>
      </c>
      <c r="D136" s="40" t="s">
        <v>496</v>
      </c>
      <c r="E136" s="41" t="s">
        <v>384</v>
      </c>
      <c r="F136" s="44">
        <f>Source!BZ35</f>
        <v>100</v>
      </c>
      <c r="G136" s="39">
        <f>ROUND(0.9,7)</f>
        <v>0.9</v>
      </c>
      <c r="H136" s="44">
        <f>Source!AT35</f>
        <v>90</v>
      </c>
      <c r="I136" s="45"/>
      <c r="J136" s="43"/>
      <c r="K136" s="45"/>
      <c r="L136" s="40"/>
      <c r="M136" s="45">
        <f>SUM(AZ121:AZ138)</f>
        <v>1046.19</v>
      </c>
    </row>
    <row r="137" spans="1:83" ht="28.5" x14ac:dyDescent="0.2">
      <c r="A137" s="55"/>
      <c r="B137" s="55"/>
      <c r="C137" s="55" t="s">
        <v>497</v>
      </c>
      <c r="D137" s="55" t="s">
        <v>498</v>
      </c>
      <c r="E137" s="48" t="s">
        <v>384</v>
      </c>
      <c r="F137" s="49">
        <f>Source!CA35</f>
        <v>49</v>
      </c>
      <c r="G137" s="47">
        <f>ROUND(0.85,7)</f>
        <v>0.85</v>
      </c>
      <c r="H137" s="49">
        <f>Source!AU35</f>
        <v>41.65</v>
      </c>
      <c r="I137" s="56"/>
      <c r="J137" s="57"/>
      <c r="K137" s="56"/>
      <c r="L137" s="55"/>
      <c r="M137" s="56">
        <f>SUM(BA121:BA138)</f>
        <v>484.15</v>
      </c>
    </row>
    <row r="138" spans="1:83" ht="15" x14ac:dyDescent="0.2">
      <c r="D138" s="163" t="s">
        <v>476</v>
      </c>
      <c r="E138" s="163"/>
      <c r="F138" s="163"/>
      <c r="G138" s="163"/>
      <c r="H138" s="163"/>
      <c r="I138" s="163"/>
      <c r="J138" s="164">
        <f>L138/F121</f>
        <v>4546.2668147599652</v>
      </c>
      <c r="K138" s="164"/>
      <c r="L138" s="164">
        <f>M122+M124+M130+M136+M137+M125</f>
        <v>3683.84</v>
      </c>
      <c r="M138" s="164"/>
      <c r="AD138">
        <f>ROUND((Source!AT35/100)*((ROUND(SUMIF(SmtRes!AQ28:'SmtRes'!AQ33,"=1",SmtRes!AD28:'SmtRes'!AD33)*Source!I35, 2)+ROUND(SUMIF(SmtRes!AQ28:'SmtRes'!AQ33,"=1",SmtRes!AC28:'SmtRes'!AC33)*Source!I35, 2))), 2)</f>
        <v>562.54</v>
      </c>
      <c r="AE138">
        <f>ROUND((Source!AU35/100)*((ROUND(SUMIF(SmtRes!AQ28:'SmtRes'!AQ33,"=1",SmtRes!AD28:'SmtRes'!AD33)*Source!I35, 2)+ROUND(SUMIF(SmtRes!AQ28:'SmtRes'!AQ33,"=1",SmtRes!AC28:'SmtRes'!AC33)*Source!I35, 2))), 2)</f>
        <v>260.33</v>
      </c>
      <c r="AN138" s="52">
        <f>M122+M124+M130+M136+M137+M125</f>
        <v>3683.84</v>
      </c>
      <c r="AO138" s="52">
        <f>M124</f>
        <v>5.9700000000000024</v>
      </c>
      <c r="AQ138" t="s">
        <v>477</v>
      </c>
      <c r="AR138" s="52">
        <f>M122</f>
        <v>1157.32</v>
      </c>
      <c r="AT138" s="52">
        <f>M125</f>
        <v>5.1099999999999994</v>
      </c>
      <c r="AV138" t="s">
        <v>477</v>
      </c>
      <c r="AW138" s="52">
        <f>M130</f>
        <v>985.1</v>
      </c>
      <c r="AZ138">
        <f>Source!X35</f>
        <v>1046.19</v>
      </c>
      <c r="BA138">
        <f>Source!Y35</f>
        <v>484.15</v>
      </c>
      <c r="CD138">
        <v>1</v>
      </c>
    </row>
    <row r="139" spans="1:83" ht="42.75" x14ac:dyDescent="0.2">
      <c r="A139" s="38" t="s">
        <v>43</v>
      </c>
      <c r="B139" s="40">
        <v>6</v>
      </c>
      <c r="C139" s="40" t="s">
        <v>499</v>
      </c>
      <c r="D139" s="40" t="str">
        <f>Source!G36</f>
        <v>Наклеивание сетки штукатурной стеклотканевой по готовому основанию(стыки гипсокартона (прим.)</v>
      </c>
      <c r="E139" s="41" t="str">
        <f>Source!H36</f>
        <v>100 м2</v>
      </c>
      <c r="F139" s="44">
        <f>Source!K36</f>
        <v>0.04</v>
      </c>
      <c r="G139" s="39"/>
      <c r="H139" s="44">
        <f>Source!I36</f>
        <v>0.04</v>
      </c>
      <c r="I139" s="45"/>
      <c r="J139" s="43"/>
      <c r="K139" s="45"/>
      <c r="L139" s="40"/>
      <c r="M139" s="45"/>
    </row>
    <row r="140" spans="1:83" ht="15" x14ac:dyDescent="0.2">
      <c r="A140" s="39"/>
      <c r="B140" s="39"/>
      <c r="C140" s="42">
        <v>1</v>
      </c>
      <c r="D140" s="39" t="s">
        <v>470</v>
      </c>
      <c r="E140" s="41" t="s">
        <v>278</v>
      </c>
      <c r="F140" s="44"/>
      <c r="G140" s="42"/>
      <c r="H140" s="44">
        <f>Source!U36</f>
        <v>0.84519999999999995</v>
      </c>
      <c r="I140" s="42"/>
      <c r="J140" s="42"/>
      <c r="K140" s="42"/>
      <c r="L140" s="42"/>
      <c r="M140" s="46">
        <f>SUM(M141:M141)-SUMIF(CE141:CE141, 1, M141:M141)</f>
        <v>210.58</v>
      </c>
    </row>
    <row r="141" spans="1:83" ht="28.5" x14ac:dyDescent="0.2">
      <c r="A141" s="40"/>
      <c r="B141" s="40"/>
      <c r="C141" s="40" t="s">
        <v>338</v>
      </c>
      <c r="D141" s="40" t="s">
        <v>339</v>
      </c>
      <c r="E141" s="41" t="s">
        <v>278</v>
      </c>
      <c r="F141" s="44">
        <v>21.13</v>
      </c>
      <c r="G141" s="39"/>
      <c r="H141" s="44">
        <f>SmtRes!CX34</f>
        <v>0.84519999999999995</v>
      </c>
      <c r="I141" s="45"/>
      <c r="J141" s="43"/>
      <c r="K141" s="45">
        <f>SmtRes!CZ34</f>
        <v>249.15</v>
      </c>
      <c r="L141" s="40"/>
      <c r="M141" s="45">
        <f>SmtRes!DI34</f>
        <v>210.58</v>
      </c>
    </row>
    <row r="142" spans="1:83" ht="15" x14ac:dyDescent="0.2">
      <c r="A142" s="39"/>
      <c r="B142" s="39"/>
      <c r="C142" s="42">
        <v>2</v>
      </c>
      <c r="D142" s="39" t="s">
        <v>480</v>
      </c>
      <c r="E142" s="41"/>
      <c r="F142" s="44"/>
      <c r="G142" s="42"/>
      <c r="H142" s="44"/>
      <c r="I142" s="42"/>
      <c r="J142" s="42"/>
      <c r="K142" s="42"/>
      <c r="L142" s="42"/>
      <c r="M142" s="46">
        <f>SUM(M143:M145)-SUMIF(CE143:CE145, 1, M143:M145)</f>
        <v>1.3</v>
      </c>
    </row>
    <row r="143" spans="1:83" ht="15" x14ac:dyDescent="0.2">
      <c r="A143" s="39"/>
      <c r="B143" s="39"/>
      <c r="C143" s="42"/>
      <c r="D143" s="39" t="s">
        <v>483</v>
      </c>
      <c r="E143" s="41" t="s">
        <v>278</v>
      </c>
      <c r="F143" s="44"/>
      <c r="G143" s="42"/>
      <c r="H143" s="44">
        <f>Source!V36</f>
        <v>2.3999999999999998E-3</v>
      </c>
      <c r="I143" s="42"/>
      <c r="J143" s="42"/>
      <c r="K143" s="42"/>
      <c r="L143" s="42"/>
      <c r="M143" s="46">
        <f>SUMIF(CE144:CE145, 1, M144:M145)</f>
        <v>0.64</v>
      </c>
      <c r="CE143">
        <v>1</v>
      </c>
    </row>
    <row r="144" spans="1:83" ht="28.5" x14ac:dyDescent="0.2">
      <c r="A144" s="40"/>
      <c r="B144" s="40"/>
      <c r="C144" s="40" t="s">
        <v>291</v>
      </c>
      <c r="D144" s="40" t="s">
        <v>293</v>
      </c>
      <c r="E144" s="41" t="s">
        <v>289</v>
      </c>
      <c r="F144" s="44">
        <v>0.06</v>
      </c>
      <c r="G144" s="39"/>
      <c r="H144" s="44">
        <f>SmtRes!CX36</f>
        <v>2.3999999999999998E-3</v>
      </c>
      <c r="I144" s="45">
        <f>SmtRes!CZ36</f>
        <v>477.92</v>
      </c>
      <c r="J144" s="43">
        <f>SmtRes!AJ36</f>
        <v>1.1299999999999999</v>
      </c>
      <c r="K144" s="45">
        <f>ROUND(I144*J144, 2)</f>
        <v>540.04999999999995</v>
      </c>
      <c r="L144" s="40"/>
      <c r="M144" s="45">
        <f>SmtRes!DG36</f>
        <v>1.3</v>
      </c>
    </row>
    <row r="145" spans="1:83" ht="28.5" x14ac:dyDescent="0.2">
      <c r="A145" s="40"/>
      <c r="B145" s="40"/>
      <c r="C145" s="40" t="s">
        <v>294</v>
      </c>
      <c r="D145" s="40" t="s">
        <v>482</v>
      </c>
      <c r="E145" s="41" t="s">
        <v>278</v>
      </c>
      <c r="F145" s="44">
        <f>SmtRes!DO36*SmtRes!AT36</f>
        <v>0.06</v>
      </c>
      <c r="G145" s="39"/>
      <c r="H145" s="44">
        <f>SmtRes!DO36*SmtRes!CX36</f>
        <v>2.3999999999999998E-3</v>
      </c>
      <c r="I145" s="45"/>
      <c r="J145" s="43"/>
      <c r="K145" s="45">
        <f>ROUND(SmtRes!AG36/SmtRes!DO36, 2)</f>
        <v>267.08999999999997</v>
      </c>
      <c r="L145" s="40"/>
      <c r="M145" s="45">
        <f>SmtRes!DH36</f>
        <v>0.64</v>
      </c>
      <c r="CE145">
        <v>1</v>
      </c>
    </row>
    <row r="146" spans="1:83" ht="15" x14ac:dyDescent="0.2">
      <c r="A146" s="39"/>
      <c r="B146" s="39"/>
      <c r="C146" s="42">
        <v>4</v>
      </c>
      <c r="D146" s="39" t="s">
        <v>471</v>
      </c>
      <c r="E146" s="41"/>
      <c r="F146" s="44"/>
      <c r="G146" s="42"/>
      <c r="H146" s="44"/>
      <c r="I146" s="42"/>
      <c r="J146" s="42"/>
      <c r="K146" s="42"/>
      <c r="L146" s="42"/>
      <c r="M146" s="46">
        <f>SUM(M147:M149)-SUMIF(CE147:CE149, 1, M147:M149)</f>
        <v>192.63</v>
      </c>
    </row>
    <row r="147" spans="1:83" ht="14.25" x14ac:dyDescent="0.2">
      <c r="A147" s="40"/>
      <c r="B147" s="40"/>
      <c r="C147" s="40" t="s">
        <v>340</v>
      </c>
      <c r="D147" s="40" t="s">
        <v>342</v>
      </c>
      <c r="E147" s="41" t="s">
        <v>336</v>
      </c>
      <c r="F147" s="44">
        <v>20.6</v>
      </c>
      <c r="G147" s="39"/>
      <c r="H147" s="44">
        <f>SmtRes!CX37</f>
        <v>0.82399999999999995</v>
      </c>
      <c r="I147" s="45">
        <f>SmtRes!CZ37</f>
        <v>65.33</v>
      </c>
      <c r="J147" s="43">
        <f>SmtRes!AI37</f>
        <v>1.45</v>
      </c>
      <c r="K147" s="45">
        <f>ROUND(I147*J147, 2)</f>
        <v>94.73</v>
      </c>
      <c r="L147" s="40"/>
      <c r="M147" s="45">
        <f>SmtRes!DF37</f>
        <v>78.06</v>
      </c>
    </row>
    <row r="148" spans="1:83" ht="42.75" x14ac:dyDescent="0.2">
      <c r="A148" s="40"/>
      <c r="B148" s="40"/>
      <c r="C148" s="40" t="s">
        <v>343</v>
      </c>
      <c r="D148" s="40" t="s">
        <v>345</v>
      </c>
      <c r="E148" s="41" t="s">
        <v>336</v>
      </c>
      <c r="F148" s="44">
        <v>10.3</v>
      </c>
      <c r="G148" s="39"/>
      <c r="H148" s="44">
        <f>SmtRes!CX38</f>
        <v>0.41199999999999998</v>
      </c>
      <c r="I148" s="45">
        <f>SmtRes!CZ38</f>
        <v>144.12</v>
      </c>
      <c r="J148" s="43">
        <f>SmtRes!AI38</f>
        <v>1.08</v>
      </c>
      <c r="K148" s="45">
        <f>ROUND(I148*J148, 2)</f>
        <v>155.65</v>
      </c>
      <c r="L148" s="40"/>
      <c r="M148" s="45">
        <f>SmtRes!DF38</f>
        <v>64.13</v>
      </c>
    </row>
    <row r="149" spans="1:83" ht="14.25" x14ac:dyDescent="0.2">
      <c r="A149" s="40"/>
      <c r="B149" s="40"/>
      <c r="C149" s="40" t="s">
        <v>326</v>
      </c>
      <c r="D149" s="40" t="s">
        <v>346</v>
      </c>
      <c r="E149" s="41" t="s">
        <v>49</v>
      </c>
      <c r="F149" s="44">
        <v>111.1</v>
      </c>
      <c r="G149" s="39"/>
      <c r="H149" s="44">
        <f>SmtRes!CX39</f>
        <v>4.444</v>
      </c>
      <c r="I149" s="45">
        <f>SmtRes!CZ39</f>
        <v>11.35</v>
      </c>
      <c r="J149" s="43"/>
      <c r="K149" s="45"/>
      <c r="L149" s="40"/>
      <c r="M149" s="45">
        <f>SmtRes!DF39</f>
        <v>50.44</v>
      </c>
    </row>
    <row r="150" spans="1:83" ht="14.25" x14ac:dyDescent="0.2">
      <c r="A150" s="40"/>
      <c r="B150" s="40"/>
      <c r="C150" s="40" t="str">
        <f>EtalonRes!I37</f>
        <v>01.8.01.06</v>
      </c>
      <c r="D150" s="55" t="str">
        <f>EtalonRes!K37</f>
        <v>Сетки стеклянные</v>
      </c>
      <c r="E150" s="48" t="str">
        <f>EtalonRes!O37</f>
        <v>м2</v>
      </c>
      <c r="F150" s="49">
        <f>EtalonRes!X37</f>
        <v>111.1</v>
      </c>
      <c r="G150" s="47"/>
      <c r="H150" s="49">
        <f>ROUND(EtalonRes!AG37*Source!I36, 7)</f>
        <v>4.444</v>
      </c>
      <c r="I150" s="56"/>
      <c r="J150" s="57"/>
      <c r="K150" s="56"/>
      <c r="L150" s="55"/>
      <c r="M150" s="56"/>
    </row>
    <row r="151" spans="1:83" ht="15" x14ac:dyDescent="0.2">
      <c r="A151" s="40"/>
      <c r="B151" s="40"/>
      <c r="C151" s="40"/>
      <c r="D151" s="53" t="s">
        <v>472</v>
      </c>
      <c r="E151" s="41"/>
      <c r="F151" s="44"/>
      <c r="G151" s="39"/>
      <c r="H151" s="44"/>
      <c r="I151" s="45"/>
      <c r="J151" s="43"/>
      <c r="K151" s="45"/>
      <c r="L151" s="40"/>
      <c r="M151" s="45">
        <f>M140+M142+M143+M146</f>
        <v>405.15</v>
      </c>
    </row>
    <row r="152" spans="1:83" ht="14.25" x14ac:dyDescent="0.2">
      <c r="A152" s="40"/>
      <c r="B152" s="40"/>
      <c r="C152" s="40"/>
      <c r="D152" s="40" t="s">
        <v>473</v>
      </c>
      <c r="E152" s="41"/>
      <c r="F152" s="44"/>
      <c r="G152" s="39"/>
      <c r="H152" s="44"/>
      <c r="I152" s="45"/>
      <c r="J152" s="43"/>
      <c r="K152" s="45"/>
      <c r="L152" s="40"/>
      <c r="M152" s="45">
        <f>SUM(AR139:AR155)+SUM(AS139:AS155)+SUM(AT139:AT155)+SUM(AU139:AU155)+SUM(AV139:AV155)</f>
        <v>211.22</v>
      </c>
    </row>
    <row r="153" spans="1:83" ht="14.25" x14ac:dyDescent="0.2">
      <c r="A153" s="40"/>
      <c r="B153" s="40"/>
      <c r="C153" s="40" t="s">
        <v>69</v>
      </c>
      <c r="D153" s="40" t="s">
        <v>500</v>
      </c>
      <c r="E153" s="41" t="s">
        <v>384</v>
      </c>
      <c r="F153" s="44">
        <f>Source!BZ36</f>
        <v>89</v>
      </c>
      <c r="G153" s="39"/>
      <c r="H153" s="44">
        <f>Source!AT36</f>
        <v>89</v>
      </c>
      <c r="I153" s="45"/>
      <c r="J153" s="43"/>
      <c r="K153" s="45"/>
      <c r="L153" s="40"/>
      <c r="M153" s="45">
        <f>SUM(AZ139:AZ155)</f>
        <v>187.99</v>
      </c>
    </row>
    <row r="154" spans="1:83" ht="14.25" x14ac:dyDescent="0.2">
      <c r="A154" s="55"/>
      <c r="B154" s="55"/>
      <c r="C154" s="55" t="s">
        <v>70</v>
      </c>
      <c r="D154" s="55" t="s">
        <v>501</v>
      </c>
      <c r="E154" s="48" t="s">
        <v>384</v>
      </c>
      <c r="F154" s="49">
        <f>Source!CA36</f>
        <v>44</v>
      </c>
      <c r="G154" s="47"/>
      <c r="H154" s="49">
        <f>Source!AU36</f>
        <v>44</v>
      </c>
      <c r="I154" s="56"/>
      <c r="J154" s="57"/>
      <c r="K154" s="56"/>
      <c r="L154" s="55"/>
      <c r="M154" s="56">
        <f>SUM(BA139:BA155)</f>
        <v>92.94</v>
      </c>
    </row>
    <row r="155" spans="1:83" ht="15" x14ac:dyDescent="0.2">
      <c r="D155" s="163" t="s">
        <v>476</v>
      </c>
      <c r="E155" s="163"/>
      <c r="F155" s="163"/>
      <c r="G155" s="163"/>
      <c r="H155" s="163"/>
      <c r="I155" s="163"/>
      <c r="J155" s="164">
        <f>L155/F139</f>
        <v>17152</v>
      </c>
      <c r="K155" s="164"/>
      <c r="L155" s="164">
        <f>M140+M142+M146+M153+M154+M143</f>
        <v>686.08</v>
      </c>
      <c r="M155" s="164"/>
      <c r="AD155">
        <f>ROUND((Source!AT36/100)*((ROUND(SUMIF(SmtRes!AQ34:'SmtRes'!AQ39,"=1",SmtRes!AD34:'SmtRes'!AD39)*Source!I36, 2)+ROUND(SUMIF(SmtRes!AQ34:'SmtRes'!AQ39,"=1",SmtRes!AC34:'SmtRes'!AC39)*Source!I36, 2))), 2)</f>
        <v>18.38</v>
      </c>
      <c r="AE155">
        <f>ROUND((Source!AU36/100)*((ROUND(SUMIF(SmtRes!AQ34:'SmtRes'!AQ39,"=1",SmtRes!AD34:'SmtRes'!AD39)*Source!I36, 2)+ROUND(SUMIF(SmtRes!AQ34:'SmtRes'!AQ39,"=1",SmtRes!AC34:'SmtRes'!AC39)*Source!I36, 2))), 2)</f>
        <v>9.09</v>
      </c>
      <c r="AN155" s="52">
        <f>M140+M142+M146+M153+M154+M143</f>
        <v>686.08</v>
      </c>
      <c r="AO155" s="52">
        <f>M142</f>
        <v>1.3</v>
      </c>
      <c r="AQ155" t="s">
        <v>477</v>
      </c>
      <c r="AR155" s="52">
        <f>M140</f>
        <v>210.58</v>
      </c>
      <c r="AT155" s="52">
        <f>M143</f>
        <v>0.64</v>
      </c>
      <c r="AV155" t="s">
        <v>477</v>
      </c>
      <c r="AW155" s="52">
        <f>M146</f>
        <v>192.63</v>
      </c>
      <c r="AZ155">
        <f>Source!X36</f>
        <v>187.99</v>
      </c>
      <c r="BA155">
        <f>Source!Y36</f>
        <v>92.94</v>
      </c>
      <c r="CD155">
        <v>1</v>
      </c>
    </row>
    <row r="156" spans="1:83" ht="133.5" x14ac:dyDescent="0.2">
      <c r="A156" s="38" t="s">
        <v>71</v>
      </c>
      <c r="B156" s="40">
        <v>8</v>
      </c>
      <c r="C156" s="40" t="s">
        <v>502</v>
      </c>
      <c r="D156" s="40" t="s">
        <v>503</v>
      </c>
      <c r="E156" s="41" t="str">
        <f>Source!H37</f>
        <v>100 м2</v>
      </c>
      <c r="F156" s="44">
        <f>Source!K37</f>
        <v>0.04</v>
      </c>
      <c r="G156" s="39"/>
      <c r="H156" s="44">
        <f>Source!I37</f>
        <v>0.04</v>
      </c>
      <c r="I156" s="45"/>
      <c r="J156" s="43"/>
      <c r="K156" s="45"/>
      <c r="L156" s="40"/>
      <c r="M156" s="45"/>
    </row>
    <row r="157" spans="1:83" ht="15" x14ac:dyDescent="0.2">
      <c r="A157" s="39"/>
      <c r="B157" s="39"/>
      <c r="C157" s="42">
        <v>1</v>
      </c>
      <c r="D157" s="39" t="s">
        <v>470</v>
      </c>
      <c r="E157" s="41" t="s">
        <v>278</v>
      </c>
      <c r="F157" s="44"/>
      <c r="G157" s="42"/>
      <c r="H157" s="44">
        <f>Source!U37</f>
        <v>2.8989199999999999</v>
      </c>
      <c r="I157" s="42"/>
      <c r="J157" s="42"/>
      <c r="K157" s="42"/>
      <c r="L157" s="42"/>
      <c r="M157" s="46">
        <f>SUM(M158:M158)-SUMIF(CE158:CE158, 1, M158:M158)</f>
        <v>704.93</v>
      </c>
    </row>
    <row r="158" spans="1:83" ht="28.5" x14ac:dyDescent="0.2">
      <c r="A158" s="40"/>
      <c r="B158" s="40"/>
      <c r="C158" s="40" t="s">
        <v>347</v>
      </c>
      <c r="D158" s="40" t="s">
        <v>348</v>
      </c>
      <c r="E158" s="41" t="s">
        <v>278</v>
      </c>
      <c r="F158" s="44">
        <v>63.02</v>
      </c>
      <c r="G158" s="39">
        <f>ROUND(1.15,7)</f>
        <v>1.1499999999999999</v>
      </c>
      <c r="H158" s="44">
        <f>SmtRes!CX40</f>
        <v>2.8989199999999999</v>
      </c>
      <c r="I158" s="45"/>
      <c r="J158" s="43"/>
      <c r="K158" s="45">
        <f>SmtRes!CZ40</f>
        <v>243.17</v>
      </c>
      <c r="L158" s="40"/>
      <c r="M158" s="45">
        <f>SmtRes!DI40</f>
        <v>704.93</v>
      </c>
    </row>
    <row r="159" spans="1:83" ht="15" x14ac:dyDescent="0.2">
      <c r="A159" s="39"/>
      <c r="B159" s="39"/>
      <c r="C159" s="42">
        <v>2</v>
      </c>
      <c r="D159" s="39" t="s">
        <v>480</v>
      </c>
      <c r="E159" s="41"/>
      <c r="F159" s="44"/>
      <c r="G159" s="42"/>
      <c r="H159" s="44"/>
      <c r="I159" s="42"/>
      <c r="J159" s="42"/>
      <c r="K159" s="42"/>
      <c r="L159" s="42"/>
      <c r="M159" s="46">
        <f>SUM(M160:M164)-SUMIF(CE160:CE164, 1, M160:M164)</f>
        <v>6</v>
      </c>
    </row>
    <row r="160" spans="1:83" ht="15" x14ac:dyDescent="0.2">
      <c r="A160" s="39"/>
      <c r="B160" s="39"/>
      <c r="C160" s="42"/>
      <c r="D160" s="39" t="s">
        <v>483</v>
      </c>
      <c r="E160" s="41" t="s">
        <v>278</v>
      </c>
      <c r="F160" s="44"/>
      <c r="G160" s="42"/>
      <c r="H160" s="44">
        <f>Source!V37</f>
        <v>1.2500000000000001E-2</v>
      </c>
      <c r="I160" s="42"/>
      <c r="J160" s="42"/>
      <c r="K160" s="42"/>
      <c r="L160" s="42"/>
      <c r="M160" s="46">
        <f>SUMIF(CE161:CE164, 1, M161:M164)</f>
        <v>3.3</v>
      </c>
      <c r="CE160">
        <v>1</v>
      </c>
    </row>
    <row r="161" spans="1:83" ht="42.75" x14ac:dyDescent="0.2">
      <c r="A161" s="40"/>
      <c r="B161" s="40"/>
      <c r="C161" s="40" t="s">
        <v>349</v>
      </c>
      <c r="D161" s="40" t="s">
        <v>351</v>
      </c>
      <c r="E161" s="41" t="s">
        <v>289</v>
      </c>
      <c r="F161" s="44">
        <v>0.03</v>
      </c>
      <c r="G161" s="39">
        <f>ROUND(1.25,7)</f>
        <v>1.25</v>
      </c>
      <c r="H161" s="44">
        <f>SmtRes!CX42</f>
        <v>1.5E-3</v>
      </c>
      <c r="I161" s="45">
        <f>SmtRes!CZ42</f>
        <v>30.61</v>
      </c>
      <c r="J161" s="43">
        <f>SmtRes!AJ42</f>
        <v>1.31</v>
      </c>
      <c r="K161" s="45">
        <f>ROUND(I161*J161, 2)</f>
        <v>40.1</v>
      </c>
      <c r="L161" s="40"/>
      <c r="M161" s="45">
        <f>SmtRes!DG42</f>
        <v>0.06</v>
      </c>
    </row>
    <row r="162" spans="1:83" ht="28.5" x14ac:dyDescent="0.2">
      <c r="A162" s="40"/>
      <c r="B162" s="40"/>
      <c r="C162" s="40" t="s">
        <v>290</v>
      </c>
      <c r="D162" s="40" t="s">
        <v>481</v>
      </c>
      <c r="E162" s="41" t="s">
        <v>278</v>
      </c>
      <c r="F162" s="44">
        <f>SmtRes!DO42*SmtRes!AT42</f>
        <v>0.03</v>
      </c>
      <c r="G162" s="39">
        <f>ROUND(1.25,7)</f>
        <v>1.25</v>
      </c>
      <c r="H162" s="44">
        <f>SmtRes!DO42*SmtRes!CX42</f>
        <v>1.5E-3</v>
      </c>
      <c r="I162" s="45"/>
      <c r="J162" s="43"/>
      <c r="K162" s="45">
        <f>ROUND(SmtRes!AG42/SmtRes!DO42, 2)</f>
        <v>237.19</v>
      </c>
      <c r="L162" s="40"/>
      <c r="M162" s="45">
        <f>SmtRes!DH42</f>
        <v>0.36</v>
      </c>
      <c r="CE162">
        <v>1</v>
      </c>
    </row>
    <row r="163" spans="1:83" ht="28.5" x14ac:dyDescent="0.2">
      <c r="A163" s="40"/>
      <c r="B163" s="40"/>
      <c r="C163" s="40" t="s">
        <v>291</v>
      </c>
      <c r="D163" s="40" t="s">
        <v>293</v>
      </c>
      <c r="E163" s="41" t="s">
        <v>289</v>
      </c>
      <c r="F163" s="44">
        <v>0.22</v>
      </c>
      <c r="G163" s="39">
        <f>ROUND(1.25,7)</f>
        <v>1.25</v>
      </c>
      <c r="H163" s="44">
        <f>SmtRes!CX43</f>
        <v>1.0999999999999999E-2</v>
      </c>
      <c r="I163" s="45">
        <f>SmtRes!CZ43</f>
        <v>477.92</v>
      </c>
      <c r="J163" s="43">
        <f>SmtRes!AJ43</f>
        <v>1.1299999999999999</v>
      </c>
      <c r="K163" s="45">
        <f>ROUND(I163*J163, 2)</f>
        <v>540.04999999999995</v>
      </c>
      <c r="L163" s="40"/>
      <c r="M163" s="45">
        <f>SmtRes!DG43</f>
        <v>5.94</v>
      </c>
    </row>
    <row r="164" spans="1:83" ht="28.5" x14ac:dyDescent="0.2">
      <c r="A164" s="40"/>
      <c r="B164" s="40"/>
      <c r="C164" s="40" t="s">
        <v>294</v>
      </c>
      <c r="D164" s="40" t="s">
        <v>482</v>
      </c>
      <c r="E164" s="41" t="s">
        <v>278</v>
      </c>
      <c r="F164" s="44">
        <f>SmtRes!DO43*SmtRes!AT43</f>
        <v>0.22</v>
      </c>
      <c r="G164" s="39">
        <f>ROUND(1.25,7)</f>
        <v>1.25</v>
      </c>
      <c r="H164" s="44">
        <f>SmtRes!DO43*SmtRes!CX43</f>
        <v>1.0999999999999999E-2</v>
      </c>
      <c r="I164" s="45"/>
      <c r="J164" s="43"/>
      <c r="K164" s="45">
        <f>ROUND(SmtRes!AG43/SmtRes!DO43, 2)</f>
        <v>267.08999999999997</v>
      </c>
      <c r="L164" s="40"/>
      <c r="M164" s="45">
        <f>SmtRes!DH43</f>
        <v>2.94</v>
      </c>
      <c r="CE164">
        <v>1</v>
      </c>
    </row>
    <row r="165" spans="1:83" ht="15" x14ac:dyDescent="0.2">
      <c r="A165" s="39"/>
      <c r="B165" s="39"/>
      <c r="C165" s="42">
        <v>4</v>
      </c>
      <c r="D165" s="39" t="s">
        <v>471</v>
      </c>
      <c r="E165" s="41"/>
      <c r="F165" s="44"/>
      <c r="G165" s="42"/>
      <c r="H165" s="44"/>
      <c r="I165" s="42"/>
      <c r="J165" s="42"/>
      <c r="K165" s="42"/>
      <c r="L165" s="42"/>
      <c r="M165" s="46">
        <f>SUM(M166:M170)-SUMIF(CE166:CE170, 1, M166:M170)</f>
        <v>868.54</v>
      </c>
    </row>
    <row r="166" spans="1:83" ht="28.5" x14ac:dyDescent="0.2">
      <c r="A166" s="40"/>
      <c r="B166" s="40"/>
      <c r="C166" s="40" t="s">
        <v>352</v>
      </c>
      <c r="D166" s="40" t="s">
        <v>354</v>
      </c>
      <c r="E166" s="41" t="s">
        <v>49</v>
      </c>
      <c r="F166" s="44">
        <v>0.88</v>
      </c>
      <c r="G166" s="39"/>
      <c r="H166" s="44">
        <f>SmtRes!CX44</f>
        <v>3.5200000000000002E-2</v>
      </c>
      <c r="I166" s="45">
        <f>SmtRes!CZ44</f>
        <v>531.44000000000005</v>
      </c>
      <c r="J166" s="43">
        <f>SmtRes!AI44</f>
        <v>1.02</v>
      </c>
      <c r="K166" s="45">
        <f>ROUND(I166*J166, 2)</f>
        <v>542.07000000000005</v>
      </c>
      <c r="L166" s="40"/>
      <c r="M166" s="45">
        <f>SmtRes!DF44</f>
        <v>19.079999999999998</v>
      </c>
    </row>
    <row r="167" spans="1:83" ht="14.25" x14ac:dyDescent="0.2">
      <c r="A167" s="40"/>
      <c r="B167" s="40"/>
      <c r="C167" s="40" t="s">
        <v>333</v>
      </c>
      <c r="D167" s="40" t="s">
        <v>335</v>
      </c>
      <c r="E167" s="41" t="s">
        <v>336</v>
      </c>
      <c r="F167" s="44">
        <v>0.36</v>
      </c>
      <c r="G167" s="39"/>
      <c r="H167" s="44">
        <f>SmtRes!CX45</f>
        <v>1.44E-2</v>
      </c>
      <c r="I167" s="45">
        <f>SmtRes!CZ45</f>
        <v>56.81</v>
      </c>
      <c r="J167" s="43">
        <f>SmtRes!AI45</f>
        <v>1.87</v>
      </c>
      <c r="K167" s="45">
        <f>ROUND(I167*J167, 2)</f>
        <v>106.23</v>
      </c>
      <c r="L167" s="40"/>
      <c r="M167" s="45">
        <f>SmtRes!DF45</f>
        <v>1.53</v>
      </c>
    </row>
    <row r="168" spans="1:83" ht="14.25" x14ac:dyDescent="0.2">
      <c r="A168" s="40"/>
      <c r="B168" s="40"/>
      <c r="C168" s="40" t="s">
        <v>326</v>
      </c>
      <c r="D168" s="40" t="s">
        <v>355</v>
      </c>
      <c r="E168" s="41" t="s">
        <v>281</v>
      </c>
      <c r="F168" s="44">
        <v>3.3000000000000002E-2</v>
      </c>
      <c r="G168" s="39"/>
      <c r="H168" s="44">
        <f>SmtRes!CX46</f>
        <v>1.32E-3</v>
      </c>
      <c r="I168" s="45">
        <f>SmtRes!CZ46</f>
        <v>306015</v>
      </c>
      <c r="J168" s="43"/>
      <c r="K168" s="45"/>
      <c r="L168" s="40"/>
      <c r="M168" s="45">
        <f>SmtRes!DF46</f>
        <v>403.94</v>
      </c>
    </row>
    <row r="169" spans="1:83" ht="14.25" x14ac:dyDescent="0.2">
      <c r="A169" s="40"/>
      <c r="B169" s="40"/>
      <c r="C169" s="40" t="s">
        <v>326</v>
      </c>
      <c r="D169" s="40" t="s">
        <v>337</v>
      </c>
      <c r="E169" s="41" t="s">
        <v>281</v>
      </c>
      <c r="F169" s="44">
        <v>2.1999999999999999E-2</v>
      </c>
      <c r="G169" s="39"/>
      <c r="H169" s="44">
        <f>SmtRes!CX47</f>
        <v>8.8000000000000003E-4</v>
      </c>
      <c r="I169" s="45">
        <f>SmtRes!CZ47</f>
        <v>117000</v>
      </c>
      <c r="J169" s="43"/>
      <c r="K169" s="45"/>
      <c r="L169" s="40"/>
      <c r="M169" s="45">
        <f>SmtRes!DF47</f>
        <v>102.96</v>
      </c>
    </row>
    <row r="170" spans="1:83" ht="14.25" x14ac:dyDescent="0.2">
      <c r="A170" s="40"/>
      <c r="B170" s="40"/>
      <c r="C170" s="40" t="s">
        <v>326</v>
      </c>
      <c r="D170" s="40" t="s">
        <v>356</v>
      </c>
      <c r="E170" s="41" t="s">
        <v>281</v>
      </c>
      <c r="F170" s="44">
        <v>9.1999999999999998E-2</v>
      </c>
      <c r="G170" s="39"/>
      <c r="H170" s="44">
        <f>SmtRes!CX48</f>
        <v>3.6800000000000001E-3</v>
      </c>
      <c r="I170" s="45">
        <f>SmtRes!CZ48</f>
        <v>92670</v>
      </c>
      <c r="J170" s="43"/>
      <c r="K170" s="45"/>
      <c r="L170" s="40"/>
      <c r="M170" s="45">
        <f>SmtRes!DF48</f>
        <v>341.03</v>
      </c>
    </row>
    <row r="171" spans="1:83" ht="14.25" x14ac:dyDescent="0.2">
      <c r="A171" s="40"/>
      <c r="B171" s="40"/>
      <c r="C171" s="40" t="str">
        <f>EtalonRes!I46</f>
        <v>14.3.02.01</v>
      </c>
      <c r="D171" s="40" t="str">
        <f>EtalonRes!K46</f>
        <v>Краска акриловая</v>
      </c>
      <c r="E171" s="41" t="str">
        <f>EtalonRes!O46</f>
        <v>т</v>
      </c>
      <c r="F171" s="44">
        <f>EtalonRes!X46</f>
        <v>3.3000000000000002E-2</v>
      </c>
      <c r="G171" s="39"/>
      <c r="H171" s="44">
        <f>ROUND(EtalonRes!AG46*Source!I37, 7)</f>
        <v>1.32E-3</v>
      </c>
      <c r="I171" s="45"/>
      <c r="J171" s="43"/>
      <c r="K171" s="45"/>
      <c r="L171" s="40"/>
      <c r="M171" s="45"/>
    </row>
    <row r="172" spans="1:83" ht="14.25" x14ac:dyDescent="0.2">
      <c r="A172" s="40"/>
      <c r="B172" s="40"/>
      <c r="C172" s="40" t="str">
        <f>EtalonRes!I47</f>
        <v>14.4.01.02</v>
      </c>
      <c r="D172" s="55" t="str">
        <f>EtalonRes!K47</f>
        <v>Грунтовка</v>
      </c>
      <c r="E172" s="48" t="str">
        <f>EtalonRes!O47</f>
        <v>т</v>
      </c>
      <c r="F172" s="49">
        <f>EtalonRes!X47</f>
        <v>2.1999999999999999E-2</v>
      </c>
      <c r="G172" s="47"/>
      <c r="H172" s="49">
        <f>ROUND(EtalonRes!AG47*Source!I37, 7)</f>
        <v>8.8000000000000003E-4</v>
      </c>
      <c r="I172" s="56"/>
      <c r="J172" s="57"/>
      <c r="K172" s="56"/>
      <c r="L172" s="55"/>
      <c r="M172" s="56"/>
    </row>
    <row r="173" spans="1:83" ht="15" x14ac:dyDescent="0.2">
      <c r="A173" s="40"/>
      <c r="B173" s="40"/>
      <c r="C173" s="40"/>
      <c r="D173" s="53" t="s">
        <v>472</v>
      </c>
      <c r="E173" s="41"/>
      <c r="F173" s="44"/>
      <c r="G173" s="39"/>
      <c r="H173" s="44"/>
      <c r="I173" s="45"/>
      <c r="J173" s="43"/>
      <c r="K173" s="45"/>
      <c r="L173" s="40"/>
      <c r="M173" s="45">
        <f>M157+M159+M160+M165</f>
        <v>1582.77</v>
      </c>
    </row>
    <row r="174" spans="1:83" ht="14.25" x14ac:dyDescent="0.2">
      <c r="A174" s="40"/>
      <c r="B174" s="40"/>
      <c r="C174" s="40"/>
      <c r="D174" s="40" t="s">
        <v>473</v>
      </c>
      <c r="E174" s="41"/>
      <c r="F174" s="44"/>
      <c r="G174" s="39"/>
      <c r="H174" s="44"/>
      <c r="I174" s="45"/>
      <c r="J174" s="43"/>
      <c r="K174" s="45"/>
      <c r="L174" s="40"/>
      <c r="M174" s="45">
        <f>SUM(AR156:AR177)+SUM(AS156:AS177)+SUM(AT156:AT177)+SUM(AU156:AU177)+SUM(AV156:AV177)</f>
        <v>708.2299999999999</v>
      </c>
    </row>
    <row r="175" spans="1:83" ht="28.5" x14ac:dyDescent="0.2">
      <c r="A175" s="40"/>
      <c r="B175" s="40"/>
      <c r="C175" s="40" t="s">
        <v>495</v>
      </c>
      <c r="D175" s="40" t="s">
        <v>496</v>
      </c>
      <c r="E175" s="41" t="s">
        <v>384</v>
      </c>
      <c r="F175" s="44">
        <f>Source!BZ37</f>
        <v>100</v>
      </c>
      <c r="G175" s="39">
        <f>ROUND(0.9,7)</f>
        <v>0.9</v>
      </c>
      <c r="H175" s="44">
        <f>Source!AT37</f>
        <v>90</v>
      </c>
      <c r="I175" s="45"/>
      <c r="J175" s="43"/>
      <c r="K175" s="45"/>
      <c r="L175" s="40"/>
      <c r="M175" s="45">
        <f>SUM(AZ156:AZ177)</f>
        <v>637.41</v>
      </c>
    </row>
    <row r="176" spans="1:83" ht="28.5" x14ac:dyDescent="0.2">
      <c r="A176" s="55"/>
      <c r="B176" s="55"/>
      <c r="C176" s="55" t="s">
        <v>497</v>
      </c>
      <c r="D176" s="55" t="s">
        <v>498</v>
      </c>
      <c r="E176" s="48" t="s">
        <v>384</v>
      </c>
      <c r="F176" s="49">
        <f>Source!CA37</f>
        <v>49</v>
      </c>
      <c r="G176" s="47">
        <f>ROUND(0.85,7)</f>
        <v>0.85</v>
      </c>
      <c r="H176" s="49">
        <f>Source!AU37</f>
        <v>41.65</v>
      </c>
      <c r="I176" s="56"/>
      <c r="J176" s="57"/>
      <c r="K176" s="56"/>
      <c r="L176" s="55"/>
      <c r="M176" s="56">
        <f>SUM(BA156:BA177)</f>
        <v>294.98</v>
      </c>
    </row>
    <row r="177" spans="1:83" ht="15" x14ac:dyDescent="0.2">
      <c r="D177" s="163" t="s">
        <v>476</v>
      </c>
      <c r="E177" s="163"/>
      <c r="F177" s="163"/>
      <c r="G177" s="163"/>
      <c r="H177" s="163"/>
      <c r="I177" s="163"/>
      <c r="J177" s="164">
        <f>L177/F156</f>
        <v>62878.999999999993</v>
      </c>
      <c r="K177" s="164"/>
      <c r="L177" s="164">
        <f>M157+M159+M165+M175+M176+M160</f>
        <v>2515.16</v>
      </c>
      <c r="M177" s="164"/>
      <c r="AD177">
        <f>ROUND((Source!AT37/100)*((ROUND(SUMIF(SmtRes!AQ40:'SmtRes'!AQ48,"=1",SmtRes!AD40:'SmtRes'!AD48)*Source!I37, 2)+ROUND(SUMIF(SmtRes!AQ40:'SmtRes'!AQ48,"=1",SmtRes!AC40:'SmtRes'!AC48)*Source!I37, 2))), 2)</f>
        <v>26.91</v>
      </c>
      <c r="AE177">
        <f>ROUND((Source!AU37/100)*((ROUND(SUMIF(SmtRes!AQ40:'SmtRes'!AQ48,"=1",SmtRes!AD40:'SmtRes'!AD48)*Source!I37, 2)+ROUND(SUMIF(SmtRes!AQ40:'SmtRes'!AQ48,"=1",SmtRes!AC40:'SmtRes'!AC48)*Source!I37, 2))), 2)</f>
        <v>12.45</v>
      </c>
      <c r="AN177" s="52">
        <f>M157+M159+M165+M175+M176+M160</f>
        <v>2515.16</v>
      </c>
      <c r="AO177" s="52">
        <f>M159</f>
        <v>6</v>
      </c>
      <c r="AQ177" t="s">
        <v>477</v>
      </c>
      <c r="AR177" s="52">
        <f>M157</f>
        <v>704.93</v>
      </c>
      <c r="AT177" s="52">
        <f>M160</f>
        <v>3.3</v>
      </c>
      <c r="AV177" t="s">
        <v>477</v>
      </c>
      <c r="AW177" s="52">
        <f>M165</f>
        <v>868.54</v>
      </c>
      <c r="AZ177">
        <f>Source!X37</f>
        <v>637.41</v>
      </c>
      <c r="BA177">
        <f>Source!Y37</f>
        <v>294.98</v>
      </c>
      <c r="CD177">
        <v>1</v>
      </c>
    </row>
    <row r="178" spans="1:83" ht="119.25" x14ac:dyDescent="0.2">
      <c r="A178" s="38" t="s">
        <v>75</v>
      </c>
      <c r="B178" s="40">
        <v>10</v>
      </c>
      <c r="C178" s="40" t="s">
        <v>504</v>
      </c>
      <c r="D178" s="40" t="s">
        <v>505</v>
      </c>
      <c r="E178" s="41" t="str">
        <f>Source!H38</f>
        <v>100 м2</v>
      </c>
      <c r="F178" s="44">
        <f>Source!K38</f>
        <v>0.65</v>
      </c>
      <c r="G178" s="39"/>
      <c r="H178" s="44">
        <f>Source!I38</f>
        <v>0.65</v>
      </c>
      <c r="I178" s="45"/>
      <c r="J178" s="43"/>
      <c r="K178" s="45"/>
      <c r="L178" s="40"/>
      <c r="M178" s="45"/>
    </row>
    <row r="179" spans="1:83" ht="15" x14ac:dyDescent="0.2">
      <c r="A179" s="39"/>
      <c r="B179" s="39"/>
      <c r="C179" s="42">
        <v>1</v>
      </c>
      <c r="D179" s="39" t="s">
        <v>470</v>
      </c>
      <c r="E179" s="41" t="s">
        <v>278</v>
      </c>
      <c r="F179" s="44"/>
      <c r="G179" s="42"/>
      <c r="H179" s="44">
        <f>Source!U38</f>
        <v>4.2458</v>
      </c>
      <c r="I179" s="42"/>
      <c r="J179" s="42"/>
      <c r="K179" s="42"/>
      <c r="L179" s="42"/>
      <c r="M179" s="46">
        <f>SUM(M180:M180)-SUMIF(CE180:CE180, 1, M180:M180)</f>
        <v>1134.01</v>
      </c>
    </row>
    <row r="180" spans="1:83" ht="28.5" x14ac:dyDescent="0.2">
      <c r="A180" s="40"/>
      <c r="B180" s="40"/>
      <c r="C180" s="40" t="s">
        <v>331</v>
      </c>
      <c r="D180" s="40" t="s">
        <v>332</v>
      </c>
      <c r="E180" s="41" t="s">
        <v>278</v>
      </c>
      <c r="F180" s="44">
        <v>5.68</v>
      </c>
      <c r="G180" s="39">
        <f>ROUND(1.15,7)</f>
        <v>1.1499999999999999</v>
      </c>
      <c r="H180" s="44">
        <f>SmtRes!CX49</f>
        <v>4.2458</v>
      </c>
      <c r="I180" s="45"/>
      <c r="J180" s="43"/>
      <c r="K180" s="45">
        <f>SmtRes!CZ49</f>
        <v>267.08999999999997</v>
      </c>
      <c r="L180" s="40"/>
      <c r="M180" s="45">
        <f>SmtRes!DI49</f>
        <v>1134.01</v>
      </c>
    </row>
    <row r="181" spans="1:83" ht="15" x14ac:dyDescent="0.2">
      <c r="A181" s="39"/>
      <c r="B181" s="39"/>
      <c r="C181" s="42">
        <v>2</v>
      </c>
      <c r="D181" s="39" t="s">
        <v>480</v>
      </c>
      <c r="E181" s="41"/>
      <c r="F181" s="44"/>
      <c r="G181" s="42"/>
      <c r="H181" s="44"/>
      <c r="I181" s="42"/>
      <c r="J181" s="42"/>
      <c r="K181" s="42"/>
      <c r="L181" s="42"/>
      <c r="M181" s="46">
        <f>SUM(M182:M186)-SUMIF(CE182:CE186, 1, M182:M186)</f>
        <v>4.7900000000000009</v>
      </c>
    </row>
    <row r="182" spans="1:83" ht="15" x14ac:dyDescent="0.2">
      <c r="A182" s="39"/>
      <c r="B182" s="39"/>
      <c r="C182" s="42"/>
      <c r="D182" s="39" t="s">
        <v>483</v>
      </c>
      <c r="E182" s="41" t="s">
        <v>278</v>
      </c>
      <c r="F182" s="44"/>
      <c r="G182" s="42"/>
      <c r="H182" s="44">
        <f>Source!V38</f>
        <v>1.6250000000000001E-2</v>
      </c>
      <c r="I182" s="42"/>
      <c r="J182" s="42"/>
      <c r="K182" s="42"/>
      <c r="L182" s="42"/>
      <c r="M182" s="46">
        <f>SUMIF(CE183:CE186, 1, M183:M186)</f>
        <v>4.0999999999999996</v>
      </c>
      <c r="CE182">
        <v>1</v>
      </c>
    </row>
    <row r="183" spans="1:83" ht="42.75" x14ac:dyDescent="0.2">
      <c r="A183" s="40"/>
      <c r="B183" s="40"/>
      <c r="C183" s="40" t="s">
        <v>286</v>
      </c>
      <c r="D183" s="40" t="s">
        <v>288</v>
      </c>
      <c r="E183" s="41" t="s">
        <v>289</v>
      </c>
      <c r="F183" s="44">
        <v>0.01</v>
      </c>
      <c r="G183" s="39">
        <f>ROUND(1.25,7)</f>
        <v>1.25</v>
      </c>
      <c r="H183" s="44">
        <f>SmtRes!CX51</f>
        <v>8.1250000000000003E-3</v>
      </c>
      <c r="I183" s="45">
        <f>SmtRes!CZ51</f>
        <v>37.32</v>
      </c>
      <c r="J183" s="43">
        <f>SmtRes!AJ51</f>
        <v>1.31</v>
      </c>
      <c r="K183" s="45">
        <f>ROUND(I183*J183, 2)</f>
        <v>48.89</v>
      </c>
      <c r="L183" s="40"/>
      <c r="M183" s="45">
        <f>SmtRes!DG51</f>
        <v>0.4</v>
      </c>
    </row>
    <row r="184" spans="1:83" ht="28.5" x14ac:dyDescent="0.2">
      <c r="A184" s="40"/>
      <c r="B184" s="40"/>
      <c r="C184" s="40" t="s">
        <v>290</v>
      </c>
      <c r="D184" s="40" t="s">
        <v>481</v>
      </c>
      <c r="E184" s="41" t="s">
        <v>278</v>
      </c>
      <c r="F184" s="44">
        <f>SmtRes!DO51*SmtRes!AT51</f>
        <v>0.01</v>
      </c>
      <c r="G184" s="39">
        <f>ROUND(1.25,7)</f>
        <v>1.25</v>
      </c>
      <c r="H184" s="44">
        <f>SmtRes!DO51*SmtRes!CX51</f>
        <v>8.1250000000000003E-3</v>
      </c>
      <c r="I184" s="45"/>
      <c r="J184" s="43"/>
      <c r="K184" s="45">
        <f>ROUND(SmtRes!AG51/SmtRes!DO51, 2)</f>
        <v>237.19</v>
      </c>
      <c r="L184" s="40"/>
      <c r="M184" s="45">
        <f>SmtRes!DH51</f>
        <v>1.93</v>
      </c>
      <c r="CE184">
        <v>1</v>
      </c>
    </row>
    <row r="185" spans="1:83" ht="28.5" x14ac:dyDescent="0.2">
      <c r="A185" s="40"/>
      <c r="B185" s="40"/>
      <c r="C185" s="40" t="s">
        <v>291</v>
      </c>
      <c r="D185" s="40" t="s">
        <v>293</v>
      </c>
      <c r="E185" s="41" t="s">
        <v>289</v>
      </c>
      <c r="F185" s="44">
        <v>0.01</v>
      </c>
      <c r="G185" s="39">
        <f>ROUND(1.25,7)</f>
        <v>1.25</v>
      </c>
      <c r="H185" s="44">
        <f>SmtRes!CX52</f>
        <v>8.1250000000000003E-3</v>
      </c>
      <c r="I185" s="45">
        <f>SmtRes!CZ52</f>
        <v>477.92</v>
      </c>
      <c r="J185" s="43">
        <f>SmtRes!AJ52</f>
        <v>1.1299999999999999</v>
      </c>
      <c r="K185" s="45">
        <f>ROUND(I185*J185, 2)</f>
        <v>540.04999999999995</v>
      </c>
      <c r="L185" s="40"/>
      <c r="M185" s="45">
        <f>SmtRes!DG52</f>
        <v>4.3899999999999997</v>
      </c>
    </row>
    <row r="186" spans="1:83" ht="28.5" x14ac:dyDescent="0.2">
      <c r="A186" s="40"/>
      <c r="B186" s="40"/>
      <c r="C186" s="40" t="s">
        <v>294</v>
      </c>
      <c r="D186" s="40" t="s">
        <v>482</v>
      </c>
      <c r="E186" s="41" t="s">
        <v>278</v>
      </c>
      <c r="F186" s="44">
        <f>SmtRes!DO52*SmtRes!AT52</f>
        <v>0.01</v>
      </c>
      <c r="G186" s="39">
        <f>ROUND(1.25,7)</f>
        <v>1.25</v>
      </c>
      <c r="H186" s="44">
        <f>SmtRes!DO52*SmtRes!CX52</f>
        <v>8.1250000000000003E-3</v>
      </c>
      <c r="I186" s="45"/>
      <c r="J186" s="43"/>
      <c r="K186" s="45">
        <f>ROUND(SmtRes!AG52/SmtRes!DO52, 2)</f>
        <v>267.08999999999997</v>
      </c>
      <c r="L186" s="40"/>
      <c r="M186" s="45">
        <f>SmtRes!DH52</f>
        <v>2.17</v>
      </c>
      <c r="CE186">
        <v>1</v>
      </c>
    </row>
    <row r="187" spans="1:83" ht="15" x14ac:dyDescent="0.2">
      <c r="A187" s="39"/>
      <c r="B187" s="39"/>
      <c r="C187" s="42">
        <v>4</v>
      </c>
      <c r="D187" s="39" t="s">
        <v>471</v>
      </c>
      <c r="E187" s="41"/>
      <c r="F187" s="44"/>
      <c r="G187" s="42"/>
      <c r="H187" s="44"/>
      <c r="I187" s="42"/>
      <c r="J187" s="42"/>
      <c r="K187" s="42"/>
      <c r="L187" s="42"/>
      <c r="M187" s="46">
        <f>SUM(M188:M189)-SUMIF(CE188:CE189, 1, M188:M189)</f>
        <v>790.22</v>
      </c>
    </row>
    <row r="188" spans="1:83" ht="14.25" x14ac:dyDescent="0.2">
      <c r="A188" s="40"/>
      <c r="B188" s="40"/>
      <c r="C188" s="40" t="s">
        <v>333</v>
      </c>
      <c r="D188" s="40" t="s">
        <v>335</v>
      </c>
      <c r="E188" s="41" t="s">
        <v>336</v>
      </c>
      <c r="F188" s="44">
        <v>0.1</v>
      </c>
      <c r="G188" s="39"/>
      <c r="H188" s="44">
        <f>SmtRes!CX53</f>
        <v>6.5000000000000002E-2</v>
      </c>
      <c r="I188" s="45">
        <f>SmtRes!CZ53</f>
        <v>56.81</v>
      </c>
      <c r="J188" s="43">
        <f>SmtRes!AI53</f>
        <v>1.87</v>
      </c>
      <c r="K188" s="45">
        <f>ROUND(I188*J188, 2)</f>
        <v>106.23</v>
      </c>
      <c r="L188" s="40"/>
      <c r="M188" s="45">
        <f>SmtRes!DF53</f>
        <v>6.9</v>
      </c>
    </row>
    <row r="189" spans="1:83" ht="14.25" x14ac:dyDescent="0.2">
      <c r="A189" s="40"/>
      <c r="B189" s="40"/>
      <c r="C189" s="40" t="s">
        <v>326</v>
      </c>
      <c r="D189" s="40" t="s">
        <v>337</v>
      </c>
      <c r="E189" s="41" t="s">
        <v>281</v>
      </c>
      <c r="F189" s="44">
        <v>1.03E-2</v>
      </c>
      <c r="G189" s="39"/>
      <c r="H189" s="44">
        <f>SmtRes!CX54</f>
        <v>6.6950000000000004E-3</v>
      </c>
      <c r="I189" s="45">
        <f>SmtRes!CZ54</f>
        <v>117000</v>
      </c>
      <c r="J189" s="43"/>
      <c r="K189" s="45"/>
      <c r="L189" s="40"/>
      <c r="M189" s="45">
        <f>SmtRes!DF54</f>
        <v>783.32</v>
      </c>
    </row>
    <row r="190" spans="1:83" ht="14.25" x14ac:dyDescent="0.2">
      <c r="A190" s="40"/>
      <c r="B190" s="40"/>
      <c r="C190" s="40" t="str">
        <f>EtalonRes!I54</f>
        <v>14.3.01.03</v>
      </c>
      <c r="D190" s="55" t="str">
        <f>EtalonRes!K54</f>
        <v>Грунтовка</v>
      </c>
      <c r="E190" s="48" t="str">
        <f>EtalonRes!O54</f>
        <v>т</v>
      </c>
      <c r="F190" s="49">
        <f>EtalonRes!X54</f>
        <v>1.03E-2</v>
      </c>
      <c r="G190" s="47"/>
      <c r="H190" s="49">
        <f>ROUND(EtalonRes!AG54*Source!I38, 7)</f>
        <v>6.6950000000000004E-3</v>
      </c>
      <c r="I190" s="56"/>
      <c r="J190" s="57"/>
      <c r="K190" s="56"/>
      <c r="L190" s="55"/>
      <c r="M190" s="56"/>
    </row>
    <row r="191" spans="1:83" ht="15" x14ac:dyDescent="0.2">
      <c r="A191" s="40"/>
      <c r="B191" s="40"/>
      <c r="C191" s="40"/>
      <c r="D191" s="53" t="s">
        <v>472</v>
      </c>
      <c r="E191" s="41"/>
      <c r="F191" s="44"/>
      <c r="G191" s="39"/>
      <c r="H191" s="44"/>
      <c r="I191" s="45"/>
      <c r="J191" s="43"/>
      <c r="K191" s="45"/>
      <c r="L191" s="40"/>
      <c r="M191" s="45">
        <f>M179+M181+M182+M187</f>
        <v>1933.12</v>
      </c>
    </row>
    <row r="192" spans="1:83" ht="14.25" x14ac:dyDescent="0.2">
      <c r="A192" s="40"/>
      <c r="B192" s="40"/>
      <c r="C192" s="40"/>
      <c r="D192" s="40" t="s">
        <v>473</v>
      </c>
      <c r="E192" s="41"/>
      <c r="F192" s="44"/>
      <c r="G192" s="39"/>
      <c r="H192" s="44"/>
      <c r="I192" s="45"/>
      <c r="J192" s="43"/>
      <c r="K192" s="45"/>
      <c r="L192" s="40"/>
      <c r="M192" s="45">
        <f>SUM(AR178:AR195)+SUM(AS178:AS195)+SUM(AT178:AT195)+SUM(AU178:AU195)+SUM(AV178:AV195)</f>
        <v>1138.1099999999999</v>
      </c>
    </row>
    <row r="193" spans="1:83" ht="28.5" x14ac:dyDescent="0.2">
      <c r="A193" s="40"/>
      <c r="B193" s="40"/>
      <c r="C193" s="40" t="s">
        <v>495</v>
      </c>
      <c r="D193" s="40" t="s">
        <v>496</v>
      </c>
      <c r="E193" s="41" t="s">
        <v>384</v>
      </c>
      <c r="F193" s="44">
        <f>Source!BZ38</f>
        <v>100</v>
      </c>
      <c r="G193" s="39">
        <f>ROUND(0.9,7)</f>
        <v>0.9</v>
      </c>
      <c r="H193" s="44">
        <f>Source!AT38</f>
        <v>90</v>
      </c>
      <c r="I193" s="45"/>
      <c r="J193" s="43"/>
      <c r="K193" s="45"/>
      <c r="L193" s="40"/>
      <c r="M193" s="45">
        <f>SUM(AZ178:AZ195)</f>
        <v>1024.3</v>
      </c>
    </row>
    <row r="194" spans="1:83" ht="28.5" x14ac:dyDescent="0.2">
      <c r="A194" s="55"/>
      <c r="B194" s="55"/>
      <c r="C194" s="55" t="s">
        <v>497</v>
      </c>
      <c r="D194" s="55" t="s">
        <v>498</v>
      </c>
      <c r="E194" s="48" t="s">
        <v>384</v>
      </c>
      <c r="F194" s="49">
        <f>Source!CA38</f>
        <v>49</v>
      </c>
      <c r="G194" s="47">
        <f>ROUND(0.85,7)</f>
        <v>0.85</v>
      </c>
      <c r="H194" s="49">
        <f>Source!AU38</f>
        <v>41.65</v>
      </c>
      <c r="I194" s="56"/>
      <c r="J194" s="57"/>
      <c r="K194" s="56"/>
      <c r="L194" s="55"/>
      <c r="M194" s="56">
        <f>SUM(BA178:BA195)</f>
        <v>474.02</v>
      </c>
    </row>
    <row r="195" spans="1:83" ht="15" x14ac:dyDescent="0.2">
      <c r="D195" s="163" t="s">
        <v>476</v>
      </c>
      <c r="E195" s="163"/>
      <c r="F195" s="163"/>
      <c r="G195" s="163"/>
      <c r="H195" s="163"/>
      <c r="I195" s="163"/>
      <c r="J195" s="164">
        <f>L195/F178</f>
        <v>5279.1384615384604</v>
      </c>
      <c r="K195" s="164"/>
      <c r="L195" s="164">
        <f>M179+M181+M187+M193+M194+M182</f>
        <v>3431.4399999999996</v>
      </c>
      <c r="M195" s="164"/>
      <c r="AD195">
        <f>ROUND((Source!AT38/100)*((ROUND(SUMIF(SmtRes!AQ49:'SmtRes'!AQ54,"=1",SmtRes!AD49:'SmtRes'!AD54)*Source!I38, 2)+ROUND(SUMIF(SmtRes!AQ49:'SmtRes'!AQ54,"=1",SmtRes!AC49:'SmtRes'!AC54)*Source!I38, 2))), 2)</f>
        <v>451.25</v>
      </c>
      <c r="AE195">
        <f>ROUND((Source!AU38/100)*((ROUND(SUMIF(SmtRes!AQ49:'SmtRes'!AQ54,"=1",SmtRes!AD49:'SmtRes'!AD54)*Source!I38, 2)+ROUND(SUMIF(SmtRes!AQ49:'SmtRes'!AQ54,"=1",SmtRes!AC49:'SmtRes'!AC54)*Source!I38, 2))), 2)</f>
        <v>208.83</v>
      </c>
      <c r="AN195" s="52">
        <f>M179+M181+M187+M193+M194+M182</f>
        <v>3431.4399999999996</v>
      </c>
      <c r="AO195" s="52">
        <f>M181</f>
        <v>4.7900000000000009</v>
      </c>
      <c r="AQ195" t="s">
        <v>477</v>
      </c>
      <c r="AR195" s="52">
        <f>M179</f>
        <v>1134.01</v>
      </c>
      <c r="AT195" s="52">
        <f>M182</f>
        <v>4.0999999999999996</v>
      </c>
      <c r="AV195" t="s">
        <v>477</v>
      </c>
      <c r="AW195" s="52">
        <f>M187</f>
        <v>790.22</v>
      </c>
      <c r="AZ195">
        <f>Source!X38</f>
        <v>1024.3</v>
      </c>
      <c r="BA195">
        <f>Source!Y38</f>
        <v>474.02</v>
      </c>
      <c r="CD195">
        <v>1</v>
      </c>
    </row>
    <row r="196" spans="1:83" ht="133.5" x14ac:dyDescent="0.2">
      <c r="A196" s="38" t="s">
        <v>79</v>
      </c>
      <c r="B196" s="40">
        <v>11</v>
      </c>
      <c r="C196" s="40" t="s">
        <v>506</v>
      </c>
      <c r="D196" s="40" t="s">
        <v>507</v>
      </c>
      <c r="E196" s="41" t="str">
        <f>Source!H39</f>
        <v>100 м2</v>
      </c>
      <c r="F196" s="44">
        <f>Source!K39</f>
        <v>0.81030000000000002</v>
      </c>
      <c r="G196" s="39"/>
      <c r="H196" s="44">
        <f>Source!I39</f>
        <v>0.81030000000000002</v>
      </c>
      <c r="I196" s="45"/>
      <c r="J196" s="43"/>
      <c r="K196" s="45"/>
      <c r="L196" s="40"/>
      <c r="M196" s="45"/>
    </row>
    <row r="197" spans="1:83" ht="15" x14ac:dyDescent="0.2">
      <c r="A197" s="39"/>
      <c r="B197" s="39"/>
      <c r="C197" s="42">
        <v>1</v>
      </c>
      <c r="D197" s="39" t="s">
        <v>470</v>
      </c>
      <c r="E197" s="41" t="s">
        <v>278</v>
      </c>
      <c r="F197" s="44"/>
      <c r="G197" s="42"/>
      <c r="H197" s="44">
        <f>Source!U39</f>
        <v>10.1571105</v>
      </c>
      <c r="I197" s="42"/>
      <c r="J197" s="42"/>
      <c r="K197" s="42"/>
      <c r="L197" s="42"/>
      <c r="M197" s="46">
        <f>SUM(M198:M198)-SUMIF(CE198:CE198, 1, M198:M198)</f>
        <v>2682.49</v>
      </c>
    </row>
    <row r="198" spans="1:83" ht="28.5" x14ac:dyDescent="0.2">
      <c r="A198" s="40"/>
      <c r="B198" s="40"/>
      <c r="C198" s="40" t="s">
        <v>357</v>
      </c>
      <c r="D198" s="40" t="s">
        <v>358</v>
      </c>
      <c r="E198" s="41" t="s">
        <v>278</v>
      </c>
      <c r="F198" s="44">
        <v>10.9</v>
      </c>
      <c r="G198" s="39">
        <f>ROUND(1.15,7)</f>
        <v>1.1499999999999999</v>
      </c>
      <c r="H198" s="44">
        <f>SmtRes!CX55</f>
        <v>10.1571105</v>
      </c>
      <c r="I198" s="45"/>
      <c r="J198" s="43"/>
      <c r="K198" s="45">
        <f>SmtRes!CZ55</f>
        <v>264.10000000000002</v>
      </c>
      <c r="L198" s="40"/>
      <c r="M198" s="45">
        <f>SmtRes!DI55</f>
        <v>2682.49</v>
      </c>
    </row>
    <row r="199" spans="1:83" ht="15" x14ac:dyDescent="0.2">
      <c r="A199" s="39"/>
      <c r="B199" s="39"/>
      <c r="C199" s="42">
        <v>2</v>
      </c>
      <c r="D199" s="39" t="s">
        <v>480</v>
      </c>
      <c r="E199" s="41"/>
      <c r="F199" s="44"/>
      <c r="G199" s="42"/>
      <c r="H199" s="44"/>
      <c r="I199" s="42"/>
      <c r="J199" s="42"/>
      <c r="K199" s="42"/>
      <c r="L199" s="42"/>
      <c r="M199" s="46">
        <f>SUM(M200:M204)-SUMIF(CE200:CE204, 1, M200:M204)</f>
        <v>16.909999999999997</v>
      </c>
    </row>
    <row r="200" spans="1:83" ht="15" x14ac:dyDescent="0.2">
      <c r="A200" s="39"/>
      <c r="B200" s="39"/>
      <c r="C200" s="42"/>
      <c r="D200" s="39" t="s">
        <v>483</v>
      </c>
      <c r="E200" s="41" t="s">
        <v>278</v>
      </c>
      <c r="F200" s="44"/>
      <c r="G200" s="42"/>
      <c r="H200" s="44">
        <f>Source!V39</f>
        <v>4.0515000000000002E-2</v>
      </c>
      <c r="I200" s="42"/>
      <c r="J200" s="42"/>
      <c r="K200" s="42"/>
      <c r="L200" s="42"/>
      <c r="M200" s="46">
        <f>SUMIF(CE201:CE204, 1, M201:M204)</f>
        <v>10.52</v>
      </c>
      <c r="CE200">
        <v>1</v>
      </c>
    </row>
    <row r="201" spans="1:83" ht="42.75" x14ac:dyDescent="0.2">
      <c r="A201" s="40"/>
      <c r="B201" s="40"/>
      <c r="C201" s="40" t="s">
        <v>286</v>
      </c>
      <c r="D201" s="40" t="s">
        <v>288</v>
      </c>
      <c r="E201" s="41" t="s">
        <v>289</v>
      </c>
      <c r="F201" s="44">
        <v>0.01</v>
      </c>
      <c r="G201" s="39">
        <f>ROUND(1.25,7)</f>
        <v>1.25</v>
      </c>
      <c r="H201" s="44">
        <f>SmtRes!CX57</f>
        <v>1.01288E-2</v>
      </c>
      <c r="I201" s="45">
        <f>SmtRes!CZ57</f>
        <v>37.32</v>
      </c>
      <c r="J201" s="43">
        <f>SmtRes!AJ57</f>
        <v>1.31</v>
      </c>
      <c r="K201" s="45">
        <f>ROUND(I201*J201, 2)</f>
        <v>48.89</v>
      </c>
      <c r="L201" s="40"/>
      <c r="M201" s="45">
        <f>SmtRes!DG57</f>
        <v>0.5</v>
      </c>
    </row>
    <row r="202" spans="1:83" ht="28.5" x14ac:dyDescent="0.2">
      <c r="A202" s="40"/>
      <c r="B202" s="40"/>
      <c r="C202" s="40" t="s">
        <v>290</v>
      </c>
      <c r="D202" s="40" t="s">
        <v>481</v>
      </c>
      <c r="E202" s="41" t="s">
        <v>278</v>
      </c>
      <c r="F202" s="44">
        <f>SmtRes!DO57*SmtRes!AT57</f>
        <v>0.01</v>
      </c>
      <c r="G202" s="39">
        <f>ROUND(1.25,7)</f>
        <v>1.25</v>
      </c>
      <c r="H202" s="44">
        <f>SmtRes!DO57*SmtRes!CX57</f>
        <v>1.01288E-2</v>
      </c>
      <c r="I202" s="45"/>
      <c r="J202" s="43"/>
      <c r="K202" s="45">
        <f>ROUND(SmtRes!AG57/SmtRes!DO57, 2)</f>
        <v>237.19</v>
      </c>
      <c r="L202" s="40"/>
      <c r="M202" s="45">
        <f>SmtRes!DH57</f>
        <v>2.4</v>
      </c>
      <c r="CE202">
        <v>1</v>
      </c>
    </row>
    <row r="203" spans="1:83" ht="28.5" x14ac:dyDescent="0.2">
      <c r="A203" s="40"/>
      <c r="B203" s="40"/>
      <c r="C203" s="40" t="s">
        <v>291</v>
      </c>
      <c r="D203" s="40" t="s">
        <v>293</v>
      </c>
      <c r="E203" s="41" t="s">
        <v>289</v>
      </c>
      <c r="F203" s="44">
        <v>0.03</v>
      </c>
      <c r="G203" s="39">
        <f>ROUND(1.25,7)</f>
        <v>1.25</v>
      </c>
      <c r="H203" s="44">
        <f>SmtRes!CX58</f>
        <v>3.0386300000000002E-2</v>
      </c>
      <c r="I203" s="45">
        <f>SmtRes!CZ58</f>
        <v>477.92</v>
      </c>
      <c r="J203" s="43">
        <f>SmtRes!AJ58</f>
        <v>1.1299999999999999</v>
      </c>
      <c r="K203" s="45">
        <f>ROUND(I203*J203, 2)</f>
        <v>540.04999999999995</v>
      </c>
      <c r="L203" s="40"/>
      <c r="M203" s="45">
        <f>SmtRes!DG58</f>
        <v>16.41</v>
      </c>
    </row>
    <row r="204" spans="1:83" ht="28.5" x14ac:dyDescent="0.2">
      <c r="A204" s="40"/>
      <c r="B204" s="40"/>
      <c r="C204" s="40" t="s">
        <v>294</v>
      </c>
      <c r="D204" s="40" t="s">
        <v>482</v>
      </c>
      <c r="E204" s="41" t="s">
        <v>278</v>
      </c>
      <c r="F204" s="44">
        <f>SmtRes!DO58*SmtRes!AT58</f>
        <v>0.03</v>
      </c>
      <c r="G204" s="39">
        <f>ROUND(1.25,7)</f>
        <v>1.25</v>
      </c>
      <c r="H204" s="44">
        <f>SmtRes!DO58*SmtRes!CX58</f>
        <v>3.0386300000000002E-2</v>
      </c>
      <c r="I204" s="45"/>
      <c r="J204" s="43"/>
      <c r="K204" s="45">
        <f>ROUND(SmtRes!AG58/SmtRes!DO58, 2)</f>
        <v>267.08999999999997</v>
      </c>
      <c r="L204" s="40"/>
      <c r="M204" s="45">
        <f>SmtRes!DH58</f>
        <v>8.1199999999999992</v>
      </c>
      <c r="CE204">
        <v>1</v>
      </c>
    </row>
    <row r="205" spans="1:83" ht="15" x14ac:dyDescent="0.2">
      <c r="A205" s="39"/>
      <c r="B205" s="39"/>
      <c r="C205" s="42">
        <v>4</v>
      </c>
      <c r="D205" s="39" t="s">
        <v>471</v>
      </c>
      <c r="E205" s="41"/>
      <c r="F205" s="44"/>
      <c r="G205" s="42"/>
      <c r="H205" s="44"/>
      <c r="I205" s="42"/>
      <c r="J205" s="42"/>
      <c r="K205" s="42"/>
      <c r="L205" s="42"/>
      <c r="M205" s="46">
        <f>SUM(M206:M208)-SUMIF(CE206:CE208, 1, M206:M208)</f>
        <v>4123.18</v>
      </c>
    </row>
    <row r="206" spans="1:83" ht="28.5" x14ac:dyDescent="0.2">
      <c r="A206" s="40"/>
      <c r="B206" s="40"/>
      <c r="C206" s="40" t="s">
        <v>352</v>
      </c>
      <c r="D206" s="40" t="s">
        <v>354</v>
      </c>
      <c r="E206" s="41" t="s">
        <v>49</v>
      </c>
      <c r="F206" s="44">
        <v>4.4000000000000004</v>
      </c>
      <c r="G206" s="39"/>
      <c r="H206" s="44">
        <f>SmtRes!CX59</f>
        <v>3.5653199999999998</v>
      </c>
      <c r="I206" s="45">
        <f>SmtRes!CZ59</f>
        <v>531.44000000000005</v>
      </c>
      <c r="J206" s="43">
        <f>SmtRes!AI59</f>
        <v>1.02</v>
      </c>
      <c r="K206" s="45">
        <f>ROUND(I206*J206, 2)</f>
        <v>542.07000000000005</v>
      </c>
      <c r="L206" s="40"/>
      <c r="M206" s="45">
        <f>SmtRes!DF59</f>
        <v>1932.65</v>
      </c>
    </row>
    <row r="207" spans="1:83" ht="14.25" x14ac:dyDescent="0.2">
      <c r="A207" s="40"/>
      <c r="B207" s="40"/>
      <c r="C207" s="40" t="s">
        <v>333</v>
      </c>
      <c r="D207" s="40" t="s">
        <v>335</v>
      </c>
      <c r="E207" s="41" t="s">
        <v>336</v>
      </c>
      <c r="F207" s="44">
        <v>0.15</v>
      </c>
      <c r="G207" s="39"/>
      <c r="H207" s="44">
        <f>SmtRes!CX60</f>
        <v>0.121545</v>
      </c>
      <c r="I207" s="45">
        <f>SmtRes!CZ60</f>
        <v>56.81</v>
      </c>
      <c r="J207" s="43">
        <f>SmtRes!AI60</f>
        <v>1.87</v>
      </c>
      <c r="K207" s="45">
        <f>ROUND(I207*J207, 2)</f>
        <v>106.23</v>
      </c>
      <c r="L207" s="40"/>
      <c r="M207" s="45">
        <f>SmtRes!DF60</f>
        <v>12.91</v>
      </c>
    </row>
    <row r="208" spans="1:83" ht="14.25" x14ac:dyDescent="0.2">
      <c r="A208" s="40"/>
      <c r="B208" s="40"/>
      <c r="C208" s="40" t="s">
        <v>326</v>
      </c>
      <c r="D208" s="55" t="s">
        <v>359</v>
      </c>
      <c r="E208" s="48" t="s">
        <v>281</v>
      </c>
      <c r="F208" s="49">
        <v>2.9000000000000001E-2</v>
      </c>
      <c r="G208" s="47"/>
      <c r="H208" s="49">
        <f>SmtRes!CX61</f>
        <v>2.3498700000000001E-2</v>
      </c>
      <c r="I208" s="56">
        <f>SmtRes!CZ61</f>
        <v>92670</v>
      </c>
      <c r="J208" s="57"/>
      <c r="K208" s="56"/>
      <c r="L208" s="55"/>
      <c r="M208" s="56">
        <f>SmtRes!DF61</f>
        <v>2177.62</v>
      </c>
    </row>
    <row r="209" spans="1:83" ht="15" x14ac:dyDescent="0.2">
      <c r="A209" s="40"/>
      <c r="B209" s="40"/>
      <c r="C209" s="40"/>
      <c r="D209" s="53" t="s">
        <v>472</v>
      </c>
      <c r="E209" s="41"/>
      <c r="F209" s="44"/>
      <c r="G209" s="39"/>
      <c r="H209" s="44"/>
      <c r="I209" s="45"/>
      <c r="J209" s="43"/>
      <c r="K209" s="45"/>
      <c r="L209" s="40"/>
      <c r="M209" s="45">
        <f>M197+M199+M200+M205</f>
        <v>6833.1</v>
      </c>
    </row>
    <row r="210" spans="1:83" ht="14.25" x14ac:dyDescent="0.2">
      <c r="A210" s="40"/>
      <c r="B210" s="40"/>
      <c r="C210" s="40"/>
      <c r="D210" s="40" t="s">
        <v>473</v>
      </c>
      <c r="E210" s="41"/>
      <c r="F210" s="44"/>
      <c r="G210" s="39"/>
      <c r="H210" s="44"/>
      <c r="I210" s="45"/>
      <c r="J210" s="43"/>
      <c r="K210" s="45"/>
      <c r="L210" s="40"/>
      <c r="M210" s="45">
        <f>SUM(AR196:AR213)+SUM(AS196:AS213)+SUM(AT196:AT213)+SUM(AU196:AU213)+SUM(AV196:AV213)</f>
        <v>2693.0099999999998</v>
      </c>
    </row>
    <row r="211" spans="1:83" ht="28.5" x14ac:dyDescent="0.2">
      <c r="A211" s="40"/>
      <c r="B211" s="40"/>
      <c r="C211" s="40" t="s">
        <v>495</v>
      </c>
      <c r="D211" s="40" t="s">
        <v>496</v>
      </c>
      <c r="E211" s="41" t="s">
        <v>384</v>
      </c>
      <c r="F211" s="44">
        <f>Source!BZ39</f>
        <v>100</v>
      </c>
      <c r="G211" s="39">
        <f>ROUND(0.9,7)</f>
        <v>0.9</v>
      </c>
      <c r="H211" s="44">
        <f>Source!AT39</f>
        <v>90</v>
      </c>
      <c r="I211" s="45"/>
      <c r="J211" s="43"/>
      <c r="K211" s="45"/>
      <c r="L211" s="40"/>
      <c r="M211" s="45">
        <f>SUM(AZ196:AZ213)</f>
        <v>2423.71</v>
      </c>
    </row>
    <row r="212" spans="1:83" ht="28.5" x14ac:dyDescent="0.2">
      <c r="A212" s="55"/>
      <c r="B212" s="55"/>
      <c r="C212" s="55" t="s">
        <v>497</v>
      </c>
      <c r="D212" s="55" t="s">
        <v>498</v>
      </c>
      <c r="E212" s="48" t="s">
        <v>384</v>
      </c>
      <c r="F212" s="49">
        <f>Source!CA39</f>
        <v>49</v>
      </c>
      <c r="G212" s="47">
        <f>ROUND(0.85,7)</f>
        <v>0.85</v>
      </c>
      <c r="H212" s="49">
        <f>Source!AU39</f>
        <v>41.65</v>
      </c>
      <c r="I212" s="56"/>
      <c r="J212" s="57"/>
      <c r="K212" s="56"/>
      <c r="L212" s="55"/>
      <c r="M212" s="56">
        <f>SUM(BA196:BA213)</f>
        <v>1121.6400000000001</v>
      </c>
    </row>
    <row r="213" spans="1:83" ht="15" x14ac:dyDescent="0.2">
      <c r="D213" s="163" t="s">
        <v>476</v>
      </c>
      <c r="E213" s="163"/>
      <c r="F213" s="163"/>
      <c r="G213" s="163"/>
      <c r="H213" s="163"/>
      <c r="I213" s="163"/>
      <c r="J213" s="164">
        <f>L213/F196</f>
        <v>12808.157472541036</v>
      </c>
      <c r="K213" s="164"/>
      <c r="L213" s="164">
        <f>M197+M199+M205+M211+M212+M200</f>
        <v>10378.450000000001</v>
      </c>
      <c r="M213" s="164"/>
      <c r="AD213">
        <f>ROUND((Source!AT39/100)*((ROUND(SUMIF(SmtRes!AQ55:'SmtRes'!AQ61,"=1",SmtRes!AD55:'SmtRes'!AD61)*Source!I39, 2)+ROUND(SUMIF(SmtRes!AQ55:'SmtRes'!AQ61,"=1",SmtRes!AC55:'SmtRes'!AC61)*Source!I39, 2))), 2)</f>
        <v>560.36</v>
      </c>
      <c r="AE213">
        <f>ROUND((Source!AU39/100)*((ROUND(SUMIF(SmtRes!AQ55:'SmtRes'!AQ61,"=1",SmtRes!AD55:'SmtRes'!AD61)*Source!I39, 2)+ROUND(SUMIF(SmtRes!AQ55:'SmtRes'!AQ61,"=1",SmtRes!AC55:'SmtRes'!AC61)*Source!I39, 2))), 2)</f>
        <v>259.32</v>
      </c>
      <c r="AN213" s="52">
        <f>M197+M199+M205+M211+M212+M200</f>
        <v>10378.450000000001</v>
      </c>
      <c r="AO213" s="52">
        <f>M199</f>
        <v>16.909999999999997</v>
      </c>
      <c r="AQ213" t="s">
        <v>477</v>
      </c>
      <c r="AR213" s="52">
        <f>M197</f>
        <v>2682.49</v>
      </c>
      <c r="AT213" s="52">
        <f>M200</f>
        <v>10.52</v>
      </c>
      <c r="AV213" t="s">
        <v>477</v>
      </c>
      <c r="AW213" s="52">
        <f>M205</f>
        <v>4123.18</v>
      </c>
      <c r="AZ213">
        <f>Source!X39</f>
        <v>2423.71</v>
      </c>
      <c r="BA213">
        <f>Source!Y39</f>
        <v>1121.6400000000001</v>
      </c>
      <c r="CD213">
        <v>1</v>
      </c>
    </row>
    <row r="214" spans="1:83" ht="133.5" x14ac:dyDescent="0.2">
      <c r="A214" s="38" t="s">
        <v>83</v>
      </c>
      <c r="B214" s="40">
        <v>12</v>
      </c>
      <c r="C214" s="40" t="s">
        <v>508</v>
      </c>
      <c r="D214" s="40" t="s">
        <v>509</v>
      </c>
      <c r="E214" s="41" t="str">
        <f>Source!H40</f>
        <v>100 м2</v>
      </c>
      <c r="F214" s="44">
        <f>Source!K40</f>
        <v>0.65</v>
      </c>
      <c r="G214" s="39"/>
      <c r="H214" s="44">
        <f>Source!I40</f>
        <v>0.65</v>
      </c>
      <c r="I214" s="45"/>
      <c r="J214" s="43"/>
      <c r="K214" s="45"/>
      <c r="L214" s="40"/>
      <c r="M214" s="45"/>
    </row>
    <row r="215" spans="1:83" ht="15" x14ac:dyDescent="0.2">
      <c r="A215" s="39"/>
      <c r="B215" s="39"/>
      <c r="C215" s="42">
        <v>1</v>
      </c>
      <c r="D215" s="39" t="s">
        <v>470</v>
      </c>
      <c r="E215" s="41" t="s">
        <v>278</v>
      </c>
      <c r="F215" s="44"/>
      <c r="G215" s="42"/>
      <c r="H215" s="44">
        <f>Source!U40</f>
        <v>11.2125</v>
      </c>
      <c r="I215" s="42"/>
      <c r="J215" s="42"/>
      <c r="K215" s="42"/>
      <c r="L215" s="42"/>
      <c r="M215" s="46">
        <f>SUM(M216:M216)-SUMIF(CE216:CE216, 1, M216:M216)</f>
        <v>2961.22</v>
      </c>
    </row>
    <row r="216" spans="1:83" ht="28.5" x14ac:dyDescent="0.2">
      <c r="A216" s="40"/>
      <c r="B216" s="40"/>
      <c r="C216" s="40" t="s">
        <v>357</v>
      </c>
      <c r="D216" s="40" t="s">
        <v>358</v>
      </c>
      <c r="E216" s="41" t="s">
        <v>278</v>
      </c>
      <c r="F216" s="44">
        <v>15</v>
      </c>
      <c r="G216" s="39">
        <f>ROUND(1.15,7)</f>
        <v>1.1499999999999999</v>
      </c>
      <c r="H216" s="44">
        <f>SmtRes!CX62</f>
        <v>11.2125</v>
      </c>
      <c r="I216" s="45"/>
      <c r="J216" s="43"/>
      <c r="K216" s="45">
        <f>SmtRes!CZ62</f>
        <v>264.10000000000002</v>
      </c>
      <c r="L216" s="40"/>
      <c r="M216" s="45">
        <f>SmtRes!DI62</f>
        <v>2961.22</v>
      </c>
    </row>
    <row r="217" spans="1:83" ht="15" x14ac:dyDescent="0.2">
      <c r="A217" s="39"/>
      <c r="B217" s="39"/>
      <c r="C217" s="42">
        <v>2</v>
      </c>
      <c r="D217" s="39" t="s">
        <v>480</v>
      </c>
      <c r="E217" s="41"/>
      <c r="F217" s="44"/>
      <c r="G217" s="42"/>
      <c r="H217" s="44"/>
      <c r="I217" s="42"/>
      <c r="J217" s="42"/>
      <c r="K217" s="42"/>
      <c r="L217" s="42"/>
      <c r="M217" s="46">
        <f>SUM(M218:M222)-SUMIF(CE218:CE222, 1, M218:M222)</f>
        <v>17.950000000000003</v>
      </c>
    </row>
    <row r="218" spans="1:83" ht="15" x14ac:dyDescent="0.2">
      <c r="A218" s="39"/>
      <c r="B218" s="39"/>
      <c r="C218" s="42"/>
      <c r="D218" s="39" t="s">
        <v>483</v>
      </c>
      <c r="E218" s="41" t="s">
        <v>278</v>
      </c>
      <c r="F218" s="44"/>
      <c r="G218" s="42"/>
      <c r="H218" s="44">
        <f>Source!V40</f>
        <v>4.0625000000000001E-2</v>
      </c>
      <c r="I218" s="42"/>
      <c r="J218" s="42"/>
      <c r="K218" s="42"/>
      <c r="L218" s="42"/>
      <c r="M218" s="46">
        <f>SUMIF(CE219:CE222, 1, M219:M222)</f>
        <v>10.61</v>
      </c>
      <c r="CE218">
        <v>1</v>
      </c>
    </row>
    <row r="219" spans="1:83" ht="42.75" x14ac:dyDescent="0.2">
      <c r="A219" s="40"/>
      <c r="B219" s="40"/>
      <c r="C219" s="40" t="s">
        <v>286</v>
      </c>
      <c r="D219" s="40" t="s">
        <v>288</v>
      </c>
      <c r="E219" s="41" t="s">
        <v>289</v>
      </c>
      <c r="F219" s="44">
        <v>0.01</v>
      </c>
      <c r="G219" s="39">
        <f>ROUND(1.25,7)</f>
        <v>1.25</v>
      </c>
      <c r="H219" s="44">
        <f>SmtRes!CX64</f>
        <v>8.1250000000000003E-3</v>
      </c>
      <c r="I219" s="45">
        <f>SmtRes!CZ64</f>
        <v>37.32</v>
      </c>
      <c r="J219" s="43">
        <f>SmtRes!AJ64</f>
        <v>1.31</v>
      </c>
      <c r="K219" s="45">
        <f>ROUND(I219*J219, 2)</f>
        <v>48.89</v>
      </c>
      <c r="L219" s="40"/>
      <c r="M219" s="45">
        <f>SmtRes!DG64</f>
        <v>0.4</v>
      </c>
    </row>
    <row r="220" spans="1:83" ht="28.5" x14ac:dyDescent="0.2">
      <c r="A220" s="40"/>
      <c r="B220" s="40"/>
      <c r="C220" s="40" t="s">
        <v>290</v>
      </c>
      <c r="D220" s="40" t="s">
        <v>481</v>
      </c>
      <c r="E220" s="41" t="s">
        <v>278</v>
      </c>
      <c r="F220" s="44">
        <f>SmtRes!DO64*SmtRes!AT64</f>
        <v>0.01</v>
      </c>
      <c r="G220" s="39">
        <f>ROUND(1.25,7)</f>
        <v>1.25</v>
      </c>
      <c r="H220" s="44">
        <f>SmtRes!DO64*SmtRes!CX64</f>
        <v>8.1250000000000003E-3</v>
      </c>
      <c r="I220" s="45"/>
      <c r="J220" s="43"/>
      <c r="K220" s="45">
        <f>ROUND(SmtRes!AG64/SmtRes!DO64, 2)</f>
        <v>237.19</v>
      </c>
      <c r="L220" s="40"/>
      <c r="M220" s="45">
        <f>SmtRes!DH64</f>
        <v>1.93</v>
      </c>
      <c r="CE220">
        <v>1</v>
      </c>
    </row>
    <row r="221" spans="1:83" ht="28.5" x14ac:dyDescent="0.2">
      <c r="A221" s="40"/>
      <c r="B221" s="40"/>
      <c r="C221" s="40" t="s">
        <v>291</v>
      </c>
      <c r="D221" s="40" t="s">
        <v>293</v>
      </c>
      <c r="E221" s="41" t="s">
        <v>289</v>
      </c>
      <c r="F221" s="44">
        <v>0.04</v>
      </c>
      <c r="G221" s="39">
        <f>ROUND(1.25,7)</f>
        <v>1.25</v>
      </c>
      <c r="H221" s="44">
        <f>SmtRes!CX65</f>
        <v>3.2500000000000001E-2</v>
      </c>
      <c r="I221" s="45">
        <f>SmtRes!CZ65</f>
        <v>477.92</v>
      </c>
      <c r="J221" s="43">
        <f>SmtRes!AJ65</f>
        <v>1.1299999999999999</v>
      </c>
      <c r="K221" s="45">
        <f>ROUND(I221*J221, 2)</f>
        <v>540.04999999999995</v>
      </c>
      <c r="L221" s="40"/>
      <c r="M221" s="45">
        <f>SmtRes!DG65</f>
        <v>17.55</v>
      </c>
    </row>
    <row r="222" spans="1:83" ht="28.5" x14ac:dyDescent="0.2">
      <c r="A222" s="40"/>
      <c r="B222" s="40"/>
      <c r="C222" s="40" t="s">
        <v>294</v>
      </c>
      <c r="D222" s="40" t="s">
        <v>482</v>
      </c>
      <c r="E222" s="41" t="s">
        <v>278</v>
      </c>
      <c r="F222" s="44">
        <f>SmtRes!DO65*SmtRes!AT65</f>
        <v>0.04</v>
      </c>
      <c r="G222" s="39">
        <f>ROUND(1.25,7)</f>
        <v>1.25</v>
      </c>
      <c r="H222" s="44">
        <f>SmtRes!DO65*SmtRes!CX65</f>
        <v>3.2500000000000001E-2</v>
      </c>
      <c r="I222" s="45"/>
      <c r="J222" s="43"/>
      <c r="K222" s="45">
        <f>ROUND(SmtRes!AG65/SmtRes!DO65, 2)</f>
        <v>267.08999999999997</v>
      </c>
      <c r="L222" s="40"/>
      <c r="M222" s="45">
        <f>SmtRes!DH65</f>
        <v>8.68</v>
      </c>
      <c r="CE222">
        <v>1</v>
      </c>
    </row>
    <row r="223" spans="1:83" ht="15" x14ac:dyDescent="0.2">
      <c r="A223" s="39"/>
      <c r="B223" s="39"/>
      <c r="C223" s="42">
        <v>4</v>
      </c>
      <c r="D223" s="39" t="s">
        <v>471</v>
      </c>
      <c r="E223" s="41"/>
      <c r="F223" s="44"/>
      <c r="G223" s="42"/>
      <c r="H223" s="44"/>
      <c r="I223" s="42"/>
      <c r="J223" s="42"/>
      <c r="K223" s="42"/>
      <c r="L223" s="42"/>
      <c r="M223" s="46">
        <f>SUM(M224:M226)-SUMIF(CE224:CE226, 1, M224:M226)</f>
        <v>3488.22</v>
      </c>
    </row>
    <row r="224" spans="1:83" ht="28.5" x14ac:dyDescent="0.2">
      <c r="A224" s="40"/>
      <c r="B224" s="40"/>
      <c r="C224" s="40" t="s">
        <v>352</v>
      </c>
      <c r="D224" s="40" t="s">
        <v>354</v>
      </c>
      <c r="E224" s="41" t="s">
        <v>49</v>
      </c>
      <c r="F224" s="44">
        <v>4.4000000000000004</v>
      </c>
      <c r="G224" s="39"/>
      <c r="H224" s="44">
        <f>SmtRes!CX66</f>
        <v>2.86</v>
      </c>
      <c r="I224" s="45">
        <f>SmtRes!CZ66</f>
        <v>531.44000000000005</v>
      </c>
      <c r="J224" s="43">
        <f>SmtRes!AI66</f>
        <v>1.02</v>
      </c>
      <c r="K224" s="45">
        <f>ROUND(I224*J224, 2)</f>
        <v>542.07000000000005</v>
      </c>
      <c r="L224" s="40"/>
      <c r="M224" s="45">
        <f>SmtRes!DF66</f>
        <v>1550.32</v>
      </c>
    </row>
    <row r="225" spans="1:83" ht="14.25" x14ac:dyDescent="0.2">
      <c r="A225" s="40"/>
      <c r="B225" s="40"/>
      <c r="C225" s="40" t="s">
        <v>333</v>
      </c>
      <c r="D225" s="40" t="s">
        <v>335</v>
      </c>
      <c r="E225" s="41" t="s">
        <v>336</v>
      </c>
      <c r="F225" s="44">
        <v>0.15</v>
      </c>
      <c r="G225" s="39"/>
      <c r="H225" s="44">
        <f>SmtRes!CX67</f>
        <v>9.7500000000000003E-2</v>
      </c>
      <c r="I225" s="45">
        <f>SmtRes!CZ67</f>
        <v>56.81</v>
      </c>
      <c r="J225" s="43">
        <f>SmtRes!AI67</f>
        <v>1.87</v>
      </c>
      <c r="K225" s="45">
        <f>ROUND(I225*J225, 2)</f>
        <v>106.23</v>
      </c>
      <c r="L225" s="40"/>
      <c r="M225" s="45">
        <f>SmtRes!DF67</f>
        <v>10.36</v>
      </c>
    </row>
    <row r="226" spans="1:83" ht="14.25" x14ac:dyDescent="0.2">
      <c r="A226" s="40"/>
      <c r="B226" s="40"/>
      <c r="C226" s="40" t="s">
        <v>326</v>
      </c>
      <c r="D226" s="55" t="s">
        <v>359</v>
      </c>
      <c r="E226" s="48" t="s">
        <v>281</v>
      </c>
      <c r="F226" s="49">
        <v>3.2000000000000001E-2</v>
      </c>
      <c r="G226" s="47"/>
      <c r="H226" s="49">
        <f>SmtRes!CX68</f>
        <v>2.0799999999999999E-2</v>
      </c>
      <c r="I226" s="56">
        <f>SmtRes!CZ68</f>
        <v>92670</v>
      </c>
      <c r="J226" s="57"/>
      <c r="K226" s="56"/>
      <c r="L226" s="55"/>
      <c r="M226" s="56">
        <f>SmtRes!DF68</f>
        <v>1927.54</v>
      </c>
    </row>
    <row r="227" spans="1:83" ht="15" x14ac:dyDescent="0.2">
      <c r="A227" s="40"/>
      <c r="B227" s="40"/>
      <c r="C227" s="40"/>
      <c r="D227" s="53" t="s">
        <v>472</v>
      </c>
      <c r="E227" s="41"/>
      <c r="F227" s="44"/>
      <c r="G227" s="39"/>
      <c r="H227" s="44"/>
      <c r="I227" s="45"/>
      <c r="J227" s="43"/>
      <c r="K227" s="45"/>
      <c r="L227" s="40"/>
      <c r="M227" s="45">
        <f>M215+M217+M218+M223</f>
        <v>6478</v>
      </c>
    </row>
    <row r="228" spans="1:83" ht="14.25" x14ac:dyDescent="0.2">
      <c r="A228" s="40"/>
      <c r="B228" s="40"/>
      <c r="C228" s="40"/>
      <c r="D228" s="40" t="s">
        <v>473</v>
      </c>
      <c r="E228" s="41"/>
      <c r="F228" s="44"/>
      <c r="G228" s="39"/>
      <c r="H228" s="44"/>
      <c r="I228" s="45"/>
      <c r="J228" s="43"/>
      <c r="K228" s="45"/>
      <c r="L228" s="40"/>
      <c r="M228" s="45">
        <f>SUM(AR214:AR231)+SUM(AS214:AS231)+SUM(AT214:AT231)+SUM(AU214:AU231)+SUM(AV214:AV231)</f>
        <v>2971.83</v>
      </c>
    </row>
    <row r="229" spans="1:83" ht="28.5" x14ac:dyDescent="0.2">
      <c r="A229" s="40"/>
      <c r="B229" s="40"/>
      <c r="C229" s="40" t="s">
        <v>495</v>
      </c>
      <c r="D229" s="40" t="s">
        <v>496</v>
      </c>
      <c r="E229" s="41" t="s">
        <v>384</v>
      </c>
      <c r="F229" s="44">
        <f>Source!BZ40</f>
        <v>100</v>
      </c>
      <c r="G229" s="39">
        <f>ROUND(0.9,7)</f>
        <v>0.9</v>
      </c>
      <c r="H229" s="44">
        <f>Source!AT40</f>
        <v>90</v>
      </c>
      <c r="I229" s="45"/>
      <c r="J229" s="43"/>
      <c r="K229" s="45"/>
      <c r="L229" s="40"/>
      <c r="M229" s="45">
        <f>SUM(AZ214:AZ231)</f>
        <v>2674.65</v>
      </c>
    </row>
    <row r="230" spans="1:83" ht="28.5" x14ac:dyDescent="0.2">
      <c r="A230" s="55"/>
      <c r="B230" s="55"/>
      <c r="C230" s="55" t="s">
        <v>497</v>
      </c>
      <c r="D230" s="55" t="s">
        <v>498</v>
      </c>
      <c r="E230" s="48" t="s">
        <v>384</v>
      </c>
      <c r="F230" s="49">
        <f>Source!CA40</f>
        <v>49</v>
      </c>
      <c r="G230" s="47">
        <f>ROUND(0.85,7)</f>
        <v>0.85</v>
      </c>
      <c r="H230" s="49">
        <f>Source!AU40</f>
        <v>41.65</v>
      </c>
      <c r="I230" s="56"/>
      <c r="J230" s="57"/>
      <c r="K230" s="56"/>
      <c r="L230" s="55"/>
      <c r="M230" s="56">
        <f>SUM(BA214:BA231)</f>
        <v>1237.77</v>
      </c>
    </row>
    <row r="231" spans="1:83" ht="15" x14ac:dyDescent="0.2">
      <c r="D231" s="163" t="s">
        <v>476</v>
      </c>
      <c r="E231" s="163"/>
      <c r="F231" s="163"/>
      <c r="G231" s="163"/>
      <c r="H231" s="163"/>
      <c r="I231" s="163"/>
      <c r="J231" s="164">
        <f>L231/F214</f>
        <v>15985.261538461538</v>
      </c>
      <c r="K231" s="164"/>
      <c r="L231" s="164">
        <f>M215+M217+M223+M229+M230+M218</f>
        <v>10390.42</v>
      </c>
      <c r="M231" s="164"/>
      <c r="AD231">
        <f>ROUND((Source!AT40/100)*((ROUND(SUMIF(SmtRes!AQ62:'SmtRes'!AQ68,"=1",SmtRes!AD62:'SmtRes'!AD68)*Source!I40, 2)+ROUND(SUMIF(SmtRes!AQ62:'SmtRes'!AQ68,"=1",SmtRes!AC62:'SmtRes'!AC68)*Source!I40, 2))), 2)</f>
        <v>449.51</v>
      </c>
      <c r="AE231">
        <f>ROUND((Source!AU40/100)*((ROUND(SUMIF(SmtRes!AQ62:'SmtRes'!AQ68,"=1",SmtRes!AD62:'SmtRes'!AD68)*Source!I40, 2)+ROUND(SUMIF(SmtRes!AQ62:'SmtRes'!AQ68,"=1",SmtRes!AC62:'SmtRes'!AC68)*Source!I40, 2))), 2)</f>
        <v>208.02</v>
      </c>
      <c r="AN231" s="52">
        <f>M215+M217+M223+M229+M230+M218</f>
        <v>10390.42</v>
      </c>
      <c r="AO231" s="52">
        <f>M217</f>
        <v>17.950000000000003</v>
      </c>
      <c r="AQ231" t="s">
        <v>477</v>
      </c>
      <c r="AR231" s="52">
        <f>M215</f>
        <v>2961.22</v>
      </c>
      <c r="AT231" s="52">
        <f>M218</f>
        <v>10.61</v>
      </c>
      <c r="AV231" t="s">
        <v>477</v>
      </c>
      <c r="AW231" s="52">
        <f>M223</f>
        <v>3488.22</v>
      </c>
      <c r="AZ231">
        <f>Source!X40</f>
        <v>2674.65</v>
      </c>
      <c r="BA231">
        <f>Source!Y40</f>
        <v>1237.77</v>
      </c>
      <c r="CD231">
        <v>1</v>
      </c>
    </row>
    <row r="232" spans="1:83" ht="119.25" x14ac:dyDescent="0.2">
      <c r="A232" s="38" t="s">
        <v>87</v>
      </c>
      <c r="B232" s="40">
        <v>13</v>
      </c>
      <c r="C232" s="40" t="s">
        <v>510</v>
      </c>
      <c r="D232" s="40" t="s">
        <v>511</v>
      </c>
      <c r="E232" s="41" t="str">
        <f>Source!H41</f>
        <v>100 м2</v>
      </c>
      <c r="F232" s="44">
        <f>Source!K41</f>
        <v>0.65</v>
      </c>
      <c r="G232" s="39"/>
      <c r="H232" s="44">
        <f>Source!I41</f>
        <v>0.65</v>
      </c>
      <c r="I232" s="45"/>
      <c r="J232" s="43"/>
      <c r="K232" s="45"/>
      <c r="L232" s="40"/>
      <c r="M232" s="45"/>
    </row>
    <row r="233" spans="1:83" ht="15" x14ac:dyDescent="0.2">
      <c r="A233" s="39"/>
      <c r="B233" s="39"/>
      <c r="C233" s="42">
        <v>1</v>
      </c>
      <c r="D233" s="39" t="s">
        <v>470</v>
      </c>
      <c r="E233" s="41" t="s">
        <v>278</v>
      </c>
      <c r="F233" s="44"/>
      <c r="G233" s="42"/>
      <c r="H233" s="44">
        <f>Source!U41</f>
        <v>47.092499999999994</v>
      </c>
      <c r="I233" s="42"/>
      <c r="J233" s="42"/>
      <c r="K233" s="42"/>
      <c r="L233" s="42"/>
      <c r="M233" s="46">
        <f>SUM(M234:M234)-SUMIF(CE234:CE234, 1, M234:M234)</f>
        <v>11451.48</v>
      </c>
    </row>
    <row r="234" spans="1:83" ht="28.5" x14ac:dyDescent="0.2">
      <c r="A234" s="40"/>
      <c r="B234" s="40"/>
      <c r="C234" s="40" t="s">
        <v>347</v>
      </c>
      <c r="D234" s="40" t="s">
        <v>348</v>
      </c>
      <c r="E234" s="41" t="s">
        <v>278</v>
      </c>
      <c r="F234" s="44">
        <v>63</v>
      </c>
      <c r="G234" s="39">
        <f>ROUND(1.15,7)</f>
        <v>1.1499999999999999</v>
      </c>
      <c r="H234" s="44">
        <f>SmtRes!CX69</f>
        <v>47.092500000000001</v>
      </c>
      <c r="I234" s="45"/>
      <c r="J234" s="43"/>
      <c r="K234" s="45">
        <f>SmtRes!CZ69</f>
        <v>243.17</v>
      </c>
      <c r="L234" s="40"/>
      <c r="M234" s="45">
        <f>SmtRes!DI69</f>
        <v>11451.48</v>
      </c>
    </row>
    <row r="235" spans="1:83" ht="15" x14ac:dyDescent="0.2">
      <c r="A235" s="39"/>
      <c r="B235" s="39"/>
      <c r="C235" s="42">
        <v>2</v>
      </c>
      <c r="D235" s="39" t="s">
        <v>480</v>
      </c>
      <c r="E235" s="41"/>
      <c r="F235" s="44"/>
      <c r="G235" s="42"/>
      <c r="H235" s="44"/>
      <c r="I235" s="42"/>
      <c r="J235" s="42"/>
      <c r="K235" s="42"/>
      <c r="L235" s="42"/>
      <c r="M235" s="46">
        <f>SUM(M236:M240)-SUMIF(CE236:CE240, 1, M236:M240)</f>
        <v>70.86</v>
      </c>
    </row>
    <row r="236" spans="1:83" ht="15" x14ac:dyDescent="0.2">
      <c r="A236" s="39"/>
      <c r="B236" s="39"/>
      <c r="C236" s="42"/>
      <c r="D236" s="39" t="s">
        <v>483</v>
      </c>
      <c r="E236" s="41" t="s">
        <v>278</v>
      </c>
      <c r="F236" s="44"/>
      <c r="G236" s="42"/>
      <c r="H236" s="44">
        <f>Source!V41</f>
        <v>0.14624999999999999</v>
      </c>
      <c r="I236" s="42"/>
      <c r="J236" s="42"/>
      <c r="K236" s="42"/>
      <c r="L236" s="42"/>
      <c r="M236" s="46">
        <f>SUMIF(CE237:CE240, 1, M237:M240)</f>
        <v>38.57</v>
      </c>
      <c r="CE236">
        <v>1</v>
      </c>
    </row>
    <row r="237" spans="1:83" ht="42.75" x14ac:dyDescent="0.2">
      <c r="A237" s="40"/>
      <c r="B237" s="40"/>
      <c r="C237" s="40" t="s">
        <v>349</v>
      </c>
      <c r="D237" s="40" t="s">
        <v>351</v>
      </c>
      <c r="E237" s="41" t="s">
        <v>289</v>
      </c>
      <c r="F237" s="44">
        <v>0.02</v>
      </c>
      <c r="G237" s="39">
        <f>ROUND(1.25,7)</f>
        <v>1.25</v>
      </c>
      <c r="H237" s="44">
        <f>SmtRes!CX71</f>
        <v>1.6250000000000001E-2</v>
      </c>
      <c r="I237" s="45">
        <f>SmtRes!CZ71</f>
        <v>30.61</v>
      </c>
      <c r="J237" s="43">
        <f>SmtRes!AJ71</f>
        <v>1.31</v>
      </c>
      <c r="K237" s="45">
        <f>ROUND(I237*J237, 2)</f>
        <v>40.1</v>
      </c>
      <c r="L237" s="40"/>
      <c r="M237" s="45">
        <f>SmtRes!DG71</f>
        <v>0.65</v>
      </c>
    </row>
    <row r="238" spans="1:83" ht="28.5" x14ac:dyDescent="0.2">
      <c r="A238" s="40"/>
      <c r="B238" s="40"/>
      <c r="C238" s="40" t="s">
        <v>290</v>
      </c>
      <c r="D238" s="40" t="s">
        <v>481</v>
      </c>
      <c r="E238" s="41" t="s">
        <v>278</v>
      </c>
      <c r="F238" s="44">
        <f>SmtRes!DO71*SmtRes!AT71</f>
        <v>0.02</v>
      </c>
      <c r="G238" s="39">
        <f>ROUND(1.25,7)</f>
        <v>1.25</v>
      </c>
      <c r="H238" s="44">
        <f>SmtRes!DO71*SmtRes!CX71</f>
        <v>1.6250000000000001E-2</v>
      </c>
      <c r="I238" s="45"/>
      <c r="J238" s="43"/>
      <c r="K238" s="45">
        <f>ROUND(SmtRes!AG71/SmtRes!DO71, 2)</f>
        <v>237.19</v>
      </c>
      <c r="L238" s="40"/>
      <c r="M238" s="45">
        <f>SmtRes!DH71</f>
        <v>3.85</v>
      </c>
      <c r="CE238">
        <v>1</v>
      </c>
    </row>
    <row r="239" spans="1:83" ht="28.5" x14ac:dyDescent="0.2">
      <c r="A239" s="40"/>
      <c r="B239" s="40"/>
      <c r="C239" s="40" t="s">
        <v>291</v>
      </c>
      <c r="D239" s="40" t="s">
        <v>293</v>
      </c>
      <c r="E239" s="41" t="s">
        <v>289</v>
      </c>
      <c r="F239" s="44">
        <v>0.16</v>
      </c>
      <c r="G239" s="39">
        <f>ROUND(1.25,7)</f>
        <v>1.25</v>
      </c>
      <c r="H239" s="44">
        <f>SmtRes!CX72</f>
        <v>0.13</v>
      </c>
      <c r="I239" s="45">
        <f>SmtRes!CZ72</f>
        <v>477.92</v>
      </c>
      <c r="J239" s="43">
        <f>SmtRes!AJ72</f>
        <v>1.1299999999999999</v>
      </c>
      <c r="K239" s="45">
        <f>ROUND(I239*J239, 2)</f>
        <v>540.04999999999995</v>
      </c>
      <c r="L239" s="40"/>
      <c r="M239" s="45">
        <f>SmtRes!DG72</f>
        <v>70.209999999999994</v>
      </c>
    </row>
    <row r="240" spans="1:83" ht="28.5" x14ac:dyDescent="0.2">
      <c r="A240" s="40"/>
      <c r="B240" s="40"/>
      <c r="C240" s="40" t="s">
        <v>294</v>
      </c>
      <c r="D240" s="40" t="s">
        <v>482</v>
      </c>
      <c r="E240" s="41" t="s">
        <v>278</v>
      </c>
      <c r="F240" s="44">
        <f>SmtRes!DO72*SmtRes!AT72</f>
        <v>0.16</v>
      </c>
      <c r="G240" s="39">
        <f>ROUND(1.25,7)</f>
        <v>1.25</v>
      </c>
      <c r="H240" s="44">
        <f>SmtRes!DO72*SmtRes!CX72</f>
        <v>0.13</v>
      </c>
      <c r="I240" s="45"/>
      <c r="J240" s="43"/>
      <c r="K240" s="45">
        <f>ROUND(SmtRes!AG72/SmtRes!DO72, 2)</f>
        <v>267.08999999999997</v>
      </c>
      <c r="L240" s="40"/>
      <c r="M240" s="45">
        <f>SmtRes!DH72</f>
        <v>34.72</v>
      </c>
      <c r="CE240">
        <v>1</v>
      </c>
    </row>
    <row r="241" spans="1:82" ht="15" x14ac:dyDescent="0.2">
      <c r="A241" s="39"/>
      <c r="B241" s="39"/>
      <c r="C241" s="42">
        <v>4</v>
      </c>
      <c r="D241" s="39" t="s">
        <v>471</v>
      </c>
      <c r="E241" s="41"/>
      <c r="F241" s="44"/>
      <c r="G241" s="42"/>
      <c r="H241" s="44"/>
      <c r="I241" s="42"/>
      <c r="J241" s="42"/>
      <c r="K241" s="42"/>
      <c r="L241" s="42"/>
      <c r="M241" s="46">
        <f>SUM(M242:M246)-SUMIF(CE242:CE246, 1, M242:M246)</f>
        <v>11867.45</v>
      </c>
    </row>
    <row r="242" spans="1:82" ht="28.5" x14ac:dyDescent="0.2">
      <c r="A242" s="40"/>
      <c r="B242" s="40"/>
      <c r="C242" s="40" t="s">
        <v>352</v>
      </c>
      <c r="D242" s="40" t="s">
        <v>354</v>
      </c>
      <c r="E242" s="41" t="s">
        <v>49</v>
      </c>
      <c r="F242" s="44">
        <v>0.84</v>
      </c>
      <c r="G242" s="39"/>
      <c r="H242" s="44">
        <f>SmtRes!CX73</f>
        <v>0.54600000000000004</v>
      </c>
      <c r="I242" s="45">
        <f>SmtRes!CZ73</f>
        <v>531.44000000000005</v>
      </c>
      <c r="J242" s="43">
        <f>SmtRes!AI73</f>
        <v>1.02</v>
      </c>
      <c r="K242" s="45">
        <f>ROUND(I242*J242, 2)</f>
        <v>542.07000000000005</v>
      </c>
      <c r="L242" s="40"/>
      <c r="M242" s="45">
        <f>SmtRes!DF73</f>
        <v>295.97000000000003</v>
      </c>
    </row>
    <row r="243" spans="1:82" ht="14.25" x14ac:dyDescent="0.2">
      <c r="A243" s="40"/>
      <c r="B243" s="40"/>
      <c r="C243" s="40" t="s">
        <v>333</v>
      </c>
      <c r="D243" s="40" t="s">
        <v>335</v>
      </c>
      <c r="E243" s="41" t="s">
        <v>336</v>
      </c>
      <c r="F243" s="44">
        <v>0.31</v>
      </c>
      <c r="G243" s="39"/>
      <c r="H243" s="44">
        <f>SmtRes!CX74</f>
        <v>0.20150000000000001</v>
      </c>
      <c r="I243" s="45">
        <f>SmtRes!CZ74</f>
        <v>56.81</v>
      </c>
      <c r="J243" s="43">
        <f>SmtRes!AI74</f>
        <v>1.87</v>
      </c>
      <c r="K243" s="45">
        <f>ROUND(I243*J243, 2)</f>
        <v>106.23</v>
      </c>
      <c r="L243" s="40"/>
      <c r="M243" s="45">
        <f>SmtRes!DF74</f>
        <v>21.41</v>
      </c>
    </row>
    <row r="244" spans="1:82" ht="14.25" x14ac:dyDescent="0.2">
      <c r="A244" s="40"/>
      <c r="B244" s="40"/>
      <c r="C244" s="40" t="s">
        <v>326</v>
      </c>
      <c r="D244" s="40" t="s">
        <v>355</v>
      </c>
      <c r="E244" s="41" t="s">
        <v>281</v>
      </c>
      <c r="F244" s="44">
        <v>3.3000000000000002E-2</v>
      </c>
      <c r="G244" s="39"/>
      <c r="H244" s="44">
        <f>SmtRes!CX75</f>
        <v>2.145E-2</v>
      </c>
      <c r="I244" s="45">
        <f>SmtRes!CZ75</f>
        <v>306015</v>
      </c>
      <c r="J244" s="43"/>
      <c r="K244" s="45"/>
      <c r="L244" s="40"/>
      <c r="M244" s="45">
        <f>SmtRes!DF75</f>
        <v>6564.02</v>
      </c>
    </row>
    <row r="245" spans="1:82" ht="14.25" x14ac:dyDescent="0.2">
      <c r="A245" s="40"/>
      <c r="B245" s="40"/>
      <c r="C245" s="40" t="s">
        <v>326</v>
      </c>
      <c r="D245" s="40" t="s">
        <v>337</v>
      </c>
      <c r="E245" s="41" t="s">
        <v>281</v>
      </c>
      <c r="F245" s="44">
        <v>2.1999999999999999E-2</v>
      </c>
      <c r="G245" s="39"/>
      <c r="H245" s="44">
        <f>SmtRes!CX76</f>
        <v>1.43E-2</v>
      </c>
      <c r="I245" s="45">
        <f>SmtRes!CZ76</f>
        <v>117000</v>
      </c>
      <c r="J245" s="43"/>
      <c r="K245" s="45"/>
      <c r="L245" s="40"/>
      <c r="M245" s="45">
        <f>SmtRes!DF76</f>
        <v>1673.1</v>
      </c>
    </row>
    <row r="246" spans="1:82" ht="14.25" x14ac:dyDescent="0.2">
      <c r="A246" s="40"/>
      <c r="B246" s="40"/>
      <c r="C246" s="40" t="s">
        <v>326</v>
      </c>
      <c r="D246" s="40" t="s">
        <v>360</v>
      </c>
      <c r="E246" s="41" t="s">
        <v>281</v>
      </c>
      <c r="F246" s="44">
        <v>5.4999999999999993E-2</v>
      </c>
      <c r="G246" s="39"/>
      <c r="H246" s="44">
        <f>SmtRes!CX77</f>
        <v>3.5749999999999997E-2</v>
      </c>
      <c r="I246" s="45">
        <f>SmtRes!CZ77</f>
        <v>92670</v>
      </c>
      <c r="J246" s="43"/>
      <c r="K246" s="45"/>
      <c r="L246" s="40"/>
      <c r="M246" s="45">
        <f>SmtRes!DF77</f>
        <v>3312.95</v>
      </c>
    </row>
    <row r="247" spans="1:82" ht="14.25" x14ac:dyDescent="0.2">
      <c r="A247" s="40"/>
      <c r="B247" s="40"/>
      <c r="C247" s="40" t="str">
        <f>EtalonRes!I75</f>
        <v>14.3.02.01</v>
      </c>
      <c r="D247" s="40" t="str">
        <f>EtalonRes!K75</f>
        <v>Краска акриловая</v>
      </c>
      <c r="E247" s="41" t="str">
        <f>EtalonRes!O75</f>
        <v>т</v>
      </c>
      <c r="F247" s="44">
        <f>EtalonRes!X75</f>
        <v>3.3000000000000002E-2</v>
      </c>
      <c r="G247" s="39"/>
      <c r="H247" s="44">
        <f>ROUND(EtalonRes!AG75*Source!I41, 7)</f>
        <v>2.145E-2</v>
      </c>
      <c r="I247" s="45"/>
      <c r="J247" s="43"/>
      <c r="K247" s="45"/>
      <c r="L247" s="40"/>
      <c r="M247" s="45"/>
    </row>
    <row r="248" spans="1:82" ht="14.25" x14ac:dyDescent="0.2">
      <c r="A248" s="40"/>
      <c r="B248" s="40"/>
      <c r="C248" s="40" t="str">
        <f>EtalonRes!I76</f>
        <v>14.4.01.02</v>
      </c>
      <c r="D248" s="55" t="str">
        <f>EtalonRes!K76</f>
        <v>Грунтовка</v>
      </c>
      <c r="E248" s="48" t="str">
        <f>EtalonRes!O76</f>
        <v>т</v>
      </c>
      <c r="F248" s="49">
        <f>EtalonRes!X76</f>
        <v>2.1999999999999999E-2</v>
      </c>
      <c r="G248" s="47"/>
      <c r="H248" s="49">
        <f>ROUND(EtalonRes!AG76*Source!I41, 7)</f>
        <v>1.43E-2</v>
      </c>
      <c r="I248" s="56"/>
      <c r="J248" s="57"/>
      <c r="K248" s="56"/>
      <c r="L248" s="55"/>
      <c r="M248" s="56"/>
    </row>
    <row r="249" spans="1:82" ht="15" x14ac:dyDescent="0.2">
      <c r="A249" s="40"/>
      <c r="B249" s="40"/>
      <c r="C249" s="40"/>
      <c r="D249" s="53" t="s">
        <v>472</v>
      </c>
      <c r="E249" s="41"/>
      <c r="F249" s="44"/>
      <c r="G249" s="39"/>
      <c r="H249" s="44"/>
      <c r="I249" s="45"/>
      <c r="J249" s="43"/>
      <c r="K249" s="45"/>
      <c r="L249" s="40"/>
      <c r="M249" s="45">
        <f>M233+M235+M236+M241</f>
        <v>23428.36</v>
      </c>
    </row>
    <row r="250" spans="1:82" ht="14.25" x14ac:dyDescent="0.2">
      <c r="A250" s="40"/>
      <c r="B250" s="40"/>
      <c r="C250" s="40"/>
      <c r="D250" s="40" t="s">
        <v>473</v>
      </c>
      <c r="E250" s="41"/>
      <c r="F250" s="44"/>
      <c r="G250" s="39"/>
      <c r="H250" s="44"/>
      <c r="I250" s="45"/>
      <c r="J250" s="43"/>
      <c r="K250" s="45"/>
      <c r="L250" s="40"/>
      <c r="M250" s="45">
        <f>SUM(AR232:AR253)+SUM(AS232:AS253)+SUM(AT232:AT253)+SUM(AU232:AU253)+SUM(AV232:AV253)</f>
        <v>11490.05</v>
      </c>
    </row>
    <row r="251" spans="1:82" ht="28.5" x14ac:dyDescent="0.2">
      <c r="A251" s="40"/>
      <c r="B251" s="40"/>
      <c r="C251" s="40" t="s">
        <v>495</v>
      </c>
      <c r="D251" s="40" t="s">
        <v>496</v>
      </c>
      <c r="E251" s="41" t="s">
        <v>384</v>
      </c>
      <c r="F251" s="44">
        <f>Source!BZ41</f>
        <v>100</v>
      </c>
      <c r="G251" s="39">
        <f>ROUND(0.9,7)</f>
        <v>0.9</v>
      </c>
      <c r="H251" s="44">
        <f>Source!AT41</f>
        <v>90</v>
      </c>
      <c r="I251" s="45"/>
      <c r="J251" s="43"/>
      <c r="K251" s="45"/>
      <c r="L251" s="40"/>
      <c r="M251" s="45">
        <f>SUM(AZ232:AZ253)</f>
        <v>10341.049999999999</v>
      </c>
    </row>
    <row r="252" spans="1:82" ht="28.5" x14ac:dyDescent="0.2">
      <c r="A252" s="55"/>
      <c r="B252" s="55"/>
      <c r="C252" s="55" t="s">
        <v>497</v>
      </c>
      <c r="D252" s="55" t="s">
        <v>498</v>
      </c>
      <c r="E252" s="48" t="s">
        <v>384</v>
      </c>
      <c r="F252" s="49">
        <f>Source!CA41</f>
        <v>49</v>
      </c>
      <c r="G252" s="47">
        <f>ROUND(0.85,7)</f>
        <v>0.85</v>
      </c>
      <c r="H252" s="49">
        <f>Source!AU41</f>
        <v>41.65</v>
      </c>
      <c r="I252" s="56"/>
      <c r="J252" s="57"/>
      <c r="K252" s="56"/>
      <c r="L252" s="55"/>
      <c r="M252" s="56">
        <f>SUM(BA232:BA253)</f>
        <v>4785.6099999999997</v>
      </c>
    </row>
    <row r="253" spans="1:82" ht="15" x14ac:dyDescent="0.2">
      <c r="D253" s="163" t="s">
        <v>476</v>
      </c>
      <c r="E253" s="163"/>
      <c r="F253" s="163"/>
      <c r="G253" s="163"/>
      <c r="H253" s="163"/>
      <c r="I253" s="163"/>
      <c r="J253" s="164">
        <f>L253/F232</f>
        <v>59315.415384615379</v>
      </c>
      <c r="K253" s="164"/>
      <c r="L253" s="164">
        <f>M233+M235+M241+M251+M252+M236</f>
        <v>38555.019999999997</v>
      </c>
      <c r="M253" s="164"/>
      <c r="AD253">
        <f>ROUND((Source!AT41/100)*((ROUND(SUMIF(SmtRes!AQ69:'SmtRes'!AQ77,"=1",SmtRes!AD69:'SmtRes'!AD77)*Source!I41, 2)+ROUND(SUMIF(SmtRes!AQ69:'SmtRes'!AQ77,"=1",SmtRes!AC69:'SmtRes'!AC77)*Source!I41, 2))), 2)</f>
        <v>437.26</v>
      </c>
      <c r="AE253">
        <f>ROUND((Source!AU41/100)*((ROUND(SUMIF(SmtRes!AQ69:'SmtRes'!AQ77,"=1",SmtRes!AD69:'SmtRes'!AD77)*Source!I41, 2)+ROUND(SUMIF(SmtRes!AQ69:'SmtRes'!AQ77,"=1",SmtRes!AC69:'SmtRes'!AC77)*Source!I41, 2))), 2)</f>
        <v>202.35</v>
      </c>
      <c r="AN253" s="52">
        <f>M233+M235+M241+M251+M252+M236</f>
        <v>38555.019999999997</v>
      </c>
      <c r="AO253" s="52">
        <f>M235</f>
        <v>70.86</v>
      </c>
      <c r="AQ253" t="s">
        <v>477</v>
      </c>
      <c r="AR253" s="52">
        <f>M233</f>
        <v>11451.48</v>
      </c>
      <c r="AT253" s="52">
        <f>M236</f>
        <v>38.57</v>
      </c>
      <c r="AV253" t="s">
        <v>477</v>
      </c>
      <c r="AW253" s="52">
        <f>M241</f>
        <v>11867.45</v>
      </c>
      <c r="AZ253">
        <f>Source!X41</f>
        <v>10341.049999999999</v>
      </c>
      <c r="BA253">
        <f>Source!Y41</f>
        <v>4785.6099999999997</v>
      </c>
      <c r="CD253">
        <v>1</v>
      </c>
    </row>
    <row r="254" spans="1:82" ht="119.25" x14ac:dyDescent="0.2">
      <c r="A254" s="38" t="s">
        <v>91</v>
      </c>
      <c r="B254" s="40">
        <v>14</v>
      </c>
      <c r="C254" s="40" t="s">
        <v>512</v>
      </c>
      <c r="D254" s="40" t="s">
        <v>513</v>
      </c>
      <c r="E254" s="41" t="str">
        <f>Source!H42</f>
        <v>100 м2</v>
      </c>
      <c r="F254" s="44">
        <f>Source!K42</f>
        <v>0.81030000000000002</v>
      </c>
      <c r="G254" s="39"/>
      <c r="H254" s="44">
        <f>Source!I42</f>
        <v>0.81030000000000002</v>
      </c>
      <c r="I254" s="45"/>
      <c r="J254" s="43"/>
      <c r="K254" s="45"/>
      <c r="L254" s="40"/>
      <c r="M254" s="45"/>
    </row>
    <row r="255" spans="1:82" ht="15" x14ac:dyDescent="0.2">
      <c r="A255" s="39"/>
      <c r="B255" s="39"/>
      <c r="C255" s="42">
        <v>1</v>
      </c>
      <c r="D255" s="39" t="s">
        <v>470</v>
      </c>
      <c r="E255" s="41" t="s">
        <v>278</v>
      </c>
      <c r="F255" s="44"/>
      <c r="G255" s="42"/>
      <c r="H255" s="44">
        <f>Source!U42</f>
        <v>40.591168199999998</v>
      </c>
      <c r="I255" s="42"/>
      <c r="J255" s="42"/>
      <c r="K255" s="42"/>
      <c r="L255" s="42"/>
      <c r="M255" s="46">
        <f>SUM(M256:M256)-SUMIF(CE256:CE256, 1, M256:M256)</f>
        <v>9870.5499999999993</v>
      </c>
    </row>
    <row r="256" spans="1:82" ht="28.5" x14ac:dyDescent="0.2">
      <c r="A256" s="40"/>
      <c r="B256" s="40"/>
      <c r="C256" s="40" t="s">
        <v>347</v>
      </c>
      <c r="D256" s="40" t="s">
        <v>348</v>
      </c>
      <c r="E256" s="41" t="s">
        <v>278</v>
      </c>
      <c r="F256" s="44">
        <v>43.56</v>
      </c>
      <c r="G256" s="39">
        <f>ROUND(1.15,7)</f>
        <v>1.1499999999999999</v>
      </c>
      <c r="H256" s="44">
        <f>SmtRes!CX78</f>
        <v>40.591168199999998</v>
      </c>
      <c r="I256" s="45"/>
      <c r="J256" s="43"/>
      <c r="K256" s="45">
        <f>SmtRes!CZ78</f>
        <v>243.17</v>
      </c>
      <c r="L256" s="40"/>
      <c r="M256" s="45">
        <f>SmtRes!DI78</f>
        <v>9870.5499999999993</v>
      </c>
    </row>
    <row r="257" spans="1:83" ht="15" x14ac:dyDescent="0.2">
      <c r="A257" s="39"/>
      <c r="B257" s="39"/>
      <c r="C257" s="42">
        <v>2</v>
      </c>
      <c r="D257" s="39" t="s">
        <v>480</v>
      </c>
      <c r="E257" s="41"/>
      <c r="F257" s="44"/>
      <c r="G257" s="42"/>
      <c r="H257" s="44"/>
      <c r="I257" s="42"/>
      <c r="J257" s="42"/>
      <c r="K257" s="42"/>
      <c r="L257" s="42"/>
      <c r="M257" s="46">
        <f>SUM(M258:M262)-SUMIF(CE258:CE262, 1, M258:M262)</f>
        <v>82.860000000000014</v>
      </c>
    </row>
    <row r="258" spans="1:83" ht="15" x14ac:dyDescent="0.2">
      <c r="A258" s="39"/>
      <c r="B258" s="39"/>
      <c r="C258" s="42"/>
      <c r="D258" s="39" t="s">
        <v>483</v>
      </c>
      <c r="E258" s="41" t="s">
        <v>278</v>
      </c>
      <c r="F258" s="44"/>
      <c r="G258" s="42"/>
      <c r="H258" s="44">
        <f>Source!V42</f>
        <v>0.17218875000000003</v>
      </c>
      <c r="I258" s="42"/>
      <c r="J258" s="42"/>
      <c r="K258" s="42"/>
      <c r="L258" s="42"/>
      <c r="M258" s="46">
        <f>SUMIF(CE259:CE262, 1, M259:M262)</f>
        <v>45.379999999999995</v>
      </c>
      <c r="CE258">
        <v>1</v>
      </c>
    </row>
    <row r="259" spans="1:83" ht="42.75" x14ac:dyDescent="0.2">
      <c r="A259" s="40"/>
      <c r="B259" s="40"/>
      <c r="C259" s="40" t="s">
        <v>349</v>
      </c>
      <c r="D259" s="40" t="s">
        <v>351</v>
      </c>
      <c r="E259" s="41" t="s">
        <v>289</v>
      </c>
      <c r="F259" s="44">
        <v>0.02</v>
      </c>
      <c r="G259" s="39">
        <f>ROUND(1.25,7)</f>
        <v>1.25</v>
      </c>
      <c r="H259" s="44">
        <f>SmtRes!CX80</f>
        <v>2.0257500000000001E-2</v>
      </c>
      <c r="I259" s="45">
        <f>SmtRes!CZ80</f>
        <v>30.61</v>
      </c>
      <c r="J259" s="43">
        <f>SmtRes!AJ80</f>
        <v>1.31</v>
      </c>
      <c r="K259" s="45">
        <f>ROUND(I259*J259, 2)</f>
        <v>40.1</v>
      </c>
      <c r="L259" s="40"/>
      <c r="M259" s="45">
        <f>SmtRes!DG80</f>
        <v>0.81</v>
      </c>
    </row>
    <row r="260" spans="1:83" ht="28.5" x14ac:dyDescent="0.2">
      <c r="A260" s="40"/>
      <c r="B260" s="40"/>
      <c r="C260" s="40" t="s">
        <v>290</v>
      </c>
      <c r="D260" s="40" t="s">
        <v>481</v>
      </c>
      <c r="E260" s="41" t="s">
        <v>278</v>
      </c>
      <c r="F260" s="44">
        <f>SmtRes!DO80*SmtRes!AT80</f>
        <v>0.02</v>
      </c>
      <c r="G260" s="39">
        <f>ROUND(1.25,7)</f>
        <v>1.25</v>
      </c>
      <c r="H260" s="44">
        <f>SmtRes!DO80*SmtRes!CX80</f>
        <v>2.0257500000000001E-2</v>
      </c>
      <c r="I260" s="45"/>
      <c r="J260" s="43"/>
      <c r="K260" s="45">
        <f>ROUND(SmtRes!AG80/SmtRes!DO80, 2)</f>
        <v>237.19</v>
      </c>
      <c r="L260" s="40"/>
      <c r="M260" s="45">
        <f>SmtRes!DH80</f>
        <v>4.8</v>
      </c>
      <c r="CE260">
        <v>1</v>
      </c>
    </row>
    <row r="261" spans="1:83" ht="28.5" x14ac:dyDescent="0.2">
      <c r="A261" s="40"/>
      <c r="B261" s="40"/>
      <c r="C261" s="40" t="s">
        <v>291</v>
      </c>
      <c r="D261" s="40" t="s">
        <v>293</v>
      </c>
      <c r="E261" s="41" t="s">
        <v>289</v>
      </c>
      <c r="F261" s="44">
        <v>0.15</v>
      </c>
      <c r="G261" s="39">
        <f>ROUND(1.25,7)</f>
        <v>1.25</v>
      </c>
      <c r="H261" s="44">
        <f>SmtRes!CX81</f>
        <v>0.15193129999999999</v>
      </c>
      <c r="I261" s="45">
        <f>SmtRes!CZ81</f>
        <v>477.92</v>
      </c>
      <c r="J261" s="43">
        <f>SmtRes!AJ81</f>
        <v>1.1299999999999999</v>
      </c>
      <c r="K261" s="45">
        <f>ROUND(I261*J261, 2)</f>
        <v>540.04999999999995</v>
      </c>
      <c r="L261" s="40"/>
      <c r="M261" s="45">
        <f>SmtRes!DG81</f>
        <v>82.05</v>
      </c>
    </row>
    <row r="262" spans="1:83" ht="28.5" x14ac:dyDescent="0.2">
      <c r="A262" s="40"/>
      <c r="B262" s="40"/>
      <c r="C262" s="40" t="s">
        <v>294</v>
      </c>
      <c r="D262" s="40" t="s">
        <v>482</v>
      </c>
      <c r="E262" s="41" t="s">
        <v>278</v>
      </c>
      <c r="F262" s="44">
        <f>SmtRes!DO81*SmtRes!AT81</f>
        <v>0.15</v>
      </c>
      <c r="G262" s="39">
        <f>ROUND(1.25,7)</f>
        <v>1.25</v>
      </c>
      <c r="H262" s="44">
        <f>SmtRes!DO81*SmtRes!CX81</f>
        <v>0.15193129999999999</v>
      </c>
      <c r="I262" s="45"/>
      <c r="J262" s="43"/>
      <c r="K262" s="45">
        <f>ROUND(SmtRes!AG81/SmtRes!DO81, 2)</f>
        <v>267.08999999999997</v>
      </c>
      <c r="L262" s="40"/>
      <c r="M262" s="45">
        <f>SmtRes!DH81</f>
        <v>40.58</v>
      </c>
      <c r="CE262">
        <v>1</v>
      </c>
    </row>
    <row r="263" spans="1:83" ht="15" x14ac:dyDescent="0.2">
      <c r="A263" s="39"/>
      <c r="B263" s="39"/>
      <c r="C263" s="42">
        <v>4</v>
      </c>
      <c r="D263" s="39" t="s">
        <v>471</v>
      </c>
      <c r="E263" s="41"/>
      <c r="F263" s="44"/>
      <c r="G263" s="42"/>
      <c r="H263" s="44"/>
      <c r="I263" s="42"/>
      <c r="J263" s="42"/>
      <c r="K263" s="42"/>
      <c r="L263" s="42"/>
      <c r="M263" s="46">
        <f>SUM(M264:M268)-SUMIF(CE264:CE268, 1, M264:M268)</f>
        <v>13560.279999999999</v>
      </c>
    </row>
    <row r="264" spans="1:83" ht="28.5" x14ac:dyDescent="0.2">
      <c r="A264" s="40"/>
      <c r="B264" s="40"/>
      <c r="C264" s="40" t="s">
        <v>352</v>
      </c>
      <c r="D264" s="40" t="s">
        <v>354</v>
      </c>
      <c r="E264" s="41" t="s">
        <v>49</v>
      </c>
      <c r="F264" s="44">
        <v>0.84</v>
      </c>
      <c r="G264" s="39"/>
      <c r="H264" s="44">
        <f>SmtRes!CX82</f>
        <v>0.68065200000000003</v>
      </c>
      <c r="I264" s="45">
        <f>SmtRes!CZ82</f>
        <v>531.44000000000005</v>
      </c>
      <c r="J264" s="43">
        <f>SmtRes!AI82</f>
        <v>1.02</v>
      </c>
      <c r="K264" s="45">
        <f>ROUND(I264*J264, 2)</f>
        <v>542.07000000000005</v>
      </c>
      <c r="L264" s="40"/>
      <c r="M264" s="45">
        <f>SmtRes!DF82</f>
        <v>368.96</v>
      </c>
    </row>
    <row r="265" spans="1:83" ht="14.25" x14ac:dyDescent="0.2">
      <c r="A265" s="40"/>
      <c r="B265" s="40"/>
      <c r="C265" s="40" t="s">
        <v>333</v>
      </c>
      <c r="D265" s="40" t="s">
        <v>335</v>
      </c>
      <c r="E265" s="41" t="s">
        <v>336</v>
      </c>
      <c r="F265" s="44">
        <v>0.31</v>
      </c>
      <c r="G265" s="39"/>
      <c r="H265" s="44">
        <f>SmtRes!CX83</f>
        <v>0.251193</v>
      </c>
      <c r="I265" s="45">
        <f>SmtRes!CZ83</f>
        <v>56.81</v>
      </c>
      <c r="J265" s="43">
        <f>SmtRes!AI83</f>
        <v>1.87</v>
      </c>
      <c r="K265" s="45">
        <f>ROUND(I265*J265, 2)</f>
        <v>106.23</v>
      </c>
      <c r="L265" s="40"/>
      <c r="M265" s="45">
        <f>SmtRes!DF83</f>
        <v>26.68</v>
      </c>
    </row>
    <row r="266" spans="1:83" ht="14.25" x14ac:dyDescent="0.2">
      <c r="A266" s="40"/>
      <c r="B266" s="40"/>
      <c r="C266" s="40" t="s">
        <v>326</v>
      </c>
      <c r="D266" s="40" t="s">
        <v>355</v>
      </c>
      <c r="E266" s="41" t="s">
        <v>281</v>
      </c>
      <c r="F266" s="44">
        <v>0.03</v>
      </c>
      <c r="G266" s="39"/>
      <c r="H266" s="44">
        <f>SmtRes!CX84</f>
        <v>2.4309000000000001E-2</v>
      </c>
      <c r="I266" s="45">
        <f>SmtRes!CZ84</f>
        <v>306015</v>
      </c>
      <c r="J266" s="43"/>
      <c r="K266" s="45"/>
      <c r="L266" s="40"/>
      <c r="M266" s="45">
        <f>SmtRes!DF84</f>
        <v>7438.92</v>
      </c>
    </row>
    <row r="267" spans="1:83" ht="14.25" x14ac:dyDescent="0.2">
      <c r="A267" s="40"/>
      <c r="B267" s="40"/>
      <c r="C267" s="40" t="s">
        <v>326</v>
      </c>
      <c r="D267" s="40" t="s">
        <v>361</v>
      </c>
      <c r="E267" s="41" t="s">
        <v>281</v>
      </c>
      <c r="F267" s="44">
        <v>0.02</v>
      </c>
      <c r="G267" s="39"/>
      <c r="H267" s="44">
        <f>SmtRes!CX85</f>
        <v>1.6206000000000002E-2</v>
      </c>
      <c r="I267" s="45">
        <f>SmtRes!CZ85</f>
        <v>117000</v>
      </c>
      <c r="J267" s="43"/>
      <c r="K267" s="45"/>
      <c r="L267" s="40"/>
      <c r="M267" s="45">
        <f>SmtRes!DF85</f>
        <v>1896.1</v>
      </c>
    </row>
    <row r="268" spans="1:83" ht="14.25" x14ac:dyDescent="0.2">
      <c r="A268" s="40"/>
      <c r="B268" s="40"/>
      <c r="C268" s="40" t="s">
        <v>326</v>
      </c>
      <c r="D268" s="40" t="s">
        <v>360</v>
      </c>
      <c r="E268" s="41" t="s">
        <v>281</v>
      </c>
      <c r="F268" s="44">
        <v>5.1000000000000004E-2</v>
      </c>
      <c r="G268" s="39"/>
      <c r="H268" s="44">
        <f>SmtRes!CX86</f>
        <v>4.1325300000000002E-2</v>
      </c>
      <c r="I268" s="45">
        <f>SmtRes!CZ86</f>
        <v>92670</v>
      </c>
      <c r="J268" s="43"/>
      <c r="K268" s="45"/>
      <c r="L268" s="40"/>
      <c r="M268" s="45">
        <f>SmtRes!DF86</f>
        <v>3829.62</v>
      </c>
    </row>
    <row r="269" spans="1:83" ht="14.25" x14ac:dyDescent="0.2">
      <c r="A269" s="40"/>
      <c r="B269" s="40"/>
      <c r="C269" s="40" t="str">
        <f>EtalonRes!I84</f>
        <v>14.3.02.01</v>
      </c>
      <c r="D269" s="40" t="str">
        <f>EtalonRes!K84</f>
        <v>Краска акриловая</v>
      </c>
      <c r="E269" s="41" t="str">
        <f>EtalonRes!O84</f>
        <v>т</v>
      </c>
      <c r="F269" s="44">
        <f>EtalonRes!X84</f>
        <v>0.03</v>
      </c>
      <c r="G269" s="39"/>
      <c r="H269" s="44">
        <f>ROUND(EtalonRes!AG84*Source!I42, 7)</f>
        <v>2.4309000000000001E-2</v>
      </c>
      <c r="I269" s="45"/>
      <c r="J269" s="43"/>
      <c r="K269" s="45"/>
      <c r="L269" s="40"/>
      <c r="M269" s="45"/>
    </row>
    <row r="270" spans="1:83" ht="14.25" x14ac:dyDescent="0.2">
      <c r="A270" s="40"/>
      <c r="B270" s="40"/>
      <c r="C270" s="40" t="str">
        <f>EtalonRes!I85</f>
        <v>14.4.01.02</v>
      </c>
      <c r="D270" s="55" t="str">
        <f>EtalonRes!K85</f>
        <v>Грунтовка</v>
      </c>
      <c r="E270" s="48" t="str">
        <f>EtalonRes!O85</f>
        <v>т</v>
      </c>
      <c r="F270" s="49">
        <f>EtalonRes!X85</f>
        <v>0.02</v>
      </c>
      <c r="G270" s="47"/>
      <c r="H270" s="49">
        <f>ROUND(EtalonRes!AG85*Source!I42, 7)</f>
        <v>1.6206000000000002E-2</v>
      </c>
      <c r="I270" s="56"/>
      <c r="J270" s="57"/>
      <c r="K270" s="56"/>
      <c r="L270" s="55"/>
      <c r="M270" s="56"/>
    </row>
    <row r="271" spans="1:83" ht="15" x14ac:dyDescent="0.2">
      <c r="A271" s="40"/>
      <c r="B271" s="40"/>
      <c r="C271" s="40"/>
      <c r="D271" s="53" t="s">
        <v>472</v>
      </c>
      <c r="E271" s="41"/>
      <c r="F271" s="44"/>
      <c r="G271" s="39"/>
      <c r="H271" s="44"/>
      <c r="I271" s="45"/>
      <c r="J271" s="43"/>
      <c r="K271" s="45"/>
      <c r="L271" s="40"/>
      <c r="M271" s="45">
        <f>M255+M257+M258+M263</f>
        <v>23559.07</v>
      </c>
    </row>
    <row r="272" spans="1:83" ht="14.25" x14ac:dyDescent="0.2">
      <c r="A272" s="40"/>
      <c r="B272" s="40"/>
      <c r="C272" s="40"/>
      <c r="D272" s="40" t="s">
        <v>473</v>
      </c>
      <c r="E272" s="41"/>
      <c r="F272" s="44"/>
      <c r="G272" s="39"/>
      <c r="H272" s="44"/>
      <c r="I272" s="45"/>
      <c r="J272" s="43"/>
      <c r="K272" s="45"/>
      <c r="L272" s="40"/>
      <c r="M272" s="45">
        <f>SUM(AR254:AR275)+SUM(AS254:AS275)+SUM(AT254:AT275)+SUM(AU254:AU275)+SUM(AV254:AV275)</f>
        <v>9915.9299999999985</v>
      </c>
    </row>
    <row r="273" spans="1:83" ht="28.5" x14ac:dyDescent="0.2">
      <c r="A273" s="40"/>
      <c r="B273" s="40"/>
      <c r="C273" s="40" t="s">
        <v>495</v>
      </c>
      <c r="D273" s="40" t="s">
        <v>496</v>
      </c>
      <c r="E273" s="41" t="s">
        <v>384</v>
      </c>
      <c r="F273" s="44">
        <f>Source!BZ42</f>
        <v>100</v>
      </c>
      <c r="G273" s="39">
        <f>ROUND(0.9,7)</f>
        <v>0.9</v>
      </c>
      <c r="H273" s="44">
        <f>Source!AT42</f>
        <v>90</v>
      </c>
      <c r="I273" s="45"/>
      <c r="J273" s="43"/>
      <c r="K273" s="45"/>
      <c r="L273" s="40"/>
      <c r="M273" s="45">
        <f>SUM(AZ254:AZ275)</f>
        <v>8924.34</v>
      </c>
    </row>
    <row r="274" spans="1:83" ht="28.5" x14ac:dyDescent="0.2">
      <c r="A274" s="55"/>
      <c r="B274" s="55"/>
      <c r="C274" s="55" t="s">
        <v>497</v>
      </c>
      <c r="D274" s="55" t="s">
        <v>498</v>
      </c>
      <c r="E274" s="48" t="s">
        <v>384</v>
      </c>
      <c r="F274" s="49">
        <f>Source!CA42</f>
        <v>49</v>
      </c>
      <c r="G274" s="47">
        <f>ROUND(0.85,7)</f>
        <v>0.85</v>
      </c>
      <c r="H274" s="49">
        <f>Source!AU42</f>
        <v>41.65</v>
      </c>
      <c r="I274" s="56"/>
      <c r="J274" s="57"/>
      <c r="K274" s="56"/>
      <c r="L274" s="55"/>
      <c r="M274" s="56">
        <f>SUM(BA254:BA275)</f>
        <v>4129.9799999999996</v>
      </c>
    </row>
    <row r="275" spans="1:83" ht="15" x14ac:dyDescent="0.2">
      <c r="D275" s="163" t="s">
        <v>476</v>
      </c>
      <c r="E275" s="163"/>
      <c r="F275" s="163"/>
      <c r="G275" s="163"/>
      <c r="H275" s="163"/>
      <c r="I275" s="163"/>
      <c r="J275" s="164">
        <f>L275/F254</f>
        <v>45184.980871282227</v>
      </c>
      <c r="K275" s="164"/>
      <c r="L275" s="164">
        <f>M255+M257+M263+M273+M274+M258</f>
        <v>36613.389999999992</v>
      </c>
      <c r="M275" s="164"/>
      <c r="AD275">
        <f>ROUND((Source!AT42/100)*((ROUND(SUMIF(SmtRes!AQ78:'SmtRes'!AQ86,"=1",SmtRes!AD78:'SmtRes'!AD86)*Source!I42, 2)+ROUND(SUMIF(SmtRes!AQ78:'SmtRes'!AQ86,"=1",SmtRes!AC78:'SmtRes'!AC86)*Source!I42, 2))), 2)</f>
        <v>545.09</v>
      </c>
      <c r="AE275">
        <f>ROUND((Source!AU42/100)*((ROUND(SUMIF(SmtRes!AQ78:'SmtRes'!AQ86,"=1",SmtRes!AD78:'SmtRes'!AD86)*Source!I42, 2)+ROUND(SUMIF(SmtRes!AQ78:'SmtRes'!AQ86,"=1",SmtRes!AC78:'SmtRes'!AC86)*Source!I42, 2))), 2)</f>
        <v>252.26</v>
      </c>
      <c r="AN275" s="52">
        <f>M255+M257+M263+M273+M274+M258</f>
        <v>36613.389999999992</v>
      </c>
      <c r="AO275" s="52">
        <f>M257</f>
        <v>82.860000000000014</v>
      </c>
      <c r="AQ275" t="s">
        <v>477</v>
      </c>
      <c r="AR275" s="52">
        <f>M255</f>
        <v>9870.5499999999993</v>
      </c>
      <c r="AT275" s="52">
        <f>M258</f>
        <v>45.379999999999995</v>
      </c>
      <c r="AV275" t="s">
        <v>477</v>
      </c>
      <c r="AW275" s="52">
        <f>M263</f>
        <v>13560.279999999999</v>
      </c>
      <c r="AZ275">
        <f>Source!X42</f>
        <v>8924.34</v>
      </c>
      <c r="BA275">
        <f>Source!Y42</f>
        <v>4129.9799999999996</v>
      </c>
      <c r="CD275">
        <v>1</v>
      </c>
    </row>
    <row r="276" spans="1:83" ht="119.25" x14ac:dyDescent="0.2">
      <c r="A276" s="38" t="s">
        <v>95</v>
      </c>
      <c r="B276" s="40">
        <v>15</v>
      </c>
      <c r="C276" s="40" t="s">
        <v>514</v>
      </c>
      <c r="D276" s="40" t="s">
        <v>515</v>
      </c>
      <c r="E276" s="41" t="str">
        <f>Source!H43</f>
        <v>100 м2 горизонтальной проекции</v>
      </c>
      <c r="F276" s="44">
        <f>Source!K43</f>
        <v>0.65</v>
      </c>
      <c r="G276" s="39"/>
      <c r="H276" s="44">
        <f>Source!I43</f>
        <v>0.65</v>
      </c>
      <c r="I276" s="45"/>
      <c r="J276" s="43"/>
      <c r="K276" s="45"/>
      <c r="L276" s="40"/>
      <c r="M276" s="45"/>
    </row>
    <row r="277" spans="1:83" ht="15" x14ac:dyDescent="0.2">
      <c r="A277" s="39"/>
      <c r="B277" s="39"/>
      <c r="C277" s="42">
        <v>1</v>
      </c>
      <c r="D277" s="39" t="s">
        <v>470</v>
      </c>
      <c r="E277" s="41" t="s">
        <v>278</v>
      </c>
      <c r="F277" s="44"/>
      <c r="G277" s="42"/>
      <c r="H277" s="44">
        <f>Source!U43</f>
        <v>52.474500000000006</v>
      </c>
      <c r="I277" s="42"/>
      <c r="J277" s="42"/>
      <c r="K277" s="42"/>
      <c r="L277" s="42"/>
      <c r="M277" s="46">
        <f>SUM(M278:M278)-SUMIF(CE278:CE278, 1, M278:M278)</f>
        <v>12603.33</v>
      </c>
    </row>
    <row r="278" spans="1:83" ht="28.5" x14ac:dyDescent="0.2">
      <c r="A278" s="40"/>
      <c r="B278" s="40"/>
      <c r="C278" s="40" t="s">
        <v>362</v>
      </c>
      <c r="D278" s="40" t="s">
        <v>363</v>
      </c>
      <c r="E278" s="41" t="s">
        <v>278</v>
      </c>
      <c r="F278" s="44">
        <v>70.2</v>
      </c>
      <c r="G278" s="39">
        <f>ROUND(1.15,7)</f>
        <v>1.1499999999999999</v>
      </c>
      <c r="H278" s="44">
        <f>SmtRes!CX87</f>
        <v>52.474499999999999</v>
      </c>
      <c r="I278" s="45"/>
      <c r="J278" s="43"/>
      <c r="K278" s="45">
        <f>SmtRes!CZ87</f>
        <v>240.18</v>
      </c>
      <c r="L278" s="40"/>
      <c r="M278" s="45">
        <f>SmtRes!DI87</f>
        <v>12603.33</v>
      </c>
    </row>
    <row r="279" spans="1:83" ht="15" x14ac:dyDescent="0.2">
      <c r="A279" s="39"/>
      <c r="B279" s="39"/>
      <c r="C279" s="42">
        <v>2</v>
      </c>
      <c r="D279" s="39" t="s">
        <v>480</v>
      </c>
      <c r="E279" s="41"/>
      <c r="F279" s="44"/>
      <c r="G279" s="42"/>
      <c r="H279" s="44"/>
      <c r="I279" s="42"/>
      <c r="J279" s="42"/>
      <c r="K279" s="42"/>
      <c r="L279" s="42"/>
      <c r="M279" s="46">
        <f>SUM(M280:M282)-SUMIF(CE280:CE282, 1, M280:M282)</f>
        <v>78.980000000000018</v>
      </c>
    </row>
    <row r="280" spans="1:83" ht="15" x14ac:dyDescent="0.2">
      <c r="A280" s="39"/>
      <c r="B280" s="39"/>
      <c r="C280" s="42"/>
      <c r="D280" s="39" t="s">
        <v>483</v>
      </c>
      <c r="E280" s="41" t="s">
        <v>278</v>
      </c>
      <c r="F280" s="44"/>
      <c r="G280" s="42"/>
      <c r="H280" s="44">
        <f>Source!V43</f>
        <v>0.14624999999999999</v>
      </c>
      <c r="I280" s="42"/>
      <c r="J280" s="42"/>
      <c r="K280" s="42"/>
      <c r="L280" s="42"/>
      <c r="M280" s="46">
        <f>SUMIF(CE281:CE282, 1, M281:M282)</f>
        <v>39.06</v>
      </c>
      <c r="CE280">
        <v>1</v>
      </c>
    </row>
    <row r="281" spans="1:83" ht="28.5" x14ac:dyDescent="0.2">
      <c r="A281" s="40"/>
      <c r="B281" s="40"/>
      <c r="C281" s="40" t="s">
        <v>291</v>
      </c>
      <c r="D281" s="40" t="s">
        <v>293</v>
      </c>
      <c r="E281" s="41" t="s">
        <v>289</v>
      </c>
      <c r="F281" s="44">
        <v>0.18</v>
      </c>
      <c r="G281" s="39">
        <f>ROUND(1.25,7)</f>
        <v>1.25</v>
      </c>
      <c r="H281" s="44">
        <f>SmtRes!CX89</f>
        <v>0.14624999999999999</v>
      </c>
      <c r="I281" s="45">
        <f>SmtRes!CZ89</f>
        <v>477.92</v>
      </c>
      <c r="J281" s="43">
        <f>SmtRes!AJ89</f>
        <v>1.1299999999999999</v>
      </c>
      <c r="K281" s="45">
        <f>ROUND(I281*J281, 2)</f>
        <v>540.04999999999995</v>
      </c>
      <c r="L281" s="40"/>
      <c r="M281" s="45">
        <f>SmtRes!DG89</f>
        <v>78.98</v>
      </c>
    </row>
    <row r="282" spans="1:83" ht="28.5" x14ac:dyDescent="0.2">
      <c r="A282" s="40"/>
      <c r="B282" s="40"/>
      <c r="C282" s="40" t="s">
        <v>294</v>
      </c>
      <c r="D282" s="40" t="s">
        <v>482</v>
      </c>
      <c r="E282" s="41" t="s">
        <v>278</v>
      </c>
      <c r="F282" s="44">
        <f>SmtRes!DO89*SmtRes!AT89</f>
        <v>0.18</v>
      </c>
      <c r="G282" s="39">
        <f>ROUND(1.25,7)</f>
        <v>1.25</v>
      </c>
      <c r="H282" s="44">
        <f>SmtRes!DO89*SmtRes!CX89</f>
        <v>0.14624999999999999</v>
      </c>
      <c r="I282" s="45"/>
      <c r="J282" s="43"/>
      <c r="K282" s="45">
        <f>ROUND(SmtRes!AG89/SmtRes!DO89, 2)</f>
        <v>267.08999999999997</v>
      </c>
      <c r="L282" s="40"/>
      <c r="M282" s="45">
        <f>SmtRes!DH89</f>
        <v>39.06</v>
      </c>
      <c r="CE282">
        <v>1</v>
      </c>
    </row>
    <row r="283" spans="1:83" ht="15" x14ac:dyDescent="0.2">
      <c r="A283" s="39"/>
      <c r="B283" s="39"/>
      <c r="C283" s="42">
        <v>4</v>
      </c>
      <c r="D283" s="39" t="s">
        <v>471</v>
      </c>
      <c r="E283" s="41"/>
      <c r="F283" s="44"/>
      <c r="G283" s="42"/>
      <c r="H283" s="44"/>
      <c r="I283" s="42"/>
      <c r="J283" s="42"/>
      <c r="K283" s="42"/>
      <c r="L283" s="42"/>
      <c r="M283" s="46">
        <f>SUM(M284:M285)-SUMIF(CE284:CE285, 1, M284:M285)</f>
        <v>1969.61</v>
      </c>
    </row>
    <row r="284" spans="1:83" ht="71.25" x14ac:dyDescent="0.2">
      <c r="A284" s="40"/>
      <c r="B284" s="40"/>
      <c r="C284" s="40" t="s">
        <v>364</v>
      </c>
      <c r="D284" s="40" t="s">
        <v>366</v>
      </c>
      <c r="E284" s="41" t="s">
        <v>281</v>
      </c>
      <c r="F284" s="44">
        <v>2.9000000000000001E-2</v>
      </c>
      <c r="G284" s="39"/>
      <c r="H284" s="44">
        <f>SmtRes!CX90</f>
        <v>1.8849999999999999E-2</v>
      </c>
      <c r="I284" s="45">
        <f>SmtRes!CZ90</f>
        <v>91734.54</v>
      </c>
      <c r="J284" s="43">
        <f>SmtRes!AI90</f>
        <v>1.08</v>
      </c>
      <c r="K284" s="45">
        <f>ROUND(I284*J284, 2)</f>
        <v>99073.3</v>
      </c>
      <c r="L284" s="40"/>
      <c r="M284" s="45">
        <f>SmtRes!DF90</f>
        <v>1867.53</v>
      </c>
    </row>
    <row r="285" spans="1:83" ht="57" x14ac:dyDescent="0.2">
      <c r="A285" s="40"/>
      <c r="B285" s="40"/>
      <c r="C285" s="40" t="s">
        <v>367</v>
      </c>
      <c r="D285" s="40" t="s">
        <v>369</v>
      </c>
      <c r="E285" s="41" t="s">
        <v>370</v>
      </c>
      <c r="F285" s="44">
        <v>8.0000000000000002E-3</v>
      </c>
      <c r="G285" s="39"/>
      <c r="H285" s="44">
        <f>SmtRes!CX91</f>
        <v>5.1999999999999998E-3</v>
      </c>
      <c r="I285" s="45">
        <f>SmtRes!CZ91</f>
        <v>16496.03</v>
      </c>
      <c r="J285" s="43">
        <f>SmtRes!AI91</f>
        <v>1.19</v>
      </c>
      <c r="K285" s="45">
        <f>ROUND(I285*J285, 2)</f>
        <v>19630.28</v>
      </c>
      <c r="L285" s="40"/>
      <c r="M285" s="45">
        <f>SmtRes!DF91</f>
        <v>102.08</v>
      </c>
    </row>
    <row r="286" spans="1:83" ht="14.25" x14ac:dyDescent="0.2">
      <c r="A286" s="40"/>
      <c r="B286" s="40"/>
      <c r="C286" s="40" t="str">
        <f>EtalonRes!I92</f>
        <v>11.2.13.06</v>
      </c>
      <c r="D286" s="55" t="str">
        <f>EtalonRes!K92</f>
        <v>Щиты настила</v>
      </c>
      <c r="E286" s="48" t="str">
        <f>EtalonRes!O92</f>
        <v>м2</v>
      </c>
      <c r="F286" s="49">
        <f>EtalonRes!X92</f>
        <v>0</v>
      </c>
      <c r="G286" s="47"/>
      <c r="H286" s="49">
        <f>ROUND(EtalonRes!AG92*Source!I43, 7)</f>
        <v>0</v>
      </c>
      <c r="I286" s="56"/>
      <c r="J286" s="57"/>
      <c r="K286" s="56"/>
      <c r="L286" s="55"/>
      <c r="M286" s="56"/>
    </row>
    <row r="287" spans="1:83" ht="15" x14ac:dyDescent="0.2">
      <c r="A287" s="40"/>
      <c r="B287" s="40"/>
      <c r="C287" s="40"/>
      <c r="D287" s="53" t="s">
        <v>472</v>
      </c>
      <c r="E287" s="41"/>
      <c r="F287" s="44"/>
      <c r="G287" s="39"/>
      <c r="H287" s="44"/>
      <c r="I287" s="45"/>
      <c r="J287" s="43"/>
      <c r="K287" s="45"/>
      <c r="L287" s="40"/>
      <c r="M287" s="45">
        <f>M277+M279+M280+M283</f>
        <v>14690.98</v>
      </c>
    </row>
    <row r="288" spans="1:83" ht="14.25" x14ac:dyDescent="0.2">
      <c r="A288" s="40"/>
      <c r="B288" s="40"/>
      <c r="C288" s="40"/>
      <c r="D288" s="40" t="s">
        <v>473</v>
      </c>
      <c r="E288" s="41"/>
      <c r="F288" s="44"/>
      <c r="G288" s="39"/>
      <c r="H288" s="44"/>
      <c r="I288" s="45"/>
      <c r="J288" s="43"/>
      <c r="K288" s="45"/>
      <c r="L288" s="40"/>
      <c r="M288" s="45">
        <f>SUM(AR276:AR291)+SUM(AS276:AS291)+SUM(AT276:AT291)+SUM(AU276:AU291)+SUM(AV276:AV291)</f>
        <v>12642.39</v>
      </c>
    </row>
    <row r="289" spans="1:82" ht="28.5" x14ac:dyDescent="0.2">
      <c r="A289" s="40"/>
      <c r="B289" s="40"/>
      <c r="C289" s="40" t="s">
        <v>516</v>
      </c>
      <c r="D289" s="40" t="s">
        <v>517</v>
      </c>
      <c r="E289" s="41" t="s">
        <v>384</v>
      </c>
      <c r="F289" s="44">
        <f>Source!BZ43</f>
        <v>110</v>
      </c>
      <c r="G289" s="39">
        <f>ROUND(0.9,7)</f>
        <v>0.9</v>
      </c>
      <c r="H289" s="44">
        <f>Source!AT43</f>
        <v>99</v>
      </c>
      <c r="I289" s="45"/>
      <c r="J289" s="43"/>
      <c r="K289" s="45"/>
      <c r="L289" s="40"/>
      <c r="M289" s="45">
        <f>SUM(AZ276:AZ291)</f>
        <v>12515.97</v>
      </c>
    </row>
    <row r="290" spans="1:82" ht="28.5" x14ac:dyDescent="0.2">
      <c r="A290" s="55"/>
      <c r="B290" s="55"/>
      <c r="C290" s="55" t="s">
        <v>518</v>
      </c>
      <c r="D290" s="55" t="s">
        <v>519</v>
      </c>
      <c r="E290" s="48" t="s">
        <v>384</v>
      </c>
      <c r="F290" s="49">
        <f>Source!CA43</f>
        <v>69</v>
      </c>
      <c r="G290" s="47">
        <f>ROUND(0.85,7)</f>
        <v>0.85</v>
      </c>
      <c r="H290" s="49">
        <f>Source!AU43</f>
        <v>58.65</v>
      </c>
      <c r="I290" s="56"/>
      <c r="J290" s="57"/>
      <c r="K290" s="56"/>
      <c r="L290" s="55"/>
      <c r="M290" s="56">
        <f>SUM(BA276:BA291)</f>
        <v>7414.76</v>
      </c>
    </row>
    <row r="291" spans="1:82" ht="15" x14ac:dyDescent="0.2">
      <c r="D291" s="163" t="s">
        <v>476</v>
      </c>
      <c r="E291" s="163"/>
      <c r="F291" s="163"/>
      <c r="G291" s="163"/>
      <c r="H291" s="163"/>
      <c r="I291" s="163"/>
      <c r="J291" s="164">
        <f>L291/F276</f>
        <v>53264.169230769228</v>
      </c>
      <c r="K291" s="164"/>
      <c r="L291" s="164">
        <f>M277+M279+M283+M289+M290+M280</f>
        <v>34621.71</v>
      </c>
      <c r="M291" s="164"/>
      <c r="AD291">
        <f>ROUND((Source!AT43/100)*((ROUND(SUMIF(SmtRes!AQ87:'SmtRes'!AQ92,"=1",SmtRes!AD87:'SmtRes'!AD92)*Source!I43, 2)+ROUND(SUMIF(SmtRes!AQ87:'SmtRes'!AQ92,"=1",SmtRes!AC87:'SmtRes'!AC92)*Source!I43, 2))), 2)</f>
        <v>326.43</v>
      </c>
      <c r="AE291">
        <f>ROUND((Source!AU43/100)*((ROUND(SUMIF(SmtRes!AQ87:'SmtRes'!AQ92,"=1",SmtRes!AD87:'SmtRes'!AD92)*Source!I43, 2)+ROUND(SUMIF(SmtRes!AQ87:'SmtRes'!AQ92,"=1",SmtRes!AC87:'SmtRes'!AC92)*Source!I43, 2))), 2)</f>
        <v>193.39</v>
      </c>
      <c r="AN291" s="52">
        <f>M277+M279+M283+M289+M290+M280</f>
        <v>34621.71</v>
      </c>
      <c r="AO291" s="52">
        <f>M279</f>
        <v>78.980000000000018</v>
      </c>
      <c r="AQ291" t="s">
        <v>477</v>
      </c>
      <c r="AR291" s="52">
        <f>M277</f>
        <v>12603.33</v>
      </c>
      <c r="AT291" s="52">
        <f>M280</f>
        <v>39.06</v>
      </c>
      <c r="AV291" t="s">
        <v>477</v>
      </c>
      <c r="AW291" s="52">
        <f>M283</f>
        <v>1969.61</v>
      </c>
      <c r="AZ291">
        <f>Source!X43</f>
        <v>12515.97</v>
      </c>
      <c r="BA291">
        <f>Source!Y43</f>
        <v>7414.76</v>
      </c>
      <c r="CD291">
        <v>1</v>
      </c>
    </row>
    <row r="293" spans="1:82" ht="15" x14ac:dyDescent="0.2">
      <c r="A293" s="59"/>
      <c r="B293" s="59"/>
      <c r="C293" s="60"/>
      <c r="D293" s="166" t="s">
        <v>520</v>
      </c>
      <c r="E293" s="166"/>
      <c r="F293" s="166"/>
      <c r="G293" s="166"/>
      <c r="H293" s="166"/>
      <c r="I293" s="166"/>
      <c r="J293" s="46"/>
      <c r="K293" s="59"/>
      <c r="L293" s="61"/>
      <c r="M293" s="46">
        <f>M295+M296+M302+M306</f>
        <v>98857.279999999999</v>
      </c>
    </row>
    <row r="294" spans="1:82" ht="14.25" x14ac:dyDescent="0.2">
      <c r="A294" s="54"/>
      <c r="B294" s="54"/>
      <c r="C294" s="58"/>
      <c r="D294" s="167" t="s">
        <v>521</v>
      </c>
      <c r="E294" s="168"/>
      <c r="F294" s="168"/>
      <c r="G294" s="168"/>
      <c r="H294" s="168"/>
      <c r="I294" s="168"/>
      <c r="J294" s="45"/>
      <c r="K294" s="54"/>
      <c r="L294" s="42"/>
      <c r="M294" s="45"/>
    </row>
    <row r="295" spans="1:82" ht="14.25" x14ac:dyDescent="0.2">
      <c r="A295" s="54"/>
      <c r="B295" s="54"/>
      <c r="C295" s="58"/>
      <c r="D295" s="168" t="s">
        <v>522</v>
      </c>
      <c r="E295" s="168"/>
      <c r="F295" s="168"/>
      <c r="G295" s="168"/>
      <c r="H295" s="168"/>
      <c r="I295" s="168"/>
      <c r="J295" s="45"/>
      <c r="K295" s="54"/>
      <c r="L295" s="42"/>
      <c r="M295" s="45">
        <f>SUM(AR104:AR291)</f>
        <v>60569.14</v>
      </c>
    </row>
    <row r="296" spans="1:82" ht="14.25" hidden="1" x14ac:dyDescent="0.2">
      <c r="A296" s="54"/>
      <c r="B296" s="54"/>
      <c r="C296" s="58"/>
      <c r="D296" s="168" t="s">
        <v>523</v>
      </c>
      <c r="E296" s="168"/>
      <c r="F296" s="168"/>
      <c r="G296" s="168"/>
      <c r="H296" s="168"/>
      <c r="I296" s="168"/>
      <c r="J296" s="45"/>
      <c r="K296" s="54"/>
      <c r="L296" s="42"/>
      <c r="M296" s="45">
        <f>M298+M301+M300</f>
        <v>442.90999999999997</v>
      </c>
    </row>
    <row r="297" spans="1:82" ht="14.25" hidden="1" x14ac:dyDescent="0.2">
      <c r="A297" s="54"/>
      <c r="B297" s="54"/>
      <c r="C297" s="58"/>
      <c r="D297" s="167" t="s">
        <v>524</v>
      </c>
      <c r="E297" s="168"/>
      <c r="F297" s="168"/>
      <c r="G297" s="168"/>
      <c r="H297" s="168"/>
      <c r="I297" s="168"/>
      <c r="J297" s="45"/>
      <c r="K297" s="54"/>
      <c r="L297" s="42"/>
      <c r="M297" s="45"/>
    </row>
    <row r="298" spans="1:82" ht="14.25" x14ac:dyDescent="0.2">
      <c r="A298" s="54"/>
      <c r="B298" s="54"/>
      <c r="C298" s="58"/>
      <c r="D298" s="168" t="s">
        <v>523</v>
      </c>
      <c r="E298" s="168"/>
      <c r="F298" s="168"/>
      <c r="G298" s="168"/>
      <c r="H298" s="168"/>
      <c r="I298" s="168"/>
      <c r="J298" s="45"/>
      <c r="K298" s="54"/>
      <c r="L298" s="42"/>
      <c r="M298" s="45">
        <f>SUM(AO104:AO291)</f>
        <v>285.62</v>
      </c>
    </row>
    <row r="299" spans="1:82" ht="14.25" hidden="1" x14ac:dyDescent="0.2">
      <c r="A299" s="54"/>
      <c r="B299" s="54"/>
      <c r="C299" s="58"/>
      <c r="D299" s="167" t="s">
        <v>525</v>
      </c>
      <c r="E299" s="168"/>
      <c r="F299" s="168"/>
      <c r="G299" s="168"/>
      <c r="H299" s="168"/>
      <c r="I299" s="168"/>
      <c r="J299" s="45"/>
      <c r="K299" s="54"/>
      <c r="L299" s="42"/>
      <c r="M299" s="45"/>
    </row>
    <row r="300" spans="1:82" ht="14.25" x14ac:dyDescent="0.2">
      <c r="A300" s="54"/>
      <c r="B300" s="54"/>
      <c r="C300" s="58"/>
      <c r="D300" s="168" t="s">
        <v>545</v>
      </c>
      <c r="E300" s="168"/>
      <c r="F300" s="168"/>
      <c r="G300" s="168"/>
      <c r="H300" s="168"/>
      <c r="I300" s="168"/>
      <c r="J300" s="45"/>
      <c r="K300" s="54"/>
      <c r="L300" s="42"/>
      <c r="M300" s="45">
        <f>SUM(AT104:AT291)</f>
        <v>157.29</v>
      </c>
    </row>
    <row r="301" spans="1:82" ht="14.25" hidden="1" x14ac:dyDescent="0.2">
      <c r="A301" s="54"/>
      <c r="B301" s="54"/>
      <c r="C301" s="58"/>
      <c r="D301" s="168" t="s">
        <v>526</v>
      </c>
      <c r="E301" s="168"/>
      <c r="F301" s="168"/>
      <c r="G301" s="168"/>
      <c r="H301" s="168"/>
      <c r="I301" s="168"/>
      <c r="J301" s="45"/>
      <c r="K301" s="54"/>
      <c r="L301" s="42"/>
      <c r="M301" s="45">
        <f>SUM(AV104:AV291)</f>
        <v>0</v>
      </c>
    </row>
    <row r="302" spans="1:82" ht="14.25" x14ac:dyDescent="0.2">
      <c r="A302" s="54"/>
      <c r="B302" s="54"/>
      <c r="C302" s="58"/>
      <c r="D302" s="168" t="s">
        <v>527</v>
      </c>
      <c r="E302" s="168"/>
      <c r="F302" s="168"/>
      <c r="G302" s="168"/>
      <c r="H302" s="168"/>
      <c r="I302" s="168"/>
      <c r="J302" s="45"/>
      <c r="K302" s="54"/>
      <c r="L302" s="42"/>
      <c r="M302" s="45">
        <f>M304+M305</f>
        <v>37845.229999999996</v>
      </c>
    </row>
    <row r="303" spans="1:82" ht="14.25" x14ac:dyDescent="0.2">
      <c r="A303" s="54"/>
      <c r="B303" s="54"/>
      <c r="C303" s="58"/>
      <c r="D303" s="167" t="s">
        <v>524</v>
      </c>
      <c r="E303" s="168"/>
      <c r="F303" s="168"/>
      <c r="G303" s="168"/>
      <c r="H303" s="168"/>
      <c r="I303" s="168"/>
      <c r="J303" s="45"/>
      <c r="K303" s="54"/>
      <c r="L303" s="42"/>
      <c r="M303" s="45"/>
    </row>
    <row r="304" spans="1:82" ht="14.25" x14ac:dyDescent="0.2">
      <c r="A304" s="54"/>
      <c r="B304" s="54"/>
      <c r="C304" s="58"/>
      <c r="D304" s="168" t="s">
        <v>528</v>
      </c>
      <c r="E304" s="168"/>
      <c r="F304" s="168"/>
      <c r="G304" s="168"/>
      <c r="H304" s="168"/>
      <c r="I304" s="168"/>
      <c r="J304" s="45"/>
      <c r="K304" s="54"/>
      <c r="L304" s="42"/>
      <c r="M304" s="45">
        <f>SUM(AW104:AW291)-SUM(BK104:BK291)</f>
        <v>37845.229999999996</v>
      </c>
    </row>
    <row r="305" spans="1:13" ht="14.25" hidden="1" x14ac:dyDescent="0.2">
      <c r="A305" s="54"/>
      <c r="B305" s="54"/>
      <c r="C305" s="58"/>
      <c r="D305" s="168" t="s">
        <v>529</v>
      </c>
      <c r="E305" s="168"/>
      <c r="F305" s="168"/>
      <c r="G305" s="168"/>
      <c r="H305" s="168"/>
      <c r="I305" s="168"/>
      <c r="J305" s="45"/>
      <c r="K305" s="54"/>
      <c r="L305" s="42"/>
      <c r="M305" s="45">
        <f>SUM(BC104:BC291)</f>
        <v>0</v>
      </c>
    </row>
    <row r="306" spans="1:13" ht="14.25" hidden="1" x14ac:dyDescent="0.2">
      <c r="A306" s="54"/>
      <c r="B306" s="54"/>
      <c r="C306" s="58"/>
      <c r="D306" s="168" t="s">
        <v>530</v>
      </c>
      <c r="E306" s="168"/>
      <c r="F306" s="168"/>
      <c r="G306" s="168"/>
      <c r="H306" s="168"/>
      <c r="I306" s="168"/>
      <c r="J306" s="45"/>
      <c r="K306" s="54"/>
      <c r="L306" s="42"/>
      <c r="M306" s="45">
        <f>SUM(BB104:BB291)</f>
        <v>0</v>
      </c>
    </row>
    <row r="307" spans="1:13" ht="14.25" x14ac:dyDescent="0.2">
      <c r="A307" s="54"/>
      <c r="B307" s="54"/>
      <c r="C307" s="58"/>
      <c r="D307" s="168" t="s">
        <v>531</v>
      </c>
      <c r="E307" s="168"/>
      <c r="F307" s="168"/>
      <c r="G307" s="168"/>
      <c r="H307" s="168"/>
      <c r="I307" s="168"/>
      <c r="J307" s="45"/>
      <c r="K307" s="54"/>
      <c r="L307" s="42"/>
      <c r="M307" s="45">
        <f>SUM(AR104:AR291)+SUM(AT104:AT291)+SUM(AV104:AV291)</f>
        <v>60726.43</v>
      </c>
    </row>
    <row r="308" spans="1:13" ht="14.25" x14ac:dyDescent="0.2">
      <c r="A308" s="54"/>
      <c r="B308" s="54"/>
      <c r="C308" s="58"/>
      <c r="D308" s="168" t="s">
        <v>532</v>
      </c>
      <c r="E308" s="168"/>
      <c r="F308" s="168"/>
      <c r="G308" s="168"/>
      <c r="H308" s="168"/>
      <c r="I308" s="168"/>
      <c r="J308" s="45"/>
      <c r="K308" s="54"/>
      <c r="L308" s="42"/>
      <c r="M308" s="45">
        <f>SUM(AZ104:AZ291)</f>
        <v>55789.520000000004</v>
      </c>
    </row>
    <row r="309" spans="1:13" ht="14.25" x14ac:dyDescent="0.2">
      <c r="A309" s="54"/>
      <c r="B309" s="54"/>
      <c r="C309" s="58"/>
      <c r="D309" s="168" t="s">
        <v>533</v>
      </c>
      <c r="E309" s="168"/>
      <c r="F309" s="168"/>
      <c r="G309" s="168"/>
      <c r="H309" s="168"/>
      <c r="I309" s="168"/>
      <c r="J309" s="45"/>
      <c r="K309" s="54"/>
      <c r="L309" s="42"/>
      <c r="M309" s="45">
        <f>SUM(BA104:BA291)</f>
        <v>28220.739999999998</v>
      </c>
    </row>
    <row r="310" spans="1:13" ht="14.25" hidden="1" x14ac:dyDescent="0.2">
      <c r="A310" s="54"/>
      <c r="B310" s="54"/>
      <c r="C310" s="58"/>
      <c r="D310" s="168" t="s">
        <v>534</v>
      </c>
      <c r="E310" s="168"/>
      <c r="F310" s="168"/>
      <c r="G310" s="168"/>
      <c r="H310" s="168"/>
      <c r="I310" s="168"/>
      <c r="J310" s="45"/>
      <c r="K310" s="54"/>
      <c r="L310" s="42"/>
      <c r="M310" s="45">
        <f>M312+M313</f>
        <v>0</v>
      </c>
    </row>
    <row r="311" spans="1:13" ht="14.25" hidden="1" x14ac:dyDescent="0.2">
      <c r="A311" s="54"/>
      <c r="B311" s="54"/>
      <c r="C311" s="58"/>
      <c r="D311" s="167" t="s">
        <v>521</v>
      </c>
      <c r="E311" s="168"/>
      <c r="F311" s="168"/>
      <c r="G311" s="168"/>
      <c r="H311" s="168"/>
      <c r="I311" s="168"/>
      <c r="J311" s="45"/>
      <c r="K311" s="54"/>
      <c r="L311" s="42"/>
      <c r="M311" s="45"/>
    </row>
    <row r="312" spans="1:13" ht="14.25" hidden="1" x14ac:dyDescent="0.2">
      <c r="A312" s="54"/>
      <c r="B312" s="54"/>
      <c r="C312" s="58"/>
      <c r="D312" s="168" t="s">
        <v>535</v>
      </c>
      <c r="E312" s="168"/>
      <c r="F312" s="168"/>
      <c r="G312" s="168"/>
      <c r="H312" s="168"/>
      <c r="I312" s="168"/>
      <c r="J312" s="45"/>
      <c r="K312" s="54"/>
      <c r="L312" s="42"/>
      <c r="M312" s="45">
        <f>SUM(BK104:BK291)</f>
        <v>0</v>
      </c>
    </row>
    <row r="313" spans="1:13" ht="14.25" hidden="1" x14ac:dyDescent="0.2">
      <c r="A313" s="54"/>
      <c r="B313" s="54"/>
      <c r="C313" s="58"/>
      <c r="D313" s="168" t="s">
        <v>536</v>
      </c>
      <c r="E313" s="168"/>
      <c r="F313" s="168"/>
      <c r="G313" s="168"/>
      <c r="H313" s="168"/>
      <c r="I313" s="168"/>
      <c r="J313" s="45"/>
      <c r="K313" s="54"/>
      <c r="L313" s="42"/>
      <c r="M313" s="45">
        <f>SUM(BD104:BD291)</f>
        <v>0</v>
      </c>
    </row>
    <row r="314" spans="1:13" ht="14.25" hidden="1" x14ac:dyDescent="0.2">
      <c r="A314" s="54"/>
      <c r="B314" s="54"/>
      <c r="C314" s="58"/>
      <c r="D314" s="168" t="s">
        <v>537</v>
      </c>
      <c r="E314" s="168"/>
      <c r="F314" s="168"/>
      <c r="G314" s="168"/>
      <c r="H314" s="168"/>
      <c r="I314" s="168"/>
      <c r="J314" s="45"/>
      <c r="K314" s="54"/>
      <c r="L314" s="42"/>
      <c r="M314" s="45"/>
    </row>
    <row r="315" spans="1:13" ht="14.25" hidden="1" x14ac:dyDescent="0.2">
      <c r="A315" s="54"/>
      <c r="B315" s="54"/>
      <c r="C315" s="58"/>
      <c r="D315" s="168" t="s">
        <v>538</v>
      </c>
      <c r="E315" s="168"/>
      <c r="F315" s="168"/>
      <c r="G315" s="168"/>
      <c r="H315" s="168"/>
      <c r="I315" s="168"/>
      <c r="J315" s="45"/>
      <c r="K315" s="54"/>
      <c r="L315" s="42"/>
      <c r="M315" s="45">
        <f>SUM(BO104:BO291)</f>
        <v>0</v>
      </c>
    </row>
    <row r="316" spans="1:13" ht="15" x14ac:dyDescent="0.2">
      <c r="A316" s="59"/>
      <c r="B316" s="59"/>
      <c r="C316" s="60"/>
      <c r="D316" s="166" t="s">
        <v>539</v>
      </c>
      <c r="E316" s="166"/>
      <c r="F316" s="166"/>
      <c r="G316" s="166"/>
      <c r="H316" s="166"/>
      <c r="I316" s="166"/>
      <c r="J316" s="46"/>
      <c r="K316" s="59"/>
      <c r="L316" s="61"/>
      <c r="M316" s="46">
        <f>M293+M308+M309+M310+M314+M315</f>
        <v>182867.53999999998</v>
      </c>
    </row>
    <row r="317" spans="1:13" ht="14.25" x14ac:dyDescent="0.2">
      <c r="A317" s="54"/>
      <c r="B317" s="54"/>
      <c r="C317" s="58"/>
      <c r="D317" s="167" t="s">
        <v>540</v>
      </c>
      <c r="E317" s="168"/>
      <c r="F317" s="168"/>
      <c r="G317" s="168"/>
      <c r="H317" s="168"/>
      <c r="I317" s="168"/>
      <c r="J317" s="45"/>
      <c r="K317" s="54"/>
      <c r="L317" s="42"/>
      <c r="M317" s="45"/>
    </row>
    <row r="318" spans="1:13" ht="14.25" hidden="1" x14ac:dyDescent="0.2">
      <c r="A318" s="54"/>
      <c r="B318" s="54"/>
      <c r="C318" s="58"/>
      <c r="D318" s="168" t="s">
        <v>541</v>
      </c>
      <c r="E318" s="168"/>
      <c r="F318" s="168"/>
      <c r="G318" s="168"/>
      <c r="H318" s="168"/>
      <c r="I318" s="168"/>
      <c r="J318" s="45"/>
      <c r="K318" s="54"/>
      <c r="L318" s="42"/>
      <c r="M318" s="45">
        <f>SUM(AX104:AX291)</f>
        <v>0</v>
      </c>
    </row>
    <row r="319" spans="1:13" ht="14.25" hidden="1" x14ac:dyDescent="0.2">
      <c r="A319" s="54"/>
      <c r="B319" s="54"/>
      <c r="C319" s="58"/>
      <c r="D319" s="168" t="s">
        <v>542</v>
      </c>
      <c r="E319" s="168"/>
      <c r="F319" s="168"/>
      <c r="G319" s="168"/>
      <c r="H319" s="168"/>
      <c r="I319" s="168"/>
      <c r="J319" s="45"/>
      <c r="K319" s="54"/>
      <c r="L319" s="42"/>
      <c r="M319" s="45">
        <f>SUM(AY104:AY291)</f>
        <v>0</v>
      </c>
    </row>
    <row r="320" spans="1:13" ht="14.25" x14ac:dyDescent="0.2">
      <c r="A320" s="54"/>
      <c r="B320" s="54"/>
      <c r="C320" s="58"/>
      <c r="D320" s="168" t="s">
        <v>543</v>
      </c>
      <c r="E320" s="168"/>
      <c r="F320" s="168"/>
      <c r="G320" s="169"/>
      <c r="H320" s="44">
        <f>Source!F67</f>
        <v>258.54817794999997</v>
      </c>
      <c r="I320" s="54"/>
      <c r="J320" s="54"/>
      <c r="K320" s="54"/>
      <c r="L320" s="54"/>
      <c r="M320" s="54"/>
    </row>
    <row r="321" spans="1:83" ht="14.25" x14ac:dyDescent="0.2">
      <c r="A321" s="54"/>
      <c r="B321" s="54"/>
      <c r="C321" s="58"/>
      <c r="D321" s="168" t="s">
        <v>544</v>
      </c>
      <c r="E321" s="168"/>
      <c r="F321" s="168"/>
      <c r="G321" s="169"/>
      <c r="H321" s="44">
        <f>Source!F68</f>
        <v>0.59723625000000002</v>
      </c>
      <c r="I321" s="54"/>
      <c r="J321" s="54"/>
      <c r="K321" s="54"/>
      <c r="L321" s="54"/>
      <c r="M321" s="54"/>
    </row>
    <row r="324" spans="1:83" ht="16.5" x14ac:dyDescent="0.2">
      <c r="A324" s="165" t="s">
        <v>546</v>
      </c>
      <c r="B324" s="165"/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</row>
    <row r="325" spans="1:83" ht="92.25" x14ac:dyDescent="0.2">
      <c r="A325" s="38" t="s">
        <v>159</v>
      </c>
      <c r="B325" s="40">
        <v>1</v>
      </c>
      <c r="C325" s="40" t="s">
        <v>547</v>
      </c>
      <c r="D325" s="40" t="s">
        <v>548</v>
      </c>
      <c r="E325" s="41" t="str">
        <f>Source!H79</f>
        <v>100 ШТ</v>
      </c>
      <c r="F325" s="44">
        <f>Source!K79</f>
        <v>0.12</v>
      </c>
      <c r="G325" s="39"/>
      <c r="H325" s="44">
        <f>Source!I79</f>
        <v>0.12</v>
      </c>
      <c r="I325" s="45"/>
      <c r="J325" s="43"/>
      <c r="K325" s="45"/>
      <c r="L325" s="40"/>
      <c r="M325" s="45"/>
    </row>
    <row r="326" spans="1:83" ht="15" x14ac:dyDescent="0.2">
      <c r="A326" s="39"/>
      <c r="B326" s="39"/>
      <c r="C326" s="42">
        <v>1</v>
      </c>
      <c r="D326" s="39" t="s">
        <v>470</v>
      </c>
      <c r="E326" s="41" t="s">
        <v>278</v>
      </c>
      <c r="F326" s="44"/>
      <c r="G326" s="42"/>
      <c r="H326" s="44">
        <f>Source!U79</f>
        <v>9.0624000000000002</v>
      </c>
      <c r="I326" s="42"/>
      <c r="J326" s="42"/>
      <c r="K326" s="42"/>
      <c r="L326" s="42"/>
      <c r="M326" s="46">
        <f>SUM(M327:M327)-SUMIF(CE327:CE327, 1, M327:M327)</f>
        <v>2492.6999999999998</v>
      </c>
    </row>
    <row r="327" spans="1:83" ht="28.5" x14ac:dyDescent="0.2">
      <c r="A327" s="40"/>
      <c r="B327" s="40"/>
      <c r="C327" s="40" t="s">
        <v>373</v>
      </c>
      <c r="D327" s="40" t="s">
        <v>374</v>
      </c>
      <c r="E327" s="41" t="s">
        <v>278</v>
      </c>
      <c r="F327" s="44">
        <v>94.4</v>
      </c>
      <c r="G327" s="39">
        <f>ROUND(0.8,7)</f>
        <v>0.8</v>
      </c>
      <c r="H327" s="44">
        <f>SmtRes!CX93</f>
        <v>9.0624000000000002</v>
      </c>
      <c r="I327" s="45"/>
      <c r="J327" s="43"/>
      <c r="K327" s="45">
        <f>SmtRes!CZ93</f>
        <v>275.06</v>
      </c>
      <c r="L327" s="40"/>
      <c r="M327" s="45">
        <f>SmtRes!DI93</f>
        <v>2492.6999999999998</v>
      </c>
    </row>
    <row r="328" spans="1:83" ht="15" x14ac:dyDescent="0.2">
      <c r="A328" s="39"/>
      <c r="B328" s="39"/>
      <c r="C328" s="42">
        <v>2</v>
      </c>
      <c r="D328" s="39" t="s">
        <v>480</v>
      </c>
      <c r="E328" s="41"/>
      <c r="F328" s="44"/>
      <c r="G328" s="42"/>
      <c r="H328" s="44"/>
      <c r="I328" s="42"/>
      <c r="J328" s="42"/>
      <c r="K328" s="42"/>
      <c r="L328" s="42"/>
      <c r="M328" s="46">
        <f>SUM(M329:M333)-SUMIF(CE329:CE333, 1, M329:M333)</f>
        <v>37.330000000000005</v>
      </c>
    </row>
    <row r="329" spans="1:83" ht="15" x14ac:dyDescent="0.2">
      <c r="A329" s="39"/>
      <c r="B329" s="39"/>
      <c r="C329" s="42"/>
      <c r="D329" s="39" t="s">
        <v>483</v>
      </c>
      <c r="E329" s="41" t="s">
        <v>278</v>
      </c>
      <c r="F329" s="44"/>
      <c r="G329" s="42"/>
      <c r="H329" s="44">
        <f>Source!V79</f>
        <v>3.8400000000000004E-2</v>
      </c>
      <c r="I329" s="42"/>
      <c r="J329" s="42"/>
      <c r="K329" s="42"/>
      <c r="L329" s="42"/>
      <c r="M329" s="46">
        <f>SUMIF(CE330:CE333, 1, M330:M333)</f>
        <v>12.02</v>
      </c>
      <c r="CE329">
        <v>1</v>
      </c>
    </row>
    <row r="330" spans="1:83" ht="28.5" x14ac:dyDescent="0.2">
      <c r="A330" s="40"/>
      <c r="B330" s="40"/>
      <c r="C330" s="40" t="s">
        <v>375</v>
      </c>
      <c r="D330" s="40" t="s">
        <v>377</v>
      </c>
      <c r="E330" s="41" t="s">
        <v>289</v>
      </c>
      <c r="F330" s="44">
        <v>0.2</v>
      </c>
      <c r="G330" s="39">
        <f>ROUND(0.8,7)</f>
        <v>0.8</v>
      </c>
      <c r="H330" s="44">
        <f>SmtRes!CX95</f>
        <v>1.9199999999999998E-2</v>
      </c>
      <c r="I330" s="45"/>
      <c r="J330" s="43"/>
      <c r="K330" s="45">
        <f>SmtRes!CZ95</f>
        <v>1403.96</v>
      </c>
      <c r="L330" s="40"/>
      <c r="M330" s="45">
        <f>SmtRes!DG95</f>
        <v>26.96</v>
      </c>
    </row>
    <row r="331" spans="1:83" ht="28.5" x14ac:dyDescent="0.2">
      <c r="A331" s="40"/>
      <c r="B331" s="40"/>
      <c r="C331" s="40" t="s">
        <v>378</v>
      </c>
      <c r="D331" s="40" t="s">
        <v>549</v>
      </c>
      <c r="E331" s="41" t="s">
        <v>278</v>
      </c>
      <c r="F331" s="44">
        <f>SmtRes!DO95*SmtRes!AT95</f>
        <v>0.2</v>
      </c>
      <c r="G331" s="39">
        <f>ROUND(0.8,7)</f>
        <v>0.8</v>
      </c>
      <c r="H331" s="44">
        <f>SmtRes!DO95*SmtRes!CX95</f>
        <v>1.9199999999999998E-2</v>
      </c>
      <c r="I331" s="45"/>
      <c r="J331" s="43"/>
      <c r="K331" s="45">
        <f>ROUND(SmtRes!AG95/SmtRes!DO95, 2)</f>
        <v>358.78</v>
      </c>
      <c r="L331" s="40"/>
      <c r="M331" s="45">
        <f>SmtRes!DH95</f>
        <v>6.89</v>
      </c>
      <c r="CE331">
        <v>1</v>
      </c>
    </row>
    <row r="332" spans="1:83" ht="28.5" x14ac:dyDescent="0.2">
      <c r="A332" s="40"/>
      <c r="B332" s="40"/>
      <c r="C332" s="40" t="s">
        <v>291</v>
      </c>
      <c r="D332" s="40" t="s">
        <v>293</v>
      </c>
      <c r="E332" s="41" t="s">
        <v>289</v>
      </c>
      <c r="F332" s="44">
        <v>0.2</v>
      </c>
      <c r="G332" s="39">
        <f>ROUND(0.8,7)</f>
        <v>0.8</v>
      </c>
      <c r="H332" s="44">
        <f>SmtRes!CX96</f>
        <v>1.9199999999999998E-2</v>
      </c>
      <c r="I332" s="45">
        <f>SmtRes!CZ96</f>
        <v>477.92</v>
      </c>
      <c r="J332" s="43">
        <f>SmtRes!AJ96</f>
        <v>1.1299999999999999</v>
      </c>
      <c r="K332" s="45">
        <f>ROUND(I332*J332, 2)</f>
        <v>540.04999999999995</v>
      </c>
      <c r="L332" s="40"/>
      <c r="M332" s="45">
        <f>SmtRes!DG96</f>
        <v>10.37</v>
      </c>
    </row>
    <row r="333" spans="1:83" ht="28.5" x14ac:dyDescent="0.2">
      <c r="A333" s="40"/>
      <c r="B333" s="40"/>
      <c r="C333" s="40" t="s">
        <v>294</v>
      </c>
      <c r="D333" s="40" t="s">
        <v>482</v>
      </c>
      <c r="E333" s="41" t="s">
        <v>278</v>
      </c>
      <c r="F333" s="44">
        <f>SmtRes!DO96*SmtRes!AT96</f>
        <v>0.2</v>
      </c>
      <c r="G333" s="39">
        <f>ROUND(0.8,7)</f>
        <v>0.8</v>
      </c>
      <c r="H333" s="44">
        <f>SmtRes!DO96*SmtRes!CX96</f>
        <v>1.9199999999999998E-2</v>
      </c>
      <c r="I333" s="45"/>
      <c r="J333" s="43"/>
      <c r="K333" s="45">
        <f>ROUND(SmtRes!AG96/SmtRes!DO96, 2)</f>
        <v>267.08999999999997</v>
      </c>
      <c r="L333" s="40"/>
      <c r="M333" s="45">
        <f>SmtRes!DH96</f>
        <v>5.13</v>
      </c>
      <c r="CE333">
        <v>1</v>
      </c>
    </row>
    <row r="334" spans="1:83" ht="15" x14ac:dyDescent="0.2">
      <c r="A334" s="39"/>
      <c r="B334" s="39"/>
      <c r="C334" s="42">
        <v>4</v>
      </c>
      <c r="D334" s="47" t="s">
        <v>471</v>
      </c>
      <c r="E334" s="48"/>
      <c r="F334" s="49"/>
      <c r="G334" s="50"/>
      <c r="H334" s="49"/>
      <c r="I334" s="50"/>
      <c r="J334" s="50"/>
      <c r="K334" s="50"/>
      <c r="L334" s="50"/>
      <c r="M334" s="51">
        <f>0</f>
        <v>0</v>
      </c>
    </row>
    <row r="335" spans="1:83" ht="15" x14ac:dyDescent="0.2">
      <c r="A335" s="40"/>
      <c r="B335" s="40"/>
      <c r="C335" s="40"/>
      <c r="D335" s="53" t="s">
        <v>472</v>
      </c>
      <c r="E335" s="41"/>
      <c r="F335" s="44"/>
      <c r="G335" s="39"/>
      <c r="H335" s="44"/>
      <c r="I335" s="45"/>
      <c r="J335" s="43"/>
      <c r="K335" s="45"/>
      <c r="L335" s="40"/>
      <c r="M335" s="45">
        <f>M326+M328+M329+M334</f>
        <v>2542.0499999999997</v>
      </c>
    </row>
    <row r="336" spans="1:83" ht="14.25" x14ac:dyDescent="0.2">
      <c r="A336" s="40"/>
      <c r="B336" s="40"/>
      <c r="C336" s="40"/>
      <c r="D336" s="40" t="s">
        <v>473</v>
      </c>
      <c r="E336" s="41"/>
      <c r="F336" s="44"/>
      <c r="G336" s="39"/>
      <c r="H336" s="44"/>
      <c r="I336" s="45"/>
      <c r="J336" s="43"/>
      <c r="K336" s="45"/>
      <c r="L336" s="40"/>
      <c r="M336" s="45">
        <f>SUM(AR325:AR339)+SUM(AS325:AS339)+SUM(AT325:AT339)+SUM(AU325:AU339)+SUM(AV325:AV339)</f>
        <v>2504.7199999999998</v>
      </c>
    </row>
    <row r="337" spans="1:83" ht="28.5" x14ac:dyDescent="0.2">
      <c r="A337" s="40"/>
      <c r="B337" s="40"/>
      <c r="C337" s="40" t="s">
        <v>167</v>
      </c>
      <c r="D337" s="40" t="s">
        <v>550</v>
      </c>
      <c r="E337" s="41" t="s">
        <v>384</v>
      </c>
      <c r="F337" s="44">
        <f>Source!BZ79</f>
        <v>97</v>
      </c>
      <c r="G337" s="39"/>
      <c r="H337" s="44">
        <f>Source!AT79</f>
        <v>97</v>
      </c>
      <c r="I337" s="45"/>
      <c r="J337" s="43"/>
      <c r="K337" s="45"/>
      <c r="L337" s="40"/>
      <c r="M337" s="45">
        <f>SUM(AZ325:AZ339)</f>
        <v>2429.58</v>
      </c>
    </row>
    <row r="338" spans="1:83" ht="28.5" x14ac:dyDescent="0.2">
      <c r="A338" s="55"/>
      <c r="B338" s="55"/>
      <c r="C338" s="55" t="s">
        <v>168</v>
      </c>
      <c r="D338" s="55" t="s">
        <v>551</v>
      </c>
      <c r="E338" s="48" t="s">
        <v>384</v>
      </c>
      <c r="F338" s="49">
        <f>Source!CA79</f>
        <v>51</v>
      </c>
      <c r="G338" s="47"/>
      <c r="H338" s="49">
        <f>Source!AU79</f>
        <v>51</v>
      </c>
      <c r="I338" s="56"/>
      <c r="J338" s="57"/>
      <c r="K338" s="56"/>
      <c r="L338" s="55"/>
      <c r="M338" s="56">
        <f>SUM(BA325:BA339)</f>
        <v>1277.4100000000001</v>
      </c>
    </row>
    <row r="339" spans="1:83" ht="15" x14ac:dyDescent="0.2">
      <c r="D339" s="163" t="s">
        <v>476</v>
      </c>
      <c r="E339" s="163"/>
      <c r="F339" s="163"/>
      <c r="G339" s="163"/>
      <c r="H339" s="163"/>
      <c r="I339" s="163"/>
      <c r="J339" s="164">
        <f>L339/F325</f>
        <v>52075.333333333336</v>
      </c>
      <c r="K339" s="164"/>
      <c r="L339" s="164">
        <f>M326+M328+M334+M337+M338+M329</f>
        <v>6249.04</v>
      </c>
      <c r="M339" s="164"/>
      <c r="AD339">
        <f>ROUND((Source!AT79/100)*((ROUND(SUMIF(SmtRes!AQ93:'SmtRes'!AQ98,"=1",SmtRes!AD93:'SmtRes'!AD98)*Source!I79, 2)+ROUND(SUMIF(SmtRes!AQ93:'SmtRes'!AQ98,"=1",SmtRes!AC93:'SmtRes'!AC98)*Source!I79, 2))), 2)</f>
        <v>104.87</v>
      </c>
      <c r="AE339">
        <f>ROUND((Source!AU79/100)*((ROUND(SUMIF(SmtRes!AQ93:'SmtRes'!AQ98,"=1",SmtRes!AD93:'SmtRes'!AD98)*Source!I79, 2)+ROUND(SUMIF(SmtRes!AQ93:'SmtRes'!AQ98,"=1",SmtRes!AC93:'SmtRes'!AC98)*Source!I79, 2))), 2)</f>
        <v>55.14</v>
      </c>
      <c r="AN339" s="52">
        <f>M326+M328+M334+M337+M338+M329</f>
        <v>6249.04</v>
      </c>
      <c r="AO339" s="52">
        <f>M328</f>
        <v>37.330000000000005</v>
      </c>
      <c r="AQ339" t="s">
        <v>477</v>
      </c>
      <c r="AR339" s="52">
        <f>M326</f>
        <v>2492.6999999999998</v>
      </c>
      <c r="AT339" s="52">
        <f>M329</f>
        <v>12.02</v>
      </c>
      <c r="AV339" t="s">
        <v>477</v>
      </c>
      <c r="AW339" s="52">
        <f>M334</f>
        <v>0</v>
      </c>
      <c r="AZ339">
        <f>Source!X79</f>
        <v>2429.58</v>
      </c>
      <c r="BA339">
        <f>Source!Y79</f>
        <v>1277.4100000000001</v>
      </c>
      <c r="CD339">
        <v>2</v>
      </c>
    </row>
    <row r="340" spans="1:83" ht="28.5" x14ac:dyDescent="0.2">
      <c r="A340" s="38" t="s">
        <v>169</v>
      </c>
      <c r="B340" s="40">
        <v>16</v>
      </c>
      <c r="C340" s="40" t="s">
        <v>547</v>
      </c>
      <c r="D340" s="40" t="str">
        <f>Source!G80</f>
        <v>Светильник в подвесных потолках точечных</v>
      </c>
      <c r="E340" s="41" t="str">
        <f>Source!H80</f>
        <v>100 ШТ</v>
      </c>
      <c r="F340" s="44">
        <f>Source!K80</f>
        <v>0.12</v>
      </c>
      <c r="G340" s="39"/>
      <c r="H340" s="44">
        <f>Source!I80</f>
        <v>0.12</v>
      </c>
      <c r="I340" s="45"/>
      <c r="J340" s="43"/>
      <c r="K340" s="45"/>
      <c r="L340" s="40"/>
      <c r="M340" s="45"/>
    </row>
    <row r="341" spans="1:83" ht="15" x14ac:dyDescent="0.2">
      <c r="A341" s="39"/>
      <c r="B341" s="39"/>
      <c r="C341" s="42">
        <v>1</v>
      </c>
      <c r="D341" s="39" t="s">
        <v>470</v>
      </c>
      <c r="E341" s="41" t="s">
        <v>278</v>
      </c>
      <c r="F341" s="44"/>
      <c r="G341" s="42"/>
      <c r="H341" s="44">
        <f>Source!U80</f>
        <v>11.327999999999999</v>
      </c>
      <c r="I341" s="42"/>
      <c r="J341" s="42"/>
      <c r="K341" s="42"/>
      <c r="L341" s="42"/>
      <c r="M341" s="46">
        <f>SUM(M342:M342)-SUMIF(CE342:CE342, 1, M342:M342)</f>
        <v>3115.88</v>
      </c>
    </row>
    <row r="342" spans="1:83" ht="28.5" x14ac:dyDescent="0.2">
      <c r="A342" s="40"/>
      <c r="B342" s="40"/>
      <c r="C342" s="40" t="s">
        <v>373</v>
      </c>
      <c r="D342" s="40" t="s">
        <v>374</v>
      </c>
      <c r="E342" s="41" t="s">
        <v>278</v>
      </c>
      <c r="F342" s="44">
        <v>94.4</v>
      </c>
      <c r="G342" s="39"/>
      <c r="H342" s="44">
        <f>SmtRes!CX99</f>
        <v>11.327999999999999</v>
      </c>
      <c r="I342" s="45"/>
      <c r="J342" s="43"/>
      <c r="K342" s="45">
        <f>SmtRes!CZ99</f>
        <v>275.06</v>
      </c>
      <c r="L342" s="40"/>
      <c r="M342" s="45">
        <f>SmtRes!DI99</f>
        <v>3115.88</v>
      </c>
    </row>
    <row r="343" spans="1:83" ht="15" x14ac:dyDescent="0.2">
      <c r="A343" s="39"/>
      <c r="B343" s="39"/>
      <c r="C343" s="42">
        <v>2</v>
      </c>
      <c r="D343" s="39" t="s">
        <v>480</v>
      </c>
      <c r="E343" s="41"/>
      <c r="F343" s="44"/>
      <c r="G343" s="42"/>
      <c r="H343" s="44"/>
      <c r="I343" s="42"/>
      <c r="J343" s="42"/>
      <c r="K343" s="42"/>
      <c r="L343" s="42"/>
      <c r="M343" s="46">
        <f>SUM(M344:M348)-SUMIF(CE344:CE348, 1, M344:M348)</f>
        <v>46.659999999999989</v>
      </c>
    </row>
    <row r="344" spans="1:83" ht="15" x14ac:dyDescent="0.2">
      <c r="A344" s="39"/>
      <c r="B344" s="39"/>
      <c r="C344" s="42"/>
      <c r="D344" s="39" t="s">
        <v>483</v>
      </c>
      <c r="E344" s="41" t="s">
        <v>278</v>
      </c>
      <c r="F344" s="44"/>
      <c r="G344" s="42"/>
      <c r="H344" s="44">
        <f>Source!V80</f>
        <v>4.8000000000000001E-2</v>
      </c>
      <c r="I344" s="42"/>
      <c r="J344" s="42"/>
      <c r="K344" s="42"/>
      <c r="L344" s="42"/>
      <c r="M344" s="46">
        <f>SUMIF(CE345:CE348, 1, M345:M348)</f>
        <v>15.02</v>
      </c>
      <c r="CE344">
        <v>1</v>
      </c>
    </row>
    <row r="345" spans="1:83" ht="28.5" x14ac:dyDescent="0.2">
      <c r="A345" s="40"/>
      <c r="B345" s="40"/>
      <c r="C345" s="40" t="s">
        <v>375</v>
      </c>
      <c r="D345" s="40" t="s">
        <v>377</v>
      </c>
      <c r="E345" s="41" t="s">
        <v>289</v>
      </c>
      <c r="F345" s="44">
        <v>0.2</v>
      </c>
      <c r="G345" s="39"/>
      <c r="H345" s="44">
        <f>SmtRes!CX101</f>
        <v>2.4E-2</v>
      </c>
      <c r="I345" s="45"/>
      <c r="J345" s="43"/>
      <c r="K345" s="45">
        <f>SmtRes!CZ101</f>
        <v>1403.96</v>
      </c>
      <c r="L345" s="40"/>
      <c r="M345" s="45">
        <f>SmtRes!DG101</f>
        <v>33.700000000000003</v>
      </c>
    </row>
    <row r="346" spans="1:83" ht="28.5" x14ac:dyDescent="0.2">
      <c r="A346" s="40"/>
      <c r="B346" s="40"/>
      <c r="C346" s="40" t="s">
        <v>378</v>
      </c>
      <c r="D346" s="40" t="s">
        <v>549</v>
      </c>
      <c r="E346" s="41" t="s">
        <v>278</v>
      </c>
      <c r="F346" s="44">
        <f>SmtRes!DO101*SmtRes!AT101</f>
        <v>0.2</v>
      </c>
      <c r="G346" s="39"/>
      <c r="H346" s="44">
        <f>SmtRes!DO101*SmtRes!CX101</f>
        <v>2.4E-2</v>
      </c>
      <c r="I346" s="45"/>
      <c r="J346" s="43"/>
      <c r="K346" s="45">
        <f>ROUND(SmtRes!AG101/SmtRes!DO101, 2)</f>
        <v>358.78</v>
      </c>
      <c r="L346" s="40"/>
      <c r="M346" s="45">
        <f>SmtRes!DH101</f>
        <v>8.61</v>
      </c>
      <c r="CE346">
        <v>1</v>
      </c>
    </row>
    <row r="347" spans="1:83" ht="28.5" x14ac:dyDescent="0.2">
      <c r="A347" s="40"/>
      <c r="B347" s="40"/>
      <c r="C347" s="40" t="s">
        <v>291</v>
      </c>
      <c r="D347" s="40" t="s">
        <v>293</v>
      </c>
      <c r="E347" s="41" t="s">
        <v>289</v>
      </c>
      <c r="F347" s="44">
        <v>0.2</v>
      </c>
      <c r="G347" s="39"/>
      <c r="H347" s="44">
        <f>SmtRes!CX102</f>
        <v>2.4E-2</v>
      </c>
      <c r="I347" s="45">
        <f>SmtRes!CZ102</f>
        <v>477.92</v>
      </c>
      <c r="J347" s="43">
        <f>SmtRes!AJ102</f>
        <v>1.1299999999999999</v>
      </c>
      <c r="K347" s="45">
        <f>ROUND(I347*J347, 2)</f>
        <v>540.04999999999995</v>
      </c>
      <c r="L347" s="40"/>
      <c r="M347" s="45">
        <f>SmtRes!DG102</f>
        <v>12.96</v>
      </c>
    </row>
    <row r="348" spans="1:83" ht="28.5" x14ac:dyDescent="0.2">
      <c r="A348" s="40"/>
      <c r="B348" s="40"/>
      <c r="C348" s="40" t="s">
        <v>294</v>
      </c>
      <c r="D348" s="40" t="s">
        <v>482</v>
      </c>
      <c r="E348" s="41" t="s">
        <v>278</v>
      </c>
      <c r="F348" s="44">
        <f>SmtRes!DO102*SmtRes!AT102</f>
        <v>0.2</v>
      </c>
      <c r="G348" s="39"/>
      <c r="H348" s="44">
        <f>SmtRes!DO102*SmtRes!CX102</f>
        <v>2.4E-2</v>
      </c>
      <c r="I348" s="45"/>
      <c r="J348" s="43"/>
      <c r="K348" s="45">
        <f>ROUND(SmtRes!AG102/SmtRes!DO102, 2)</f>
        <v>267.08999999999997</v>
      </c>
      <c r="L348" s="40"/>
      <c r="M348" s="45">
        <f>SmtRes!DH102</f>
        <v>6.41</v>
      </c>
      <c r="CE348">
        <v>1</v>
      </c>
    </row>
    <row r="349" spans="1:83" ht="15" x14ac:dyDescent="0.2">
      <c r="A349" s="39"/>
      <c r="B349" s="39"/>
      <c r="C349" s="42">
        <v>4</v>
      </c>
      <c r="D349" s="39" t="s">
        <v>471</v>
      </c>
      <c r="E349" s="41"/>
      <c r="F349" s="44"/>
      <c r="G349" s="42"/>
      <c r="H349" s="44"/>
      <c r="I349" s="42"/>
      <c r="J349" s="42"/>
      <c r="K349" s="42"/>
      <c r="L349" s="42"/>
      <c r="M349" s="46">
        <f>SUM(M350:M352)-SUMIF(CE350:CE352, 1, M350:M352)</f>
        <v>8029.99</v>
      </c>
    </row>
    <row r="350" spans="1:83" ht="14.25" x14ac:dyDescent="0.2">
      <c r="A350" s="40"/>
      <c r="B350" s="40"/>
      <c r="C350" s="40" t="s">
        <v>379</v>
      </c>
      <c r="D350" s="40" t="s">
        <v>381</v>
      </c>
      <c r="E350" s="41" t="s">
        <v>162</v>
      </c>
      <c r="F350" s="44">
        <v>1.02</v>
      </c>
      <c r="G350" s="39"/>
      <c r="H350" s="44">
        <f>SmtRes!CX103</f>
        <v>0.12239999999999999</v>
      </c>
      <c r="I350" s="45">
        <f>SmtRes!CZ103</f>
        <v>87.93</v>
      </c>
      <c r="J350" s="43">
        <f>SmtRes!AI103</f>
        <v>1.3</v>
      </c>
      <c r="K350" s="45">
        <f>ROUND(I350*J350, 2)</f>
        <v>114.31</v>
      </c>
      <c r="L350" s="40"/>
      <c r="M350" s="45">
        <f>SmtRes!DF103</f>
        <v>13.99</v>
      </c>
    </row>
    <row r="351" spans="1:83" ht="14.25" x14ac:dyDescent="0.2">
      <c r="A351" s="40"/>
      <c r="B351" s="40"/>
      <c r="C351" s="40" t="s">
        <v>326</v>
      </c>
      <c r="D351" s="40" t="s">
        <v>385</v>
      </c>
      <c r="E351" s="41" t="s">
        <v>386</v>
      </c>
      <c r="F351" s="44">
        <v>100</v>
      </c>
      <c r="G351" s="39"/>
      <c r="H351" s="44">
        <f>SmtRes!CX104</f>
        <v>12</v>
      </c>
      <c r="I351" s="45">
        <f>SmtRes!CZ104</f>
        <v>618</v>
      </c>
      <c r="J351" s="43"/>
      <c r="K351" s="45"/>
      <c r="L351" s="40"/>
      <c r="M351" s="45">
        <f>SmtRes!DF104</f>
        <v>7416</v>
      </c>
    </row>
    <row r="352" spans="1:83" ht="14.25" x14ac:dyDescent="0.2">
      <c r="A352" s="40"/>
      <c r="B352" s="40"/>
      <c r="C352" s="40" t="s">
        <v>326</v>
      </c>
      <c r="D352" s="55" t="s">
        <v>387</v>
      </c>
      <c r="E352" s="48" t="s">
        <v>386</v>
      </c>
      <c r="F352" s="49">
        <v>100</v>
      </c>
      <c r="G352" s="47"/>
      <c r="H352" s="49">
        <f>SmtRes!CX105</f>
        <v>12</v>
      </c>
      <c r="I352" s="56">
        <f>SmtRes!CZ105</f>
        <v>50</v>
      </c>
      <c r="J352" s="57"/>
      <c r="K352" s="56"/>
      <c r="L352" s="55"/>
      <c r="M352" s="56">
        <f>SmtRes!DF105</f>
        <v>600</v>
      </c>
    </row>
    <row r="353" spans="1:82" ht="15" x14ac:dyDescent="0.2">
      <c r="A353" s="40"/>
      <c r="B353" s="40"/>
      <c r="C353" s="40"/>
      <c r="D353" s="53" t="s">
        <v>472</v>
      </c>
      <c r="E353" s="41"/>
      <c r="F353" s="44"/>
      <c r="G353" s="39"/>
      <c r="H353" s="44"/>
      <c r="I353" s="45"/>
      <c r="J353" s="43"/>
      <c r="K353" s="45"/>
      <c r="L353" s="40"/>
      <c r="M353" s="45">
        <f>M341+M343+M344+M349</f>
        <v>11207.55</v>
      </c>
    </row>
    <row r="354" spans="1:82" ht="14.25" x14ac:dyDescent="0.2">
      <c r="A354" s="40"/>
      <c r="B354" s="40"/>
      <c r="C354" s="40"/>
      <c r="D354" s="40" t="s">
        <v>473</v>
      </c>
      <c r="E354" s="41"/>
      <c r="F354" s="44"/>
      <c r="G354" s="39"/>
      <c r="H354" s="44"/>
      <c r="I354" s="45"/>
      <c r="J354" s="43"/>
      <c r="K354" s="45"/>
      <c r="L354" s="40"/>
      <c r="M354" s="45">
        <f>SUM(AR340:AR357)+SUM(AS340:AS357)+SUM(AT340:AT357)+SUM(AU340:AU357)+SUM(AV340:AV357)</f>
        <v>3130.9</v>
      </c>
    </row>
    <row r="355" spans="1:82" ht="28.5" x14ac:dyDescent="0.2">
      <c r="A355" s="40"/>
      <c r="B355" s="40"/>
      <c r="C355" s="40" t="s">
        <v>167</v>
      </c>
      <c r="D355" s="40" t="s">
        <v>550</v>
      </c>
      <c r="E355" s="41" t="s">
        <v>384</v>
      </c>
      <c r="F355" s="44">
        <f>Source!BZ80</f>
        <v>97</v>
      </c>
      <c r="G355" s="39"/>
      <c r="H355" s="44">
        <f>Source!AT80</f>
        <v>97</v>
      </c>
      <c r="I355" s="45"/>
      <c r="J355" s="43"/>
      <c r="K355" s="45"/>
      <c r="L355" s="40"/>
      <c r="M355" s="45">
        <f>SUM(AZ340:AZ357)</f>
        <v>3036.97</v>
      </c>
    </row>
    <row r="356" spans="1:82" ht="28.5" x14ac:dyDescent="0.2">
      <c r="A356" s="55"/>
      <c r="B356" s="55"/>
      <c r="C356" s="55" t="s">
        <v>168</v>
      </c>
      <c r="D356" s="55" t="s">
        <v>551</v>
      </c>
      <c r="E356" s="48" t="s">
        <v>384</v>
      </c>
      <c r="F356" s="49">
        <f>Source!CA80</f>
        <v>51</v>
      </c>
      <c r="G356" s="47"/>
      <c r="H356" s="49">
        <f>Source!AU80</f>
        <v>51</v>
      </c>
      <c r="I356" s="56"/>
      <c r="J356" s="57"/>
      <c r="K356" s="56"/>
      <c r="L356" s="55"/>
      <c r="M356" s="56">
        <f>SUM(BA340:BA357)</f>
        <v>1596.76</v>
      </c>
    </row>
    <row r="357" spans="1:82" ht="15" x14ac:dyDescent="0.2">
      <c r="D357" s="163" t="s">
        <v>476</v>
      </c>
      <c r="E357" s="163"/>
      <c r="F357" s="163"/>
      <c r="G357" s="163"/>
      <c r="H357" s="163"/>
      <c r="I357" s="163"/>
      <c r="J357" s="164">
        <f>L357/F340</f>
        <v>132010.66666666666</v>
      </c>
      <c r="K357" s="164"/>
      <c r="L357" s="164">
        <f>M341+M343+M349+M355+M356+M344</f>
        <v>15841.279999999999</v>
      </c>
      <c r="M357" s="164"/>
      <c r="AD357">
        <f>ROUND((Source!AT80/100)*((ROUND(SUMIF(SmtRes!AQ99:'SmtRes'!AQ105,"=1",SmtRes!AD99:'SmtRes'!AD105)*Source!I80, 2)+ROUND(SUMIF(SmtRes!AQ99:'SmtRes'!AQ105,"=1",SmtRes!AC99:'SmtRes'!AC105)*Source!I80, 2))), 2)</f>
        <v>104.87</v>
      </c>
      <c r="AE357">
        <f>ROUND((Source!AU80/100)*((ROUND(SUMIF(SmtRes!AQ99:'SmtRes'!AQ105,"=1",SmtRes!AD99:'SmtRes'!AD105)*Source!I80, 2)+ROUND(SUMIF(SmtRes!AQ99:'SmtRes'!AQ105,"=1",SmtRes!AC99:'SmtRes'!AC105)*Source!I80, 2))), 2)</f>
        <v>55.14</v>
      </c>
      <c r="AN357" s="52">
        <f>M341+M343+M349+M355+M356+M344</f>
        <v>15841.279999999999</v>
      </c>
      <c r="AO357" s="52">
        <f>M343</f>
        <v>46.659999999999989</v>
      </c>
      <c r="AQ357" t="s">
        <v>477</v>
      </c>
      <c r="AR357" s="52">
        <f>M341</f>
        <v>3115.88</v>
      </c>
      <c r="AT357" s="52">
        <f>M344</f>
        <v>15.02</v>
      </c>
      <c r="AV357" t="s">
        <v>477</v>
      </c>
      <c r="AW357" s="52">
        <f>M349</f>
        <v>8029.99</v>
      </c>
      <c r="AZ357">
        <f>Source!X80</f>
        <v>3036.97</v>
      </c>
      <c r="BA357">
        <f>Source!Y80</f>
        <v>1596.76</v>
      </c>
      <c r="CD357">
        <v>2</v>
      </c>
    </row>
    <row r="359" spans="1:82" ht="15" x14ac:dyDescent="0.2">
      <c r="A359" s="59"/>
      <c r="B359" s="59"/>
      <c r="C359" s="60"/>
      <c r="D359" s="166" t="s">
        <v>520</v>
      </c>
      <c r="E359" s="166"/>
      <c r="F359" s="166"/>
      <c r="G359" s="166"/>
      <c r="H359" s="166"/>
      <c r="I359" s="166"/>
      <c r="J359" s="46"/>
      <c r="K359" s="59"/>
      <c r="L359" s="61"/>
      <c r="M359" s="46">
        <f>M361+M362+M368+M372</f>
        <v>13749.599999999999</v>
      </c>
    </row>
    <row r="360" spans="1:82" ht="14.25" x14ac:dyDescent="0.2">
      <c r="A360" s="54"/>
      <c r="B360" s="54"/>
      <c r="C360" s="58"/>
      <c r="D360" s="167" t="s">
        <v>521</v>
      </c>
      <c r="E360" s="168"/>
      <c r="F360" s="168"/>
      <c r="G360" s="168"/>
      <c r="H360" s="168"/>
      <c r="I360" s="168"/>
      <c r="J360" s="45"/>
      <c r="K360" s="54"/>
      <c r="L360" s="42"/>
      <c r="M360" s="45"/>
    </row>
    <row r="361" spans="1:82" ht="14.25" x14ac:dyDescent="0.2">
      <c r="A361" s="54"/>
      <c r="B361" s="54"/>
      <c r="C361" s="58"/>
      <c r="D361" s="168" t="s">
        <v>522</v>
      </c>
      <c r="E361" s="168"/>
      <c r="F361" s="168"/>
      <c r="G361" s="168"/>
      <c r="H361" s="168"/>
      <c r="I361" s="168"/>
      <c r="J361" s="45"/>
      <c r="K361" s="54"/>
      <c r="L361" s="42"/>
      <c r="M361" s="45">
        <f>SUM(AR324:AR357)</f>
        <v>5608.58</v>
      </c>
    </row>
    <row r="362" spans="1:82" ht="14.25" hidden="1" x14ac:dyDescent="0.2">
      <c r="A362" s="54"/>
      <c r="B362" s="54"/>
      <c r="C362" s="58"/>
      <c r="D362" s="168" t="s">
        <v>523</v>
      </c>
      <c r="E362" s="168"/>
      <c r="F362" s="168"/>
      <c r="G362" s="168"/>
      <c r="H362" s="168"/>
      <c r="I362" s="168"/>
      <c r="J362" s="45"/>
      <c r="K362" s="54"/>
      <c r="L362" s="42"/>
      <c r="M362" s="45">
        <f>M364+M367+M366</f>
        <v>111.03</v>
      </c>
    </row>
    <row r="363" spans="1:82" ht="14.25" hidden="1" x14ac:dyDescent="0.2">
      <c r="A363" s="54"/>
      <c r="B363" s="54"/>
      <c r="C363" s="58"/>
      <c r="D363" s="167" t="s">
        <v>524</v>
      </c>
      <c r="E363" s="168"/>
      <c r="F363" s="168"/>
      <c r="G363" s="168"/>
      <c r="H363" s="168"/>
      <c r="I363" s="168"/>
      <c r="J363" s="45"/>
      <c r="K363" s="54"/>
      <c r="L363" s="42"/>
      <c r="M363" s="45"/>
    </row>
    <row r="364" spans="1:82" ht="14.25" x14ac:dyDescent="0.2">
      <c r="A364" s="54"/>
      <c r="B364" s="54"/>
      <c r="C364" s="58"/>
      <c r="D364" s="168" t="s">
        <v>523</v>
      </c>
      <c r="E364" s="168"/>
      <c r="F364" s="168"/>
      <c r="G364" s="168"/>
      <c r="H364" s="168"/>
      <c r="I364" s="168"/>
      <c r="J364" s="45"/>
      <c r="K364" s="54"/>
      <c r="L364" s="42"/>
      <c r="M364" s="45">
        <f>SUM(AO324:AO357)</f>
        <v>83.99</v>
      </c>
    </row>
    <row r="365" spans="1:82" ht="14.25" hidden="1" x14ac:dyDescent="0.2">
      <c r="A365" s="54"/>
      <c r="B365" s="54"/>
      <c r="C365" s="58"/>
      <c r="D365" s="167" t="s">
        <v>525</v>
      </c>
      <c r="E365" s="168"/>
      <c r="F365" s="168"/>
      <c r="G365" s="168"/>
      <c r="H365" s="168"/>
      <c r="I365" s="168"/>
      <c r="J365" s="45"/>
      <c r="K365" s="54"/>
      <c r="L365" s="42"/>
      <c r="M365" s="45"/>
    </row>
    <row r="366" spans="1:82" ht="14.25" x14ac:dyDescent="0.2">
      <c r="A366" s="54"/>
      <c r="B366" s="54"/>
      <c r="C366" s="58"/>
      <c r="D366" s="168" t="s">
        <v>545</v>
      </c>
      <c r="E366" s="168"/>
      <c r="F366" s="168"/>
      <c r="G366" s="168"/>
      <c r="H366" s="168"/>
      <c r="I366" s="168"/>
      <c r="J366" s="45"/>
      <c r="K366" s="54"/>
      <c r="L366" s="42"/>
      <c r="M366" s="45">
        <f>SUM(AT324:AT357)</f>
        <v>27.04</v>
      </c>
    </row>
    <row r="367" spans="1:82" ht="14.25" hidden="1" x14ac:dyDescent="0.2">
      <c r="A367" s="54"/>
      <c r="B367" s="54"/>
      <c r="C367" s="58"/>
      <c r="D367" s="168" t="s">
        <v>526</v>
      </c>
      <c r="E367" s="168"/>
      <c r="F367" s="168"/>
      <c r="G367" s="168"/>
      <c r="H367" s="168"/>
      <c r="I367" s="168"/>
      <c r="J367" s="45"/>
      <c r="K367" s="54"/>
      <c r="L367" s="42"/>
      <c r="M367" s="45">
        <f>SUM(AV324:AV357)</f>
        <v>0</v>
      </c>
    </row>
    <row r="368" spans="1:82" ht="14.25" x14ac:dyDescent="0.2">
      <c r="A368" s="54"/>
      <c r="B368" s="54"/>
      <c r="C368" s="58"/>
      <c r="D368" s="168" t="s">
        <v>527</v>
      </c>
      <c r="E368" s="168"/>
      <c r="F368" s="168"/>
      <c r="G368" s="168"/>
      <c r="H368" s="168"/>
      <c r="I368" s="168"/>
      <c r="J368" s="45"/>
      <c r="K368" s="54"/>
      <c r="L368" s="42"/>
      <c r="M368" s="45">
        <f>M370+M371</f>
        <v>8029.99</v>
      </c>
    </row>
    <row r="369" spans="1:13" ht="14.25" x14ac:dyDescent="0.2">
      <c r="A369" s="54"/>
      <c r="B369" s="54"/>
      <c r="C369" s="58"/>
      <c r="D369" s="167" t="s">
        <v>524</v>
      </c>
      <c r="E369" s="168"/>
      <c r="F369" s="168"/>
      <c r="G369" s="168"/>
      <c r="H369" s="168"/>
      <c r="I369" s="168"/>
      <c r="J369" s="45"/>
      <c r="K369" s="54"/>
      <c r="L369" s="42"/>
      <c r="M369" s="45"/>
    </row>
    <row r="370" spans="1:13" ht="14.25" x14ac:dyDescent="0.2">
      <c r="A370" s="54"/>
      <c r="B370" s="54"/>
      <c r="C370" s="58"/>
      <c r="D370" s="168" t="s">
        <v>528</v>
      </c>
      <c r="E370" s="168"/>
      <c r="F370" s="168"/>
      <c r="G370" s="168"/>
      <c r="H370" s="168"/>
      <c r="I370" s="168"/>
      <c r="J370" s="45"/>
      <c r="K370" s="54"/>
      <c r="L370" s="42"/>
      <c r="M370" s="45">
        <f>SUM(AW324:AW357)-SUM(BK324:BK357)</f>
        <v>8029.99</v>
      </c>
    </row>
    <row r="371" spans="1:13" ht="14.25" hidden="1" x14ac:dyDescent="0.2">
      <c r="A371" s="54"/>
      <c r="B371" s="54"/>
      <c r="C371" s="58"/>
      <c r="D371" s="168" t="s">
        <v>529</v>
      </c>
      <c r="E371" s="168"/>
      <c r="F371" s="168"/>
      <c r="G371" s="168"/>
      <c r="H371" s="168"/>
      <c r="I371" s="168"/>
      <c r="J371" s="45"/>
      <c r="K371" s="54"/>
      <c r="L371" s="42"/>
      <c r="M371" s="45">
        <f>SUM(BC324:BC357)</f>
        <v>0</v>
      </c>
    </row>
    <row r="372" spans="1:13" ht="14.25" hidden="1" x14ac:dyDescent="0.2">
      <c r="A372" s="54"/>
      <c r="B372" s="54"/>
      <c r="C372" s="58"/>
      <c r="D372" s="168" t="s">
        <v>530</v>
      </c>
      <c r="E372" s="168"/>
      <c r="F372" s="168"/>
      <c r="G372" s="168"/>
      <c r="H372" s="168"/>
      <c r="I372" s="168"/>
      <c r="J372" s="45"/>
      <c r="K372" s="54"/>
      <c r="L372" s="42"/>
      <c r="M372" s="45">
        <f>SUM(BB324:BB357)</f>
        <v>0</v>
      </c>
    </row>
    <row r="373" spans="1:13" ht="14.25" x14ac:dyDescent="0.2">
      <c r="A373" s="54"/>
      <c r="B373" s="54"/>
      <c r="C373" s="58"/>
      <c r="D373" s="168" t="s">
        <v>531</v>
      </c>
      <c r="E373" s="168"/>
      <c r="F373" s="168"/>
      <c r="G373" s="168"/>
      <c r="H373" s="168"/>
      <c r="I373" s="168"/>
      <c r="J373" s="45"/>
      <c r="K373" s="54"/>
      <c r="L373" s="42"/>
      <c r="M373" s="45">
        <f>SUM(AR324:AR357)+SUM(AT324:AT357)+SUM(AV324:AV357)</f>
        <v>5635.62</v>
      </c>
    </row>
    <row r="374" spans="1:13" ht="14.25" x14ac:dyDescent="0.2">
      <c r="A374" s="54"/>
      <c r="B374" s="54"/>
      <c r="C374" s="58"/>
      <c r="D374" s="168" t="s">
        <v>532</v>
      </c>
      <c r="E374" s="168"/>
      <c r="F374" s="168"/>
      <c r="G374" s="168"/>
      <c r="H374" s="168"/>
      <c r="I374" s="168"/>
      <c r="J374" s="45"/>
      <c r="K374" s="54"/>
      <c r="L374" s="42"/>
      <c r="M374" s="45">
        <f>SUM(AZ324:AZ357)</f>
        <v>5466.5499999999993</v>
      </c>
    </row>
    <row r="375" spans="1:13" ht="14.25" x14ac:dyDescent="0.2">
      <c r="A375" s="54"/>
      <c r="B375" s="54"/>
      <c r="C375" s="58"/>
      <c r="D375" s="168" t="s">
        <v>533</v>
      </c>
      <c r="E375" s="168"/>
      <c r="F375" s="168"/>
      <c r="G375" s="168"/>
      <c r="H375" s="168"/>
      <c r="I375" s="168"/>
      <c r="J375" s="45"/>
      <c r="K375" s="54"/>
      <c r="L375" s="42"/>
      <c r="M375" s="45">
        <f>SUM(BA324:BA357)</f>
        <v>2874.17</v>
      </c>
    </row>
    <row r="376" spans="1:13" ht="14.25" hidden="1" x14ac:dyDescent="0.2">
      <c r="A376" s="54"/>
      <c r="B376" s="54"/>
      <c r="C376" s="58"/>
      <c r="D376" s="168" t="s">
        <v>534</v>
      </c>
      <c r="E376" s="168"/>
      <c r="F376" s="168"/>
      <c r="G376" s="168"/>
      <c r="H376" s="168"/>
      <c r="I376" s="168"/>
      <c r="J376" s="45"/>
      <c r="K376" s="54"/>
      <c r="L376" s="42"/>
      <c r="M376" s="45">
        <f>M378+M379</f>
        <v>0</v>
      </c>
    </row>
    <row r="377" spans="1:13" ht="14.25" hidden="1" x14ac:dyDescent="0.2">
      <c r="A377" s="54"/>
      <c r="B377" s="54"/>
      <c r="C377" s="58"/>
      <c r="D377" s="167" t="s">
        <v>521</v>
      </c>
      <c r="E377" s="168"/>
      <c r="F377" s="168"/>
      <c r="G377" s="168"/>
      <c r="H377" s="168"/>
      <c r="I377" s="168"/>
      <c r="J377" s="45"/>
      <c r="K377" s="54"/>
      <c r="L377" s="42"/>
      <c r="M377" s="45"/>
    </row>
    <row r="378" spans="1:13" ht="14.25" hidden="1" x14ac:dyDescent="0.2">
      <c r="A378" s="54"/>
      <c r="B378" s="54"/>
      <c r="C378" s="58"/>
      <c r="D378" s="168" t="s">
        <v>535</v>
      </c>
      <c r="E378" s="168"/>
      <c r="F378" s="168"/>
      <c r="G378" s="168"/>
      <c r="H378" s="168"/>
      <c r="I378" s="168"/>
      <c r="J378" s="45"/>
      <c r="K378" s="54"/>
      <c r="L378" s="42"/>
      <c r="M378" s="45">
        <f>SUM(BK324:BK357)</f>
        <v>0</v>
      </c>
    </row>
    <row r="379" spans="1:13" ht="14.25" hidden="1" x14ac:dyDescent="0.2">
      <c r="A379" s="54"/>
      <c r="B379" s="54"/>
      <c r="C379" s="58"/>
      <c r="D379" s="168" t="s">
        <v>536</v>
      </c>
      <c r="E379" s="168"/>
      <c r="F379" s="168"/>
      <c r="G379" s="168"/>
      <c r="H379" s="168"/>
      <c r="I379" s="168"/>
      <c r="J379" s="45"/>
      <c r="K379" s="54"/>
      <c r="L379" s="42"/>
      <c r="M379" s="45">
        <f>SUM(BD324:BD357)</f>
        <v>0</v>
      </c>
    </row>
    <row r="380" spans="1:13" ht="14.25" hidden="1" x14ac:dyDescent="0.2">
      <c r="A380" s="54"/>
      <c r="B380" s="54"/>
      <c r="C380" s="58"/>
      <c r="D380" s="168" t="s">
        <v>537</v>
      </c>
      <c r="E380" s="168"/>
      <c r="F380" s="168"/>
      <c r="G380" s="168"/>
      <c r="H380" s="168"/>
      <c r="I380" s="168"/>
      <c r="J380" s="45"/>
      <c r="K380" s="54"/>
      <c r="L380" s="42"/>
      <c r="M380" s="45"/>
    </row>
    <row r="381" spans="1:13" ht="14.25" hidden="1" x14ac:dyDescent="0.2">
      <c r="A381" s="54"/>
      <c r="B381" s="54"/>
      <c r="C381" s="58"/>
      <c r="D381" s="168" t="s">
        <v>538</v>
      </c>
      <c r="E381" s="168"/>
      <c r="F381" s="168"/>
      <c r="G381" s="168"/>
      <c r="H381" s="168"/>
      <c r="I381" s="168"/>
      <c r="J381" s="45"/>
      <c r="K381" s="54"/>
      <c r="L381" s="42"/>
      <c r="M381" s="45">
        <f>SUM(BO324:BO357)</f>
        <v>0</v>
      </c>
    </row>
    <row r="382" spans="1:13" ht="15" x14ac:dyDescent="0.2">
      <c r="A382" s="59"/>
      <c r="B382" s="59"/>
      <c r="C382" s="60"/>
      <c r="D382" s="166" t="s">
        <v>539</v>
      </c>
      <c r="E382" s="166"/>
      <c r="F382" s="166"/>
      <c r="G382" s="166"/>
      <c r="H382" s="166"/>
      <c r="I382" s="166"/>
      <c r="J382" s="46"/>
      <c r="K382" s="59"/>
      <c r="L382" s="61"/>
      <c r="M382" s="46">
        <f>M359+M374+M375+M376+M380+M381</f>
        <v>22090.32</v>
      </c>
    </row>
    <row r="383" spans="1:13" ht="14.25" x14ac:dyDescent="0.2">
      <c r="A383" s="54"/>
      <c r="B383" s="54"/>
      <c r="C383" s="58"/>
      <c r="D383" s="167" t="s">
        <v>540</v>
      </c>
      <c r="E383" s="168"/>
      <c r="F383" s="168"/>
      <c r="G383" s="168"/>
      <c r="H383" s="168"/>
      <c r="I383" s="168"/>
      <c r="J383" s="45"/>
      <c r="K383" s="54"/>
      <c r="L383" s="42"/>
      <c r="M383" s="45"/>
    </row>
    <row r="384" spans="1:13" ht="14.25" hidden="1" x14ac:dyDescent="0.2">
      <c r="A384" s="54"/>
      <c r="B384" s="54"/>
      <c r="C384" s="58"/>
      <c r="D384" s="168" t="s">
        <v>541</v>
      </c>
      <c r="E384" s="168"/>
      <c r="F384" s="168"/>
      <c r="G384" s="168"/>
      <c r="H384" s="168"/>
      <c r="I384" s="168"/>
      <c r="J384" s="45"/>
      <c r="K384" s="54"/>
      <c r="L384" s="42"/>
      <c r="M384" s="45">
        <f>SUM(AX324:AX357)</f>
        <v>0</v>
      </c>
    </row>
    <row r="385" spans="1:83" ht="14.25" hidden="1" x14ac:dyDescent="0.2">
      <c r="A385" s="54"/>
      <c r="B385" s="54"/>
      <c r="C385" s="58"/>
      <c r="D385" s="168" t="s">
        <v>542</v>
      </c>
      <c r="E385" s="168"/>
      <c r="F385" s="168"/>
      <c r="G385" s="168"/>
      <c r="H385" s="168"/>
      <c r="I385" s="168"/>
      <c r="J385" s="45"/>
      <c r="K385" s="54"/>
      <c r="L385" s="42"/>
      <c r="M385" s="45">
        <f>SUM(AY324:AY357)</f>
        <v>0</v>
      </c>
    </row>
    <row r="386" spans="1:83" ht="14.25" x14ac:dyDescent="0.2">
      <c r="A386" s="54"/>
      <c r="B386" s="54"/>
      <c r="C386" s="58"/>
      <c r="D386" s="168" t="s">
        <v>543</v>
      </c>
      <c r="E386" s="168"/>
      <c r="F386" s="168"/>
      <c r="G386" s="169"/>
      <c r="H386" s="44">
        <f>Source!F104</f>
        <v>20.3904</v>
      </c>
      <c r="I386" s="54"/>
      <c r="J386" s="54"/>
      <c r="K386" s="54"/>
      <c r="L386" s="54"/>
      <c r="M386" s="54"/>
    </row>
    <row r="387" spans="1:83" ht="14.25" x14ac:dyDescent="0.2">
      <c r="A387" s="54"/>
      <c r="B387" s="54"/>
      <c r="C387" s="58"/>
      <c r="D387" s="168" t="s">
        <v>544</v>
      </c>
      <c r="E387" s="168"/>
      <c r="F387" s="168"/>
      <c r="G387" s="169"/>
      <c r="H387" s="44">
        <f>Source!F105</f>
        <v>8.6400000000000005E-2</v>
      </c>
      <c r="I387" s="54"/>
      <c r="J387" s="54"/>
      <c r="K387" s="54"/>
      <c r="L387" s="54"/>
      <c r="M387" s="54"/>
    </row>
    <row r="390" spans="1:83" ht="16.5" x14ac:dyDescent="0.2">
      <c r="A390" s="165" t="s">
        <v>552</v>
      </c>
      <c r="B390" s="165"/>
      <c r="C390" s="165"/>
      <c r="D390" s="165"/>
      <c r="E390" s="165"/>
      <c r="F390" s="165"/>
      <c r="G390" s="165"/>
      <c r="H390" s="165"/>
      <c r="I390" s="165"/>
      <c r="J390" s="165"/>
      <c r="K390" s="165"/>
      <c r="L390" s="165"/>
      <c r="M390" s="165"/>
    </row>
    <row r="391" spans="1:83" ht="42.75" x14ac:dyDescent="0.2">
      <c r="A391" s="38" t="s">
        <v>159</v>
      </c>
      <c r="B391" s="40">
        <v>1</v>
      </c>
      <c r="C391" s="40" t="s">
        <v>553</v>
      </c>
      <c r="D391" s="40" t="str">
        <f>Source!G116</f>
        <v>Улучшенная масляная окраска ранее окрашенных дверей: за два раза с расчисткой старой краски более 35%</v>
      </c>
      <c r="E391" s="41" t="str">
        <f>Source!H116</f>
        <v>100 м2</v>
      </c>
      <c r="F391" s="44">
        <f>Source!K116</f>
        <v>5.04E-2</v>
      </c>
      <c r="G391" s="39"/>
      <c r="H391" s="44">
        <f>Source!I116</f>
        <v>5.04E-2</v>
      </c>
      <c r="I391" s="45"/>
      <c r="J391" s="43"/>
      <c r="K391" s="45"/>
      <c r="L391" s="40"/>
      <c r="M391" s="45"/>
    </row>
    <row r="392" spans="1:83" ht="15" x14ac:dyDescent="0.2">
      <c r="A392" s="39"/>
      <c r="B392" s="39"/>
      <c r="C392" s="42">
        <v>1</v>
      </c>
      <c r="D392" s="39" t="s">
        <v>470</v>
      </c>
      <c r="E392" s="41" t="s">
        <v>278</v>
      </c>
      <c r="F392" s="44"/>
      <c r="G392" s="42"/>
      <c r="H392" s="44">
        <f>Source!U116</f>
        <v>4.8263040000000004</v>
      </c>
      <c r="I392" s="42"/>
      <c r="J392" s="42"/>
      <c r="K392" s="42"/>
      <c r="L392" s="42"/>
      <c r="M392" s="46">
        <f>SUM(M393:M393)-SUMIF(CE393:CE393, 1, M393:M393)</f>
        <v>1159.18</v>
      </c>
    </row>
    <row r="393" spans="1:83" ht="28.5" x14ac:dyDescent="0.2">
      <c r="A393" s="40"/>
      <c r="B393" s="40"/>
      <c r="C393" s="40" t="s">
        <v>362</v>
      </c>
      <c r="D393" s="40" t="s">
        <v>363</v>
      </c>
      <c r="E393" s="41" t="s">
        <v>278</v>
      </c>
      <c r="F393" s="44">
        <v>95.76</v>
      </c>
      <c r="G393" s="39"/>
      <c r="H393" s="44">
        <f>SmtRes!CX106</f>
        <v>4.8263040000000004</v>
      </c>
      <c r="I393" s="45"/>
      <c r="J393" s="43"/>
      <c r="K393" s="45">
        <f>SmtRes!CZ106</f>
        <v>240.18</v>
      </c>
      <c r="L393" s="40"/>
      <c r="M393" s="45">
        <f>SmtRes!DI106</f>
        <v>1159.18</v>
      </c>
    </row>
    <row r="394" spans="1:83" ht="15" x14ac:dyDescent="0.2">
      <c r="A394" s="39"/>
      <c r="B394" s="39"/>
      <c r="C394" s="42">
        <v>2</v>
      </c>
      <c r="D394" s="39" t="s">
        <v>480</v>
      </c>
      <c r="E394" s="41"/>
      <c r="F394" s="44"/>
      <c r="G394" s="42"/>
      <c r="H394" s="44"/>
      <c r="I394" s="42"/>
      <c r="J394" s="42"/>
      <c r="K394" s="42"/>
      <c r="L394" s="42"/>
      <c r="M394" s="46">
        <f>SUM(M395:M399)-SUMIF(CE395:CE399, 1, M395:M399)</f>
        <v>1.8800000000000008</v>
      </c>
    </row>
    <row r="395" spans="1:83" ht="15" x14ac:dyDescent="0.2">
      <c r="A395" s="39"/>
      <c r="B395" s="39"/>
      <c r="C395" s="42"/>
      <c r="D395" s="39" t="s">
        <v>483</v>
      </c>
      <c r="E395" s="41" t="s">
        <v>278</v>
      </c>
      <c r="F395" s="44"/>
      <c r="G395" s="42"/>
      <c r="H395" s="44">
        <f>Source!V116</f>
        <v>8.064E-3</v>
      </c>
      <c r="I395" s="42"/>
      <c r="J395" s="42"/>
      <c r="K395" s="42"/>
      <c r="L395" s="42"/>
      <c r="M395" s="46">
        <f>SUMIF(CE396:CE399, 1, M396:M399)</f>
        <v>2.0099999999999998</v>
      </c>
      <c r="CE395">
        <v>1</v>
      </c>
    </row>
    <row r="396" spans="1:83" ht="42.75" x14ac:dyDescent="0.2">
      <c r="A396" s="40"/>
      <c r="B396" s="40"/>
      <c r="C396" s="40" t="s">
        <v>286</v>
      </c>
      <c r="D396" s="40" t="s">
        <v>288</v>
      </c>
      <c r="E396" s="41" t="s">
        <v>289</v>
      </c>
      <c r="F396" s="44">
        <v>0.1</v>
      </c>
      <c r="G396" s="39"/>
      <c r="H396" s="44">
        <f>SmtRes!CX108</f>
        <v>5.0400000000000002E-3</v>
      </c>
      <c r="I396" s="45">
        <f>SmtRes!CZ108</f>
        <v>37.32</v>
      </c>
      <c r="J396" s="43">
        <f>SmtRes!AJ108</f>
        <v>1.31</v>
      </c>
      <c r="K396" s="45">
        <f>ROUND(I396*J396, 2)</f>
        <v>48.89</v>
      </c>
      <c r="L396" s="40"/>
      <c r="M396" s="45">
        <f>SmtRes!DG108</f>
        <v>0.25</v>
      </c>
    </row>
    <row r="397" spans="1:83" ht="28.5" x14ac:dyDescent="0.2">
      <c r="A397" s="40"/>
      <c r="B397" s="40"/>
      <c r="C397" s="40" t="s">
        <v>290</v>
      </c>
      <c r="D397" s="40" t="s">
        <v>481</v>
      </c>
      <c r="E397" s="41" t="s">
        <v>278</v>
      </c>
      <c r="F397" s="44">
        <f>SmtRes!DO108*SmtRes!AT108</f>
        <v>0.1</v>
      </c>
      <c r="G397" s="39"/>
      <c r="H397" s="44">
        <f>SmtRes!DO108*SmtRes!CX108</f>
        <v>5.0400000000000002E-3</v>
      </c>
      <c r="I397" s="45"/>
      <c r="J397" s="43"/>
      <c r="K397" s="45">
        <f>ROUND(SmtRes!AG108/SmtRes!DO108, 2)</f>
        <v>237.19</v>
      </c>
      <c r="L397" s="40"/>
      <c r="M397" s="45">
        <f>SmtRes!DH108</f>
        <v>1.2</v>
      </c>
      <c r="CE397">
        <v>1</v>
      </c>
    </row>
    <row r="398" spans="1:83" ht="28.5" x14ac:dyDescent="0.2">
      <c r="A398" s="40"/>
      <c r="B398" s="40"/>
      <c r="C398" s="40" t="s">
        <v>291</v>
      </c>
      <c r="D398" s="40" t="s">
        <v>293</v>
      </c>
      <c r="E398" s="41" t="s">
        <v>289</v>
      </c>
      <c r="F398" s="44">
        <v>0.06</v>
      </c>
      <c r="G398" s="39"/>
      <c r="H398" s="44">
        <f>SmtRes!CX109</f>
        <v>3.0240000000000002E-3</v>
      </c>
      <c r="I398" s="45">
        <f>SmtRes!CZ109</f>
        <v>477.92</v>
      </c>
      <c r="J398" s="43">
        <f>SmtRes!AJ109</f>
        <v>1.1299999999999999</v>
      </c>
      <c r="K398" s="45">
        <f>ROUND(I398*J398, 2)</f>
        <v>540.04999999999995</v>
      </c>
      <c r="L398" s="40"/>
      <c r="M398" s="45">
        <f>SmtRes!DG109</f>
        <v>1.63</v>
      </c>
    </row>
    <row r="399" spans="1:83" ht="28.5" x14ac:dyDescent="0.2">
      <c r="A399" s="40"/>
      <c r="B399" s="40"/>
      <c r="C399" s="40" t="s">
        <v>294</v>
      </c>
      <c r="D399" s="40" t="s">
        <v>482</v>
      </c>
      <c r="E399" s="41" t="s">
        <v>278</v>
      </c>
      <c r="F399" s="44">
        <f>SmtRes!DO109*SmtRes!AT109</f>
        <v>0.06</v>
      </c>
      <c r="G399" s="39"/>
      <c r="H399" s="44">
        <f>SmtRes!DO109*SmtRes!CX109</f>
        <v>3.0240000000000002E-3</v>
      </c>
      <c r="I399" s="45"/>
      <c r="J399" s="43"/>
      <c r="K399" s="45">
        <f>ROUND(SmtRes!AG109/SmtRes!DO109, 2)</f>
        <v>267.08999999999997</v>
      </c>
      <c r="L399" s="40"/>
      <c r="M399" s="45">
        <f>SmtRes!DH109</f>
        <v>0.81</v>
      </c>
      <c r="CE399">
        <v>1</v>
      </c>
    </row>
    <row r="400" spans="1:83" ht="15" x14ac:dyDescent="0.2">
      <c r="A400" s="39"/>
      <c r="B400" s="39"/>
      <c r="C400" s="42">
        <v>4</v>
      </c>
      <c r="D400" s="39" t="s">
        <v>471</v>
      </c>
      <c r="E400" s="41"/>
      <c r="F400" s="44"/>
      <c r="G400" s="42"/>
      <c r="H400" s="44"/>
      <c r="I400" s="42"/>
      <c r="J400" s="42"/>
      <c r="K400" s="42"/>
      <c r="L400" s="42"/>
      <c r="M400" s="46">
        <f>SUM(M401:M406)-SUMIF(CE401:CE406, 1, M401:M406)</f>
        <v>736.59</v>
      </c>
    </row>
    <row r="401" spans="1:82" ht="14.25" x14ac:dyDescent="0.2">
      <c r="A401" s="40"/>
      <c r="B401" s="40"/>
      <c r="C401" s="40" t="s">
        <v>388</v>
      </c>
      <c r="D401" s="40" t="s">
        <v>390</v>
      </c>
      <c r="E401" s="41" t="s">
        <v>336</v>
      </c>
      <c r="F401" s="44">
        <v>1.44</v>
      </c>
      <c r="G401" s="39"/>
      <c r="H401" s="44">
        <f>SmtRes!CX110</f>
        <v>7.2576000000000002E-2</v>
      </c>
      <c r="I401" s="45">
        <f>SmtRes!CZ110</f>
        <v>2507.62</v>
      </c>
      <c r="J401" s="43">
        <f>SmtRes!AI110</f>
        <v>1.02</v>
      </c>
      <c r="K401" s="45">
        <f>ROUND(I401*J401, 2)</f>
        <v>2557.77</v>
      </c>
      <c r="L401" s="40"/>
      <c r="M401" s="45">
        <f>SmtRes!DF110</f>
        <v>185.63</v>
      </c>
    </row>
    <row r="402" spans="1:82" ht="28.5" x14ac:dyDescent="0.2">
      <c r="A402" s="40"/>
      <c r="B402" s="40"/>
      <c r="C402" s="40" t="s">
        <v>352</v>
      </c>
      <c r="D402" s="40" t="s">
        <v>354</v>
      </c>
      <c r="E402" s="41" t="s">
        <v>49</v>
      </c>
      <c r="F402" s="44">
        <v>1.1000000000000001</v>
      </c>
      <c r="G402" s="39"/>
      <c r="H402" s="44">
        <f>SmtRes!CX111</f>
        <v>5.5440000000000003E-2</v>
      </c>
      <c r="I402" s="45">
        <f>SmtRes!CZ111</f>
        <v>531.44000000000005</v>
      </c>
      <c r="J402" s="43">
        <f>SmtRes!AI111</f>
        <v>1.02</v>
      </c>
      <c r="K402" s="45">
        <f>ROUND(I402*J402, 2)</f>
        <v>542.07000000000005</v>
      </c>
      <c r="L402" s="40"/>
      <c r="M402" s="45">
        <f>SmtRes!DF111</f>
        <v>30.05</v>
      </c>
    </row>
    <row r="403" spans="1:82" ht="14.25" x14ac:dyDescent="0.2">
      <c r="A403" s="40"/>
      <c r="B403" s="40"/>
      <c r="C403" s="40" t="s">
        <v>333</v>
      </c>
      <c r="D403" s="40" t="s">
        <v>335</v>
      </c>
      <c r="E403" s="41" t="s">
        <v>336</v>
      </c>
      <c r="F403" s="44">
        <v>0.18</v>
      </c>
      <c r="G403" s="39"/>
      <c r="H403" s="44">
        <f>SmtRes!CX112</f>
        <v>9.0720000000000002E-3</v>
      </c>
      <c r="I403" s="45">
        <f>SmtRes!CZ112</f>
        <v>56.81</v>
      </c>
      <c r="J403" s="43">
        <f>SmtRes!AI112</f>
        <v>1.87</v>
      </c>
      <c r="K403" s="45">
        <f>ROUND(I403*J403, 2)</f>
        <v>106.23</v>
      </c>
      <c r="L403" s="40"/>
      <c r="M403" s="45">
        <f>SmtRes!DF112</f>
        <v>0.96</v>
      </c>
    </row>
    <row r="404" spans="1:82" ht="57" x14ac:dyDescent="0.2">
      <c r="A404" s="40"/>
      <c r="B404" s="40"/>
      <c r="C404" s="40" t="s">
        <v>391</v>
      </c>
      <c r="D404" s="40" t="s">
        <v>393</v>
      </c>
      <c r="E404" s="41" t="s">
        <v>281</v>
      </c>
      <c r="F404" s="44">
        <v>9.7000000000000003E-3</v>
      </c>
      <c r="G404" s="39"/>
      <c r="H404" s="44">
        <f>SmtRes!CX113</f>
        <v>4.8890000000000001E-4</v>
      </c>
      <c r="I404" s="45">
        <f>SmtRes!CZ113</f>
        <v>60697.21</v>
      </c>
      <c r="J404" s="43">
        <f>SmtRes!AI113</f>
        <v>1.18</v>
      </c>
      <c r="K404" s="45">
        <f>ROUND(I404*J404, 2)</f>
        <v>71622.710000000006</v>
      </c>
      <c r="L404" s="40"/>
      <c r="M404" s="45">
        <f>SmtRes!DF113</f>
        <v>35.020000000000003</v>
      </c>
    </row>
    <row r="405" spans="1:82" ht="28.5" x14ac:dyDescent="0.2">
      <c r="A405" s="40"/>
      <c r="B405" s="40"/>
      <c r="C405" s="40" t="s">
        <v>326</v>
      </c>
      <c r="D405" s="40" t="s">
        <v>394</v>
      </c>
      <c r="E405" s="41" t="s">
        <v>281</v>
      </c>
      <c r="F405" s="44">
        <v>2.2599206349206351E-2</v>
      </c>
      <c r="G405" s="39"/>
      <c r="H405" s="44">
        <f>SmtRes!CX114</f>
        <v>1.139E-3</v>
      </c>
      <c r="I405" s="45">
        <f>SmtRes!CZ114</f>
        <v>231790</v>
      </c>
      <c r="J405" s="43"/>
      <c r="K405" s="45"/>
      <c r="L405" s="40"/>
      <c r="M405" s="45">
        <f>SmtRes!DF114</f>
        <v>264.01</v>
      </c>
    </row>
    <row r="406" spans="1:82" ht="14.25" x14ac:dyDescent="0.2">
      <c r="A406" s="40"/>
      <c r="B406" s="40"/>
      <c r="C406" s="40" t="s">
        <v>326</v>
      </c>
      <c r="D406" s="40" t="s">
        <v>359</v>
      </c>
      <c r="E406" s="41" t="s">
        <v>281</v>
      </c>
      <c r="F406" s="44">
        <v>4.7299603174603175E-2</v>
      </c>
      <c r="G406" s="39"/>
      <c r="H406" s="44">
        <f>SmtRes!CX115</f>
        <v>2.3839E-3</v>
      </c>
      <c r="I406" s="45">
        <f>SmtRes!CZ115</f>
        <v>92670</v>
      </c>
      <c r="J406" s="43"/>
      <c r="K406" s="45"/>
      <c r="L406" s="40"/>
      <c r="M406" s="45">
        <f>SmtRes!DF115</f>
        <v>220.92</v>
      </c>
    </row>
    <row r="407" spans="1:82" ht="28.5" x14ac:dyDescent="0.2">
      <c r="A407" s="40"/>
      <c r="B407" s="40"/>
      <c r="C407" s="40" t="str">
        <f>EtalonRes!I112</f>
        <v>14.4.02.04</v>
      </c>
      <c r="D407" s="55" t="str">
        <f>EtalonRes!K112</f>
        <v>Краски для внутренних работ масляные готовые к применению</v>
      </c>
      <c r="E407" s="48" t="str">
        <f>EtalonRes!O112</f>
        <v>т</v>
      </c>
      <c r="F407" s="49">
        <f>EtalonRes!X112</f>
        <v>2.2599999999999999E-2</v>
      </c>
      <c r="G407" s="47"/>
      <c r="H407" s="49">
        <f>ROUND(EtalonRes!AG112*Source!I116, 7)</f>
        <v>1.139E-3</v>
      </c>
      <c r="I407" s="56"/>
      <c r="J407" s="57"/>
      <c r="K407" s="56"/>
      <c r="L407" s="55"/>
      <c r="M407" s="56"/>
    </row>
    <row r="408" spans="1:82" ht="15" x14ac:dyDescent="0.2">
      <c r="A408" s="40"/>
      <c r="B408" s="40"/>
      <c r="C408" s="40"/>
      <c r="D408" s="53" t="s">
        <v>472</v>
      </c>
      <c r="E408" s="41"/>
      <c r="F408" s="44"/>
      <c r="G408" s="39"/>
      <c r="H408" s="44"/>
      <c r="I408" s="45"/>
      <c r="J408" s="43"/>
      <c r="K408" s="45"/>
      <c r="L408" s="40"/>
      <c r="M408" s="45">
        <f>M392+M394+M395+M400</f>
        <v>1899.6600000000003</v>
      </c>
    </row>
    <row r="409" spans="1:82" ht="14.25" x14ac:dyDescent="0.2">
      <c r="A409" s="40"/>
      <c r="B409" s="40"/>
      <c r="C409" s="40"/>
      <c r="D409" s="40" t="s">
        <v>473</v>
      </c>
      <c r="E409" s="41"/>
      <c r="F409" s="44"/>
      <c r="G409" s="39"/>
      <c r="H409" s="44"/>
      <c r="I409" s="45"/>
      <c r="J409" s="43"/>
      <c r="K409" s="45"/>
      <c r="L409" s="40"/>
      <c r="M409" s="45">
        <f>SUM(AR391:AR412)+SUM(AS391:AS412)+SUM(AT391:AT412)+SUM(AU391:AU412)+SUM(AV391:AV412)</f>
        <v>1161.19</v>
      </c>
    </row>
    <row r="410" spans="1:82" ht="14.25" x14ac:dyDescent="0.2">
      <c r="A410" s="40"/>
      <c r="B410" s="40"/>
      <c r="C410" s="40" t="s">
        <v>53</v>
      </c>
      <c r="D410" s="40" t="s">
        <v>491</v>
      </c>
      <c r="E410" s="41" t="s">
        <v>384</v>
      </c>
      <c r="F410" s="44">
        <f>Source!BZ116</f>
        <v>90</v>
      </c>
      <c r="G410" s="39"/>
      <c r="H410" s="44">
        <f>Source!AT116</f>
        <v>90</v>
      </c>
      <c r="I410" s="45"/>
      <c r="J410" s="43"/>
      <c r="K410" s="45"/>
      <c r="L410" s="40"/>
      <c r="M410" s="45">
        <f>SUM(AZ391:AZ412)</f>
        <v>1045.07</v>
      </c>
    </row>
    <row r="411" spans="1:82" ht="14.25" x14ac:dyDescent="0.2">
      <c r="A411" s="55"/>
      <c r="B411" s="55"/>
      <c r="C411" s="55" t="s">
        <v>54</v>
      </c>
      <c r="D411" s="55" t="s">
        <v>492</v>
      </c>
      <c r="E411" s="48" t="s">
        <v>384</v>
      </c>
      <c r="F411" s="49">
        <f>Source!CA116</f>
        <v>46</v>
      </c>
      <c r="G411" s="47"/>
      <c r="H411" s="49">
        <f>Source!AU116</f>
        <v>46</v>
      </c>
      <c r="I411" s="56"/>
      <c r="J411" s="57"/>
      <c r="K411" s="56"/>
      <c r="L411" s="55"/>
      <c r="M411" s="56">
        <f>SUM(BA391:BA412)</f>
        <v>534.15</v>
      </c>
    </row>
    <row r="412" spans="1:82" ht="15" x14ac:dyDescent="0.2">
      <c r="D412" s="163" t="s">
        <v>476</v>
      </c>
      <c r="E412" s="163"/>
      <c r="F412" s="163"/>
      <c r="G412" s="163"/>
      <c r="H412" s="163"/>
      <c r="I412" s="163"/>
      <c r="J412" s="164">
        <f>L412/F391</f>
        <v>69025.396825396834</v>
      </c>
      <c r="K412" s="164"/>
      <c r="L412" s="164">
        <f>M392+M394+M400+M410+M411+M395</f>
        <v>3478.8800000000006</v>
      </c>
      <c r="M412" s="164"/>
      <c r="AD412">
        <f>ROUND((Source!AT116/100)*((ROUND(SUMIF(SmtRes!AQ106:'SmtRes'!AQ115,"=1",SmtRes!AD106:'SmtRes'!AD115)*Source!I116, 2)+ROUND(SUMIF(SmtRes!AQ106:'SmtRes'!AQ115,"=1",SmtRes!AC106:'SmtRes'!AC115)*Source!I116, 2))), 2)</f>
        <v>33.78</v>
      </c>
      <c r="AE412">
        <f>ROUND((Source!AU116/100)*((ROUND(SUMIF(SmtRes!AQ106:'SmtRes'!AQ115,"=1",SmtRes!AD106:'SmtRes'!AD115)*Source!I116, 2)+ROUND(SUMIF(SmtRes!AQ106:'SmtRes'!AQ115,"=1",SmtRes!AC106:'SmtRes'!AC115)*Source!I116, 2))), 2)</f>
        <v>17.260000000000002</v>
      </c>
      <c r="AN412" s="52">
        <f>M392+M394+M400+M410+M411+M395</f>
        <v>3478.8800000000006</v>
      </c>
      <c r="AO412" s="52">
        <f>M394</f>
        <v>1.8800000000000008</v>
      </c>
      <c r="AQ412" t="s">
        <v>477</v>
      </c>
      <c r="AR412" s="52">
        <f>M392</f>
        <v>1159.18</v>
      </c>
      <c r="AT412" s="52">
        <f>M395</f>
        <v>2.0099999999999998</v>
      </c>
      <c r="AV412" t="s">
        <v>477</v>
      </c>
      <c r="AW412" s="52">
        <f>M400</f>
        <v>736.59</v>
      </c>
      <c r="AZ412">
        <f>Source!X116</f>
        <v>1045.07</v>
      </c>
      <c r="BA412">
        <f>Source!Y116</f>
        <v>534.15</v>
      </c>
      <c r="CD412">
        <v>1</v>
      </c>
    </row>
    <row r="414" spans="1:82" ht="15" x14ac:dyDescent="0.2">
      <c r="A414" s="59"/>
      <c r="B414" s="59"/>
      <c r="C414" s="60"/>
      <c r="D414" s="166" t="s">
        <v>520</v>
      </c>
      <c r="E414" s="166"/>
      <c r="F414" s="166"/>
      <c r="G414" s="166"/>
      <c r="H414" s="166"/>
      <c r="I414" s="166"/>
      <c r="J414" s="46"/>
      <c r="K414" s="59"/>
      <c r="L414" s="61"/>
      <c r="M414" s="46">
        <f>M416+M417+M423+M427</f>
        <v>1899.6600000000003</v>
      </c>
    </row>
    <row r="415" spans="1:82" ht="14.25" x14ac:dyDescent="0.2">
      <c r="A415" s="54"/>
      <c r="B415" s="54"/>
      <c r="C415" s="58"/>
      <c r="D415" s="167" t="s">
        <v>521</v>
      </c>
      <c r="E415" s="168"/>
      <c r="F415" s="168"/>
      <c r="G415" s="168"/>
      <c r="H415" s="168"/>
      <c r="I415" s="168"/>
      <c r="J415" s="45"/>
      <c r="K415" s="54"/>
      <c r="L415" s="42"/>
      <c r="M415" s="45"/>
    </row>
    <row r="416" spans="1:82" ht="14.25" x14ac:dyDescent="0.2">
      <c r="A416" s="54"/>
      <c r="B416" s="54"/>
      <c r="C416" s="58"/>
      <c r="D416" s="168" t="s">
        <v>522</v>
      </c>
      <c r="E416" s="168"/>
      <c r="F416" s="168"/>
      <c r="G416" s="168"/>
      <c r="H416" s="168"/>
      <c r="I416" s="168"/>
      <c r="J416" s="45"/>
      <c r="K416" s="54"/>
      <c r="L416" s="42"/>
      <c r="M416" s="45">
        <f>SUM(AR390:AR412)</f>
        <v>1159.18</v>
      </c>
    </row>
    <row r="417" spans="1:13" ht="14.25" hidden="1" x14ac:dyDescent="0.2">
      <c r="A417" s="54"/>
      <c r="B417" s="54"/>
      <c r="C417" s="58"/>
      <c r="D417" s="168" t="s">
        <v>523</v>
      </c>
      <c r="E417" s="168"/>
      <c r="F417" s="168"/>
      <c r="G417" s="168"/>
      <c r="H417" s="168"/>
      <c r="I417" s="168"/>
      <c r="J417" s="45"/>
      <c r="K417" s="54"/>
      <c r="L417" s="42"/>
      <c r="M417" s="45">
        <f>M419+M422+M421</f>
        <v>3.8900000000000006</v>
      </c>
    </row>
    <row r="418" spans="1:13" ht="14.25" hidden="1" x14ac:dyDescent="0.2">
      <c r="A418" s="54"/>
      <c r="B418" s="54"/>
      <c r="C418" s="58"/>
      <c r="D418" s="167" t="s">
        <v>524</v>
      </c>
      <c r="E418" s="168"/>
      <c r="F418" s="168"/>
      <c r="G418" s="168"/>
      <c r="H418" s="168"/>
      <c r="I418" s="168"/>
      <c r="J418" s="45"/>
      <c r="K418" s="54"/>
      <c r="L418" s="42"/>
      <c r="M418" s="45"/>
    </row>
    <row r="419" spans="1:13" ht="14.25" x14ac:dyDescent="0.2">
      <c r="A419" s="54"/>
      <c r="B419" s="54"/>
      <c r="C419" s="58"/>
      <c r="D419" s="168" t="s">
        <v>523</v>
      </c>
      <c r="E419" s="168"/>
      <c r="F419" s="168"/>
      <c r="G419" s="168"/>
      <c r="H419" s="168"/>
      <c r="I419" s="168"/>
      <c r="J419" s="45"/>
      <c r="K419" s="54"/>
      <c r="L419" s="42"/>
      <c r="M419" s="45">
        <f>SUM(AO390:AO412)</f>
        <v>1.8800000000000008</v>
      </c>
    </row>
    <row r="420" spans="1:13" ht="14.25" hidden="1" x14ac:dyDescent="0.2">
      <c r="A420" s="54"/>
      <c r="B420" s="54"/>
      <c r="C420" s="58"/>
      <c r="D420" s="167" t="s">
        <v>525</v>
      </c>
      <c r="E420" s="168"/>
      <c r="F420" s="168"/>
      <c r="G420" s="168"/>
      <c r="H420" s="168"/>
      <c r="I420" s="168"/>
      <c r="J420" s="45"/>
      <c r="K420" s="54"/>
      <c r="L420" s="42"/>
      <c r="M420" s="45"/>
    </row>
    <row r="421" spans="1:13" ht="14.25" x14ac:dyDescent="0.2">
      <c r="A421" s="54"/>
      <c r="B421" s="54"/>
      <c r="C421" s="58"/>
      <c r="D421" s="168" t="s">
        <v>545</v>
      </c>
      <c r="E421" s="168"/>
      <c r="F421" s="168"/>
      <c r="G421" s="168"/>
      <c r="H421" s="168"/>
      <c r="I421" s="168"/>
      <c r="J421" s="45"/>
      <c r="K421" s="54"/>
      <c r="L421" s="42"/>
      <c r="M421" s="45">
        <f>SUM(AT390:AT412)</f>
        <v>2.0099999999999998</v>
      </c>
    </row>
    <row r="422" spans="1:13" ht="14.25" hidden="1" x14ac:dyDescent="0.2">
      <c r="A422" s="54"/>
      <c r="B422" s="54"/>
      <c r="C422" s="58"/>
      <c r="D422" s="168" t="s">
        <v>526</v>
      </c>
      <c r="E422" s="168"/>
      <c r="F422" s="168"/>
      <c r="G422" s="168"/>
      <c r="H422" s="168"/>
      <c r="I422" s="168"/>
      <c r="J422" s="45"/>
      <c r="K422" s="54"/>
      <c r="L422" s="42"/>
      <c r="M422" s="45">
        <f>SUM(AV390:AV412)</f>
        <v>0</v>
      </c>
    </row>
    <row r="423" spans="1:13" ht="14.25" x14ac:dyDescent="0.2">
      <c r="A423" s="54"/>
      <c r="B423" s="54"/>
      <c r="C423" s="58"/>
      <c r="D423" s="168" t="s">
        <v>527</v>
      </c>
      <c r="E423" s="168"/>
      <c r="F423" s="168"/>
      <c r="G423" s="168"/>
      <c r="H423" s="168"/>
      <c r="I423" s="168"/>
      <c r="J423" s="45"/>
      <c r="K423" s="54"/>
      <c r="L423" s="42"/>
      <c r="M423" s="45">
        <f>M425+M426</f>
        <v>736.59</v>
      </c>
    </row>
    <row r="424" spans="1:13" ht="14.25" x14ac:dyDescent="0.2">
      <c r="A424" s="54"/>
      <c r="B424" s="54"/>
      <c r="C424" s="58"/>
      <c r="D424" s="167" t="s">
        <v>524</v>
      </c>
      <c r="E424" s="168"/>
      <c r="F424" s="168"/>
      <c r="G424" s="168"/>
      <c r="H424" s="168"/>
      <c r="I424" s="168"/>
      <c r="J424" s="45"/>
      <c r="K424" s="54"/>
      <c r="L424" s="42"/>
      <c r="M424" s="45"/>
    </row>
    <row r="425" spans="1:13" ht="14.25" x14ac:dyDescent="0.2">
      <c r="A425" s="54"/>
      <c r="B425" s="54"/>
      <c r="C425" s="58"/>
      <c r="D425" s="168" t="s">
        <v>528</v>
      </c>
      <c r="E425" s="168"/>
      <c r="F425" s="168"/>
      <c r="G425" s="168"/>
      <c r="H425" s="168"/>
      <c r="I425" s="168"/>
      <c r="J425" s="45"/>
      <c r="K425" s="54"/>
      <c r="L425" s="42"/>
      <c r="M425" s="45">
        <f>SUM(AW390:AW412)-SUM(BK390:BK412)</f>
        <v>736.59</v>
      </c>
    </row>
    <row r="426" spans="1:13" ht="14.25" hidden="1" x14ac:dyDescent="0.2">
      <c r="A426" s="54"/>
      <c r="B426" s="54"/>
      <c r="C426" s="58"/>
      <c r="D426" s="168" t="s">
        <v>529</v>
      </c>
      <c r="E426" s="168"/>
      <c r="F426" s="168"/>
      <c r="G426" s="168"/>
      <c r="H426" s="168"/>
      <c r="I426" s="168"/>
      <c r="J426" s="45"/>
      <c r="K426" s="54"/>
      <c r="L426" s="42"/>
      <c r="M426" s="45">
        <f>SUM(BC390:BC412)</f>
        <v>0</v>
      </c>
    </row>
    <row r="427" spans="1:13" ht="14.25" hidden="1" x14ac:dyDescent="0.2">
      <c r="A427" s="54"/>
      <c r="B427" s="54"/>
      <c r="C427" s="58"/>
      <c r="D427" s="168" t="s">
        <v>530</v>
      </c>
      <c r="E427" s="168"/>
      <c r="F427" s="168"/>
      <c r="G427" s="168"/>
      <c r="H427" s="168"/>
      <c r="I427" s="168"/>
      <c r="J427" s="45"/>
      <c r="K427" s="54"/>
      <c r="L427" s="42"/>
      <c r="M427" s="45">
        <f>SUM(BB390:BB412)</f>
        <v>0</v>
      </c>
    </row>
    <row r="428" spans="1:13" ht="14.25" x14ac:dyDescent="0.2">
      <c r="A428" s="54"/>
      <c r="B428" s="54"/>
      <c r="C428" s="58"/>
      <c r="D428" s="168" t="s">
        <v>531</v>
      </c>
      <c r="E428" s="168"/>
      <c r="F428" s="168"/>
      <c r="G428" s="168"/>
      <c r="H428" s="168"/>
      <c r="I428" s="168"/>
      <c r="J428" s="45"/>
      <c r="K428" s="54"/>
      <c r="L428" s="42"/>
      <c r="M428" s="45">
        <f>SUM(AR390:AR412)+SUM(AT390:AT412)+SUM(AV390:AV412)</f>
        <v>1161.19</v>
      </c>
    </row>
    <row r="429" spans="1:13" ht="14.25" x14ac:dyDescent="0.2">
      <c r="A429" s="54"/>
      <c r="B429" s="54"/>
      <c r="C429" s="58"/>
      <c r="D429" s="168" t="s">
        <v>532</v>
      </c>
      <c r="E429" s="168"/>
      <c r="F429" s="168"/>
      <c r="G429" s="168"/>
      <c r="H429" s="168"/>
      <c r="I429" s="168"/>
      <c r="J429" s="45"/>
      <c r="K429" s="54"/>
      <c r="L429" s="42"/>
      <c r="M429" s="45">
        <f>SUM(AZ390:AZ412)</f>
        <v>1045.07</v>
      </c>
    </row>
    <row r="430" spans="1:13" ht="14.25" x14ac:dyDescent="0.2">
      <c r="A430" s="54"/>
      <c r="B430" s="54"/>
      <c r="C430" s="58"/>
      <c r="D430" s="168" t="s">
        <v>533</v>
      </c>
      <c r="E430" s="168"/>
      <c r="F430" s="168"/>
      <c r="G430" s="168"/>
      <c r="H430" s="168"/>
      <c r="I430" s="168"/>
      <c r="J430" s="45"/>
      <c r="K430" s="54"/>
      <c r="L430" s="42"/>
      <c r="M430" s="45">
        <f>SUM(BA390:BA412)</f>
        <v>534.15</v>
      </c>
    </row>
    <row r="431" spans="1:13" ht="14.25" hidden="1" x14ac:dyDescent="0.2">
      <c r="A431" s="54"/>
      <c r="B431" s="54"/>
      <c r="C431" s="58"/>
      <c r="D431" s="168" t="s">
        <v>534</v>
      </c>
      <c r="E431" s="168"/>
      <c r="F431" s="168"/>
      <c r="G431" s="168"/>
      <c r="H431" s="168"/>
      <c r="I431" s="168"/>
      <c r="J431" s="45"/>
      <c r="K431" s="54"/>
      <c r="L431" s="42"/>
      <c r="M431" s="45">
        <f>M433+M434</f>
        <v>0</v>
      </c>
    </row>
    <row r="432" spans="1:13" ht="14.25" hidden="1" x14ac:dyDescent="0.2">
      <c r="A432" s="54"/>
      <c r="B432" s="54"/>
      <c r="C432" s="58"/>
      <c r="D432" s="167" t="s">
        <v>521</v>
      </c>
      <c r="E432" s="168"/>
      <c r="F432" s="168"/>
      <c r="G432" s="168"/>
      <c r="H432" s="168"/>
      <c r="I432" s="168"/>
      <c r="J432" s="45"/>
      <c r="K432" s="54"/>
      <c r="L432" s="42"/>
      <c r="M432" s="45"/>
    </row>
    <row r="433" spans="1:13" ht="14.25" hidden="1" x14ac:dyDescent="0.2">
      <c r="A433" s="54"/>
      <c r="B433" s="54"/>
      <c r="C433" s="58"/>
      <c r="D433" s="168" t="s">
        <v>535</v>
      </c>
      <c r="E433" s="168"/>
      <c r="F433" s="168"/>
      <c r="G433" s="168"/>
      <c r="H433" s="168"/>
      <c r="I433" s="168"/>
      <c r="J433" s="45"/>
      <c r="K433" s="54"/>
      <c r="L433" s="42"/>
      <c r="M433" s="45">
        <f>SUM(BK390:BK412)</f>
        <v>0</v>
      </c>
    </row>
    <row r="434" spans="1:13" ht="14.25" hidden="1" x14ac:dyDescent="0.2">
      <c r="A434" s="54"/>
      <c r="B434" s="54"/>
      <c r="C434" s="58"/>
      <c r="D434" s="168" t="s">
        <v>536</v>
      </c>
      <c r="E434" s="168"/>
      <c r="F434" s="168"/>
      <c r="G434" s="168"/>
      <c r="H434" s="168"/>
      <c r="I434" s="168"/>
      <c r="J434" s="45"/>
      <c r="K434" s="54"/>
      <c r="L434" s="42"/>
      <c r="M434" s="45">
        <f>SUM(BD390:BD412)</f>
        <v>0</v>
      </c>
    </row>
    <row r="435" spans="1:13" ht="14.25" hidden="1" x14ac:dyDescent="0.2">
      <c r="A435" s="54"/>
      <c r="B435" s="54"/>
      <c r="C435" s="58"/>
      <c r="D435" s="168" t="s">
        <v>537</v>
      </c>
      <c r="E435" s="168"/>
      <c r="F435" s="168"/>
      <c r="G435" s="168"/>
      <c r="H435" s="168"/>
      <c r="I435" s="168"/>
      <c r="J435" s="45"/>
      <c r="K435" s="54"/>
      <c r="L435" s="42"/>
      <c r="M435" s="45"/>
    </row>
    <row r="436" spans="1:13" ht="14.25" hidden="1" x14ac:dyDescent="0.2">
      <c r="A436" s="54"/>
      <c r="B436" s="54"/>
      <c r="C436" s="58"/>
      <c r="D436" s="168" t="s">
        <v>538</v>
      </c>
      <c r="E436" s="168"/>
      <c r="F436" s="168"/>
      <c r="G436" s="168"/>
      <c r="H436" s="168"/>
      <c r="I436" s="168"/>
      <c r="J436" s="45"/>
      <c r="K436" s="54"/>
      <c r="L436" s="42"/>
      <c r="M436" s="45">
        <f>SUM(BO390:BO412)</f>
        <v>0</v>
      </c>
    </row>
    <row r="437" spans="1:13" ht="15" x14ac:dyDescent="0.2">
      <c r="A437" s="59"/>
      <c r="B437" s="59"/>
      <c r="C437" s="60"/>
      <c r="D437" s="166" t="s">
        <v>539</v>
      </c>
      <c r="E437" s="166"/>
      <c r="F437" s="166"/>
      <c r="G437" s="166"/>
      <c r="H437" s="166"/>
      <c r="I437" s="166"/>
      <c r="J437" s="46"/>
      <c r="K437" s="59"/>
      <c r="L437" s="61"/>
      <c r="M437" s="46">
        <f>M414+M429+M430+M431+M435+M436</f>
        <v>3478.8800000000006</v>
      </c>
    </row>
    <row r="438" spans="1:13" ht="14.25" x14ac:dyDescent="0.2">
      <c r="A438" s="54"/>
      <c r="B438" s="54"/>
      <c r="C438" s="58"/>
      <c r="D438" s="167" t="s">
        <v>540</v>
      </c>
      <c r="E438" s="168"/>
      <c r="F438" s="168"/>
      <c r="G438" s="168"/>
      <c r="H438" s="168"/>
      <c r="I438" s="168"/>
      <c r="J438" s="45"/>
      <c r="K438" s="54"/>
      <c r="L438" s="42"/>
      <c r="M438" s="45"/>
    </row>
    <row r="439" spans="1:13" ht="14.25" hidden="1" x14ac:dyDescent="0.2">
      <c r="A439" s="54"/>
      <c r="B439" s="54"/>
      <c r="C439" s="58"/>
      <c r="D439" s="168" t="s">
        <v>541</v>
      </c>
      <c r="E439" s="168"/>
      <c r="F439" s="168"/>
      <c r="G439" s="168"/>
      <c r="H439" s="168"/>
      <c r="I439" s="168"/>
      <c r="J439" s="45"/>
      <c r="K439" s="54"/>
      <c r="L439" s="42"/>
      <c r="M439" s="45">
        <f>SUM(AX390:AX412)</f>
        <v>0</v>
      </c>
    </row>
    <row r="440" spans="1:13" ht="14.25" hidden="1" x14ac:dyDescent="0.2">
      <c r="A440" s="54"/>
      <c r="B440" s="54"/>
      <c r="C440" s="58"/>
      <c r="D440" s="168" t="s">
        <v>542</v>
      </c>
      <c r="E440" s="168"/>
      <c r="F440" s="168"/>
      <c r="G440" s="168"/>
      <c r="H440" s="168"/>
      <c r="I440" s="168"/>
      <c r="J440" s="45"/>
      <c r="K440" s="54"/>
      <c r="L440" s="42"/>
      <c r="M440" s="45">
        <f>SUM(AY390:AY412)</f>
        <v>0</v>
      </c>
    </row>
    <row r="441" spans="1:13" ht="14.25" x14ac:dyDescent="0.2">
      <c r="A441" s="54"/>
      <c r="B441" s="54"/>
      <c r="C441" s="58"/>
      <c r="D441" s="168" t="s">
        <v>543</v>
      </c>
      <c r="E441" s="168"/>
      <c r="F441" s="168"/>
      <c r="G441" s="169"/>
      <c r="H441" s="44">
        <f>Source!F140</f>
        <v>4.8263040000000004</v>
      </c>
      <c r="I441" s="54"/>
      <c r="J441" s="54"/>
      <c r="K441" s="54"/>
      <c r="L441" s="54"/>
      <c r="M441" s="54"/>
    </row>
    <row r="442" spans="1:13" ht="14.25" x14ac:dyDescent="0.2">
      <c r="A442" s="54"/>
      <c r="B442" s="54"/>
      <c r="C442" s="58"/>
      <c r="D442" s="168" t="s">
        <v>544</v>
      </c>
      <c r="E442" s="168"/>
      <c r="F442" s="168"/>
      <c r="G442" s="169"/>
      <c r="H442" s="44">
        <f>Source!F141</f>
        <v>8.064E-3</v>
      </c>
      <c r="I442" s="54"/>
      <c r="J442" s="54"/>
      <c r="K442" s="54"/>
      <c r="L442" s="54"/>
      <c r="M442" s="54"/>
    </row>
    <row r="445" spans="1:13" ht="16.5" x14ac:dyDescent="0.2">
      <c r="A445" s="165" t="s">
        <v>554</v>
      </c>
      <c r="B445" s="165"/>
      <c r="C445" s="165"/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</row>
    <row r="446" spans="1:13" ht="119.25" x14ac:dyDescent="0.2">
      <c r="A446" s="38" t="s">
        <v>159</v>
      </c>
      <c r="B446" s="40">
        <v>1</v>
      </c>
      <c r="C446" s="40" t="s">
        <v>555</v>
      </c>
      <c r="D446" s="40" t="s">
        <v>556</v>
      </c>
      <c r="E446" s="41" t="str">
        <f>Source!H152</f>
        <v>100 ШТ</v>
      </c>
      <c r="F446" s="44">
        <f>Source!K152</f>
        <v>0.11</v>
      </c>
      <c r="G446" s="39"/>
      <c r="H446" s="44">
        <f>Source!I152</f>
        <v>0.11</v>
      </c>
      <c r="I446" s="45"/>
      <c r="J446" s="43"/>
      <c r="K446" s="45"/>
      <c r="L446" s="40"/>
      <c r="M446" s="45"/>
    </row>
    <row r="447" spans="1:13" ht="15" x14ac:dyDescent="0.2">
      <c r="A447" s="39"/>
      <c r="B447" s="39"/>
      <c r="C447" s="42">
        <v>1</v>
      </c>
      <c r="D447" s="39" t="s">
        <v>470</v>
      </c>
      <c r="E447" s="41" t="s">
        <v>278</v>
      </c>
      <c r="F447" s="44"/>
      <c r="G447" s="42"/>
      <c r="H447" s="44">
        <f>Source!U152</f>
        <v>8.5640499999999999</v>
      </c>
      <c r="I447" s="42"/>
      <c r="J447" s="42"/>
      <c r="K447" s="42"/>
      <c r="L447" s="42"/>
      <c r="M447" s="46">
        <f>SUM(M448:M448)-SUMIF(CE448:CE448, 1, M448:M448)</f>
        <v>1911.84</v>
      </c>
    </row>
    <row r="448" spans="1:13" ht="28.5" x14ac:dyDescent="0.2">
      <c r="A448" s="40"/>
      <c r="B448" s="40"/>
      <c r="C448" s="40" t="s">
        <v>395</v>
      </c>
      <c r="D448" s="40" t="s">
        <v>396</v>
      </c>
      <c r="E448" s="41" t="s">
        <v>278</v>
      </c>
      <c r="F448" s="44">
        <v>67.7</v>
      </c>
      <c r="G448" s="39">
        <f>ROUND(1.15,7)</f>
        <v>1.1499999999999999</v>
      </c>
      <c r="H448" s="44">
        <f>SmtRes!CX116</f>
        <v>8.5640499999999999</v>
      </c>
      <c r="I448" s="45"/>
      <c r="J448" s="43"/>
      <c r="K448" s="45">
        <f>SmtRes!CZ116</f>
        <v>223.24</v>
      </c>
      <c r="L448" s="40"/>
      <c r="M448" s="45">
        <f>SmtRes!DI116</f>
        <v>1911.84</v>
      </c>
    </row>
    <row r="449" spans="1:83" ht="15" x14ac:dyDescent="0.2">
      <c r="A449" s="39"/>
      <c r="B449" s="39"/>
      <c r="C449" s="42">
        <v>2</v>
      </c>
      <c r="D449" s="39" t="s">
        <v>480</v>
      </c>
      <c r="E449" s="41"/>
      <c r="F449" s="44"/>
      <c r="G449" s="42"/>
      <c r="H449" s="44"/>
      <c r="I449" s="42"/>
      <c r="J449" s="42"/>
      <c r="K449" s="42"/>
      <c r="L449" s="42"/>
      <c r="M449" s="46">
        <f>SUM(M450:M454)-SUMIF(CE450:CE454, 1, M450:M454)</f>
        <v>195.04000000000002</v>
      </c>
    </row>
    <row r="450" spans="1:83" ht="15" x14ac:dyDescent="0.2">
      <c r="A450" s="39"/>
      <c r="B450" s="39"/>
      <c r="C450" s="42"/>
      <c r="D450" s="39" t="s">
        <v>483</v>
      </c>
      <c r="E450" s="41" t="s">
        <v>278</v>
      </c>
      <c r="F450" s="44"/>
      <c r="G450" s="42"/>
      <c r="H450" s="44">
        <f>Source!V152</f>
        <v>0.57750000000000001</v>
      </c>
      <c r="I450" s="42"/>
      <c r="J450" s="42"/>
      <c r="K450" s="42"/>
      <c r="L450" s="42"/>
      <c r="M450" s="46">
        <f>SUMIF(CE451:CE454, 1, M451:M454)</f>
        <v>147.13</v>
      </c>
      <c r="CE450">
        <v>1</v>
      </c>
    </row>
    <row r="451" spans="1:83" ht="42.75" x14ac:dyDescent="0.2">
      <c r="A451" s="40"/>
      <c r="B451" s="40"/>
      <c r="C451" s="40" t="s">
        <v>286</v>
      </c>
      <c r="D451" s="40" t="s">
        <v>288</v>
      </c>
      <c r="E451" s="41" t="s">
        <v>289</v>
      </c>
      <c r="F451" s="44">
        <v>1.73</v>
      </c>
      <c r="G451" s="39">
        <f>ROUND(1.25,7)</f>
        <v>1.25</v>
      </c>
      <c r="H451" s="44">
        <f>SmtRes!CX118</f>
        <v>0.237875</v>
      </c>
      <c r="I451" s="45">
        <f>SmtRes!CZ118</f>
        <v>37.32</v>
      </c>
      <c r="J451" s="43">
        <f>SmtRes!AJ118</f>
        <v>1.31</v>
      </c>
      <c r="K451" s="45">
        <f>ROUND(I451*J451, 2)</f>
        <v>48.89</v>
      </c>
      <c r="L451" s="40"/>
      <c r="M451" s="45">
        <f>SmtRes!DG118</f>
        <v>11.63</v>
      </c>
    </row>
    <row r="452" spans="1:83" ht="28.5" x14ac:dyDescent="0.2">
      <c r="A452" s="40"/>
      <c r="B452" s="40"/>
      <c r="C452" s="40" t="s">
        <v>290</v>
      </c>
      <c r="D452" s="40" t="s">
        <v>481</v>
      </c>
      <c r="E452" s="41" t="s">
        <v>278</v>
      </c>
      <c r="F452" s="44">
        <f>SmtRes!DO118*SmtRes!AT118</f>
        <v>1.73</v>
      </c>
      <c r="G452" s="39">
        <f>ROUND(1.25,7)</f>
        <v>1.25</v>
      </c>
      <c r="H452" s="44">
        <f>SmtRes!DO118*SmtRes!CX118</f>
        <v>0.237875</v>
      </c>
      <c r="I452" s="45"/>
      <c r="J452" s="43"/>
      <c r="K452" s="45">
        <f>ROUND(SmtRes!AG118/SmtRes!DO118, 2)</f>
        <v>237.19</v>
      </c>
      <c r="L452" s="40"/>
      <c r="M452" s="45">
        <f>SmtRes!DH118</f>
        <v>56.42</v>
      </c>
      <c r="CE452">
        <v>1</v>
      </c>
    </row>
    <row r="453" spans="1:83" ht="28.5" x14ac:dyDescent="0.2">
      <c r="A453" s="40"/>
      <c r="B453" s="40"/>
      <c r="C453" s="40" t="s">
        <v>291</v>
      </c>
      <c r="D453" s="40" t="s">
        <v>293</v>
      </c>
      <c r="E453" s="41" t="s">
        <v>289</v>
      </c>
      <c r="F453" s="44">
        <v>2.4700000000000002</v>
      </c>
      <c r="G453" s="39">
        <f>ROUND(1.25,7)</f>
        <v>1.25</v>
      </c>
      <c r="H453" s="44">
        <f>SmtRes!CX119</f>
        <v>0.33962500000000001</v>
      </c>
      <c r="I453" s="45">
        <f>SmtRes!CZ119</f>
        <v>477.92</v>
      </c>
      <c r="J453" s="43">
        <f>SmtRes!AJ119</f>
        <v>1.1299999999999999</v>
      </c>
      <c r="K453" s="45">
        <f>ROUND(I453*J453, 2)</f>
        <v>540.04999999999995</v>
      </c>
      <c r="L453" s="40"/>
      <c r="M453" s="45">
        <f>SmtRes!DG119</f>
        <v>183.41</v>
      </c>
    </row>
    <row r="454" spans="1:83" ht="28.5" x14ac:dyDescent="0.2">
      <c r="A454" s="40"/>
      <c r="B454" s="40"/>
      <c r="C454" s="40" t="s">
        <v>294</v>
      </c>
      <c r="D454" s="40" t="s">
        <v>482</v>
      </c>
      <c r="E454" s="41" t="s">
        <v>278</v>
      </c>
      <c r="F454" s="44">
        <f>SmtRes!DO119*SmtRes!AT119</f>
        <v>2.4700000000000002</v>
      </c>
      <c r="G454" s="39">
        <f>ROUND(1.25,7)</f>
        <v>1.25</v>
      </c>
      <c r="H454" s="44">
        <f>SmtRes!DO119*SmtRes!CX119</f>
        <v>0.33962500000000001</v>
      </c>
      <c r="I454" s="45"/>
      <c r="J454" s="43"/>
      <c r="K454" s="45">
        <f>ROUND(SmtRes!AG119/SmtRes!DO119, 2)</f>
        <v>267.08999999999997</v>
      </c>
      <c r="L454" s="40"/>
      <c r="M454" s="45">
        <f>SmtRes!DH119</f>
        <v>90.71</v>
      </c>
      <c r="CE454">
        <v>1</v>
      </c>
    </row>
    <row r="455" spans="1:83" ht="15" x14ac:dyDescent="0.2">
      <c r="A455" s="39"/>
      <c r="B455" s="39"/>
      <c r="C455" s="42">
        <v>4</v>
      </c>
      <c r="D455" s="39" t="s">
        <v>471</v>
      </c>
      <c r="E455" s="41"/>
      <c r="F455" s="44"/>
      <c r="G455" s="42"/>
      <c r="H455" s="44"/>
      <c r="I455" s="42"/>
      <c r="J455" s="42"/>
      <c r="K455" s="42"/>
      <c r="L455" s="42"/>
      <c r="M455" s="46">
        <f>SUM(M456:M458)-SUMIF(CE456:CE458, 1, M456:M458)</f>
        <v>1304.1300000000001</v>
      </c>
    </row>
    <row r="456" spans="1:83" ht="14.25" x14ac:dyDescent="0.2">
      <c r="A456" s="40"/>
      <c r="B456" s="40"/>
      <c r="C456" s="40" t="s">
        <v>397</v>
      </c>
      <c r="D456" s="40" t="s">
        <v>399</v>
      </c>
      <c r="E456" s="41" t="s">
        <v>281</v>
      </c>
      <c r="F456" s="44">
        <v>1.2E-2</v>
      </c>
      <c r="G456" s="39"/>
      <c r="H456" s="44">
        <f>SmtRes!CX120</f>
        <v>1.32E-3</v>
      </c>
      <c r="I456" s="45">
        <f>SmtRes!CZ120</f>
        <v>70296.2</v>
      </c>
      <c r="J456" s="43">
        <f>SmtRes!AI120</f>
        <v>1.01</v>
      </c>
      <c r="K456" s="45">
        <f>ROUND(I456*J456, 2)</f>
        <v>70999.16</v>
      </c>
      <c r="L456" s="40"/>
      <c r="M456" s="45">
        <f>SmtRes!DF120</f>
        <v>93.72</v>
      </c>
    </row>
    <row r="457" spans="1:83" ht="28.5" x14ac:dyDescent="0.2">
      <c r="A457" s="40"/>
      <c r="B457" s="40"/>
      <c r="C457" s="40" t="s">
        <v>400</v>
      </c>
      <c r="D457" s="40" t="s">
        <v>402</v>
      </c>
      <c r="E457" s="41" t="s">
        <v>281</v>
      </c>
      <c r="F457" s="44">
        <v>3.5000000000000003E-2</v>
      </c>
      <c r="G457" s="39"/>
      <c r="H457" s="44">
        <f>SmtRes!CX121</f>
        <v>3.8500000000000001E-3</v>
      </c>
      <c r="I457" s="45">
        <f>SmtRes!CZ121</f>
        <v>55898.18</v>
      </c>
      <c r="J457" s="43">
        <f>SmtRes!AI121</f>
        <v>0.74</v>
      </c>
      <c r="K457" s="45">
        <f>ROUND(I457*J457, 2)</f>
        <v>41364.65</v>
      </c>
      <c r="L457" s="40"/>
      <c r="M457" s="45">
        <f>SmtRes!DF121</f>
        <v>159.25</v>
      </c>
    </row>
    <row r="458" spans="1:83" ht="28.5" x14ac:dyDescent="0.2">
      <c r="A458" s="40"/>
      <c r="B458" s="40"/>
      <c r="C458" s="40" t="s">
        <v>405</v>
      </c>
      <c r="D458" s="40" t="s">
        <v>407</v>
      </c>
      <c r="E458" s="41" t="s">
        <v>308</v>
      </c>
      <c r="F458" s="44">
        <v>400</v>
      </c>
      <c r="G458" s="39"/>
      <c r="H458" s="44">
        <f>SmtRes!CX123</f>
        <v>44</v>
      </c>
      <c r="I458" s="45">
        <f>SmtRes!CZ123</f>
        <v>17.96</v>
      </c>
      <c r="J458" s="43">
        <f>SmtRes!AI123</f>
        <v>1.33</v>
      </c>
      <c r="K458" s="45">
        <f>ROUND(I458*J458, 2)</f>
        <v>23.89</v>
      </c>
      <c r="L458" s="40"/>
      <c r="M458" s="45">
        <f>SmtRes!DF123</f>
        <v>1051.1600000000001</v>
      </c>
    </row>
    <row r="459" spans="1:83" ht="14.25" x14ac:dyDescent="0.2">
      <c r="A459" s="40"/>
      <c r="B459" s="40"/>
      <c r="C459" s="40" t="str">
        <f>EtalonRes!I121</f>
        <v>11.2.07.12</v>
      </c>
      <c r="D459" s="55" t="str">
        <f>EtalonRes!K121</f>
        <v>Изделия штучные</v>
      </c>
      <c r="E459" s="48" t="str">
        <f>EtalonRes!O121</f>
        <v>ШТ</v>
      </c>
      <c r="F459" s="49">
        <f>EtalonRes!X121</f>
        <v>100</v>
      </c>
      <c r="G459" s="47"/>
      <c r="H459" s="49">
        <f>ROUND(EtalonRes!AG121*Source!I152, 7)</f>
        <v>11</v>
      </c>
      <c r="I459" s="56"/>
      <c r="J459" s="57"/>
      <c r="K459" s="56"/>
      <c r="L459" s="55"/>
      <c r="M459" s="56"/>
    </row>
    <row r="460" spans="1:83" ht="15" x14ac:dyDescent="0.2">
      <c r="A460" s="40"/>
      <c r="B460" s="40"/>
      <c r="C460" s="40"/>
      <c r="D460" s="53" t="s">
        <v>472</v>
      </c>
      <c r="E460" s="41"/>
      <c r="F460" s="44"/>
      <c r="G460" s="39"/>
      <c r="H460" s="44"/>
      <c r="I460" s="45"/>
      <c r="J460" s="43"/>
      <c r="K460" s="45"/>
      <c r="L460" s="40"/>
      <c r="M460" s="45">
        <f>M447+M449+M450+M455</f>
        <v>3558.1400000000003</v>
      </c>
    </row>
    <row r="461" spans="1:83" ht="14.25" x14ac:dyDescent="0.2">
      <c r="A461" s="40"/>
      <c r="B461" s="40"/>
      <c r="C461" s="40"/>
      <c r="D461" s="40" t="s">
        <v>473</v>
      </c>
      <c r="E461" s="41"/>
      <c r="F461" s="44"/>
      <c r="G461" s="39"/>
      <c r="H461" s="44"/>
      <c r="I461" s="45"/>
      <c r="J461" s="43"/>
      <c r="K461" s="45"/>
      <c r="L461" s="40"/>
      <c r="M461" s="45">
        <f>SUM(AR446:AR464)+SUM(AS446:AS464)+SUM(AT446:AT464)+SUM(AU446:AU464)+SUM(AV446:AV464)</f>
        <v>2058.9699999999998</v>
      </c>
    </row>
    <row r="462" spans="1:83" ht="28.5" x14ac:dyDescent="0.2">
      <c r="A462" s="40"/>
      <c r="B462" s="40"/>
      <c r="C462" s="40" t="s">
        <v>557</v>
      </c>
      <c r="D462" s="40" t="s">
        <v>558</v>
      </c>
      <c r="E462" s="41" t="s">
        <v>384</v>
      </c>
      <c r="F462" s="44">
        <f>Source!BZ152</f>
        <v>108</v>
      </c>
      <c r="G462" s="39">
        <f>ROUND(0.9,7)</f>
        <v>0.9</v>
      </c>
      <c r="H462" s="44">
        <f>Source!AT152</f>
        <v>97.2</v>
      </c>
      <c r="I462" s="45"/>
      <c r="J462" s="43"/>
      <c r="K462" s="45"/>
      <c r="L462" s="40"/>
      <c r="M462" s="45">
        <f>SUM(AZ446:AZ464)</f>
        <v>2001.32</v>
      </c>
    </row>
    <row r="463" spans="1:83" ht="28.5" x14ac:dyDescent="0.2">
      <c r="A463" s="55"/>
      <c r="B463" s="55"/>
      <c r="C463" s="55" t="s">
        <v>559</v>
      </c>
      <c r="D463" s="55" t="s">
        <v>560</v>
      </c>
      <c r="E463" s="48" t="s">
        <v>384</v>
      </c>
      <c r="F463" s="49">
        <f>Source!CA152</f>
        <v>55</v>
      </c>
      <c r="G463" s="47">
        <f>ROUND(0.85,7)</f>
        <v>0.85</v>
      </c>
      <c r="H463" s="49">
        <f>Source!AU152</f>
        <v>46.75</v>
      </c>
      <c r="I463" s="56"/>
      <c r="J463" s="57"/>
      <c r="K463" s="56"/>
      <c r="L463" s="55"/>
      <c r="M463" s="56">
        <f>SUM(BA446:BA464)</f>
        <v>962.57</v>
      </c>
    </row>
    <row r="464" spans="1:83" ht="15" x14ac:dyDescent="0.2">
      <c r="D464" s="163" t="s">
        <v>476</v>
      </c>
      <c r="E464" s="163"/>
      <c r="F464" s="163"/>
      <c r="G464" s="163"/>
      <c r="H464" s="163"/>
      <c r="I464" s="163"/>
      <c r="J464" s="164">
        <f>L464/F446</f>
        <v>59291.181818181816</v>
      </c>
      <c r="K464" s="164"/>
      <c r="L464" s="164">
        <f>M447+M449+M455+M462+M463+M450</f>
        <v>6522.03</v>
      </c>
      <c r="M464" s="164"/>
      <c r="AD464">
        <f>ROUND((Source!AT152/100)*((ROUND(SUMIF(SmtRes!AQ116:'SmtRes'!AQ123,"=1",SmtRes!AD116:'SmtRes'!AD123)*Source!I152, 2)+ROUND(SUMIF(SmtRes!AQ116:'SmtRes'!AQ123,"=1",SmtRes!AC116:'SmtRes'!AC123)*Source!I152, 2))), 2)</f>
        <v>77.790000000000006</v>
      </c>
      <c r="AE464">
        <f>ROUND((Source!AU152/100)*((ROUND(SUMIF(SmtRes!AQ116:'SmtRes'!AQ123,"=1",SmtRes!AD116:'SmtRes'!AD123)*Source!I152, 2)+ROUND(SUMIF(SmtRes!AQ116:'SmtRes'!AQ123,"=1",SmtRes!AC116:'SmtRes'!AC123)*Source!I152, 2))), 2)</f>
        <v>37.409999999999997</v>
      </c>
      <c r="AN464" s="52">
        <f>M447+M449+M455+M462+M463+M450</f>
        <v>6522.03</v>
      </c>
      <c r="AO464" s="52">
        <f>M449</f>
        <v>195.04000000000002</v>
      </c>
      <c r="AQ464" t="s">
        <v>477</v>
      </c>
      <c r="AR464" s="52">
        <f>M447</f>
        <v>1911.84</v>
      </c>
      <c r="AT464" s="52">
        <f>M450</f>
        <v>147.13</v>
      </c>
      <c r="AV464" t="s">
        <v>477</v>
      </c>
      <c r="AW464" s="52">
        <f>M455</f>
        <v>1304.1300000000001</v>
      </c>
      <c r="AZ464">
        <f>Source!X152</f>
        <v>2001.32</v>
      </c>
      <c r="BA464">
        <f>Source!Y152</f>
        <v>962.57</v>
      </c>
      <c r="CD464">
        <v>1</v>
      </c>
    </row>
    <row r="465" spans="1:83" ht="105" x14ac:dyDescent="0.2">
      <c r="A465" s="38" t="s">
        <v>14</v>
      </c>
      <c r="B465" s="40">
        <v>2</v>
      </c>
      <c r="C465" s="40" t="s">
        <v>555</v>
      </c>
      <c r="D465" s="40" t="s">
        <v>561</v>
      </c>
      <c r="E465" s="41" t="str">
        <f>Source!H153</f>
        <v>100 ШТ</v>
      </c>
      <c r="F465" s="44">
        <f>Source!K153</f>
        <v>0.11</v>
      </c>
      <c r="G465" s="39"/>
      <c r="H465" s="44">
        <f>Source!I153</f>
        <v>0.11</v>
      </c>
      <c r="I465" s="45"/>
      <c r="J465" s="43"/>
      <c r="K465" s="45"/>
      <c r="L465" s="40"/>
      <c r="M465" s="45"/>
    </row>
    <row r="466" spans="1:83" ht="15" x14ac:dyDescent="0.2">
      <c r="A466" s="39"/>
      <c r="B466" s="39"/>
      <c r="C466" s="42">
        <v>1</v>
      </c>
      <c r="D466" s="39" t="s">
        <v>470</v>
      </c>
      <c r="E466" s="41" t="s">
        <v>278</v>
      </c>
      <c r="F466" s="44"/>
      <c r="G466" s="42"/>
      <c r="H466" s="44">
        <f>Source!U153</f>
        <v>8.5640499999999999</v>
      </c>
      <c r="I466" s="42"/>
      <c r="J466" s="42"/>
      <c r="K466" s="42"/>
      <c r="L466" s="42"/>
      <c r="M466" s="46">
        <f>SUM(M467:M467)-SUMIF(CE467:CE467, 1, M467:M467)</f>
        <v>1911.84</v>
      </c>
    </row>
    <row r="467" spans="1:83" ht="28.5" x14ac:dyDescent="0.2">
      <c r="A467" s="40"/>
      <c r="B467" s="40"/>
      <c r="C467" s="40" t="s">
        <v>395</v>
      </c>
      <c r="D467" s="40" t="s">
        <v>396</v>
      </c>
      <c r="E467" s="41" t="s">
        <v>278</v>
      </c>
      <c r="F467" s="44">
        <v>67.7</v>
      </c>
      <c r="G467" s="39">
        <f>ROUND(1.15,7)</f>
        <v>1.1499999999999999</v>
      </c>
      <c r="H467" s="44">
        <f>SmtRes!CX124</f>
        <v>8.5640499999999999</v>
      </c>
      <c r="I467" s="45"/>
      <c r="J467" s="43"/>
      <c r="K467" s="45">
        <f>SmtRes!CZ124</f>
        <v>223.24</v>
      </c>
      <c r="L467" s="40"/>
      <c r="M467" s="45">
        <f>SmtRes!DI124</f>
        <v>1911.84</v>
      </c>
    </row>
    <row r="468" spans="1:83" ht="15" x14ac:dyDescent="0.2">
      <c r="A468" s="39"/>
      <c r="B468" s="39"/>
      <c r="C468" s="42">
        <v>2</v>
      </c>
      <c r="D468" s="39" t="s">
        <v>480</v>
      </c>
      <c r="E468" s="41"/>
      <c r="F468" s="44"/>
      <c r="G468" s="42"/>
      <c r="H468" s="44"/>
      <c r="I468" s="42"/>
      <c r="J468" s="42"/>
      <c r="K468" s="42"/>
      <c r="L468" s="42"/>
      <c r="M468" s="46">
        <f>SUM(M469:M473)-SUMIF(CE469:CE473, 1, M469:M473)</f>
        <v>195.04000000000002</v>
      </c>
    </row>
    <row r="469" spans="1:83" ht="15" x14ac:dyDescent="0.2">
      <c r="A469" s="39"/>
      <c r="B469" s="39"/>
      <c r="C469" s="42"/>
      <c r="D469" s="39" t="s">
        <v>483</v>
      </c>
      <c r="E469" s="41" t="s">
        <v>278</v>
      </c>
      <c r="F469" s="44"/>
      <c r="G469" s="42"/>
      <c r="H469" s="44">
        <f>Source!V153</f>
        <v>0.57750000000000001</v>
      </c>
      <c r="I469" s="42"/>
      <c r="J469" s="42"/>
      <c r="K469" s="42"/>
      <c r="L469" s="42"/>
      <c r="M469" s="46">
        <f>SUMIF(CE470:CE473, 1, M470:M473)</f>
        <v>147.13</v>
      </c>
      <c r="CE469">
        <v>1</v>
      </c>
    </row>
    <row r="470" spans="1:83" ht="42.75" x14ac:dyDescent="0.2">
      <c r="A470" s="40"/>
      <c r="B470" s="40"/>
      <c r="C470" s="40" t="s">
        <v>286</v>
      </c>
      <c r="D470" s="40" t="s">
        <v>288</v>
      </c>
      <c r="E470" s="41" t="s">
        <v>289</v>
      </c>
      <c r="F470" s="44">
        <v>1.73</v>
      </c>
      <c r="G470" s="39">
        <f>ROUND(1.25,7)</f>
        <v>1.25</v>
      </c>
      <c r="H470" s="44">
        <f>SmtRes!CX126</f>
        <v>0.237875</v>
      </c>
      <c r="I470" s="45">
        <f>SmtRes!CZ126</f>
        <v>37.32</v>
      </c>
      <c r="J470" s="43">
        <f>SmtRes!AJ126</f>
        <v>1.31</v>
      </c>
      <c r="K470" s="45">
        <f>ROUND(I470*J470, 2)</f>
        <v>48.89</v>
      </c>
      <c r="L470" s="40"/>
      <c r="M470" s="45">
        <f>SmtRes!DG126</f>
        <v>11.63</v>
      </c>
    </row>
    <row r="471" spans="1:83" ht="28.5" x14ac:dyDescent="0.2">
      <c r="A471" s="40"/>
      <c r="B471" s="40"/>
      <c r="C471" s="40" t="s">
        <v>290</v>
      </c>
      <c r="D471" s="40" t="s">
        <v>481</v>
      </c>
      <c r="E471" s="41" t="s">
        <v>278</v>
      </c>
      <c r="F471" s="44">
        <f>SmtRes!DO126*SmtRes!AT126</f>
        <v>1.73</v>
      </c>
      <c r="G471" s="39">
        <f>ROUND(1.25,7)</f>
        <v>1.25</v>
      </c>
      <c r="H471" s="44">
        <f>SmtRes!DO126*SmtRes!CX126</f>
        <v>0.237875</v>
      </c>
      <c r="I471" s="45"/>
      <c r="J471" s="43"/>
      <c r="K471" s="45">
        <f>ROUND(SmtRes!AG126/SmtRes!DO126, 2)</f>
        <v>237.19</v>
      </c>
      <c r="L471" s="40"/>
      <c r="M471" s="45">
        <f>SmtRes!DH126</f>
        <v>56.42</v>
      </c>
      <c r="CE471">
        <v>1</v>
      </c>
    </row>
    <row r="472" spans="1:83" ht="28.5" x14ac:dyDescent="0.2">
      <c r="A472" s="40"/>
      <c r="B472" s="40"/>
      <c r="C472" s="40" t="s">
        <v>291</v>
      </c>
      <c r="D472" s="40" t="s">
        <v>293</v>
      </c>
      <c r="E472" s="41" t="s">
        <v>289</v>
      </c>
      <c r="F472" s="44">
        <v>2.4700000000000002</v>
      </c>
      <c r="G472" s="39">
        <f>ROUND(1.25,7)</f>
        <v>1.25</v>
      </c>
      <c r="H472" s="44">
        <f>SmtRes!CX127</f>
        <v>0.33962500000000001</v>
      </c>
      <c r="I472" s="45">
        <f>SmtRes!CZ127</f>
        <v>477.92</v>
      </c>
      <c r="J472" s="43">
        <f>SmtRes!AJ127</f>
        <v>1.1299999999999999</v>
      </c>
      <c r="K472" s="45">
        <f>ROUND(I472*J472, 2)</f>
        <v>540.04999999999995</v>
      </c>
      <c r="L472" s="40"/>
      <c r="M472" s="45">
        <f>SmtRes!DG127</f>
        <v>183.41</v>
      </c>
    </row>
    <row r="473" spans="1:83" ht="28.5" x14ac:dyDescent="0.2">
      <c r="A473" s="40"/>
      <c r="B473" s="40"/>
      <c r="C473" s="40" t="s">
        <v>294</v>
      </c>
      <c r="D473" s="40" t="s">
        <v>482</v>
      </c>
      <c r="E473" s="41" t="s">
        <v>278</v>
      </c>
      <c r="F473" s="44">
        <f>SmtRes!DO127*SmtRes!AT127</f>
        <v>2.4700000000000002</v>
      </c>
      <c r="G473" s="39">
        <f>ROUND(1.25,7)</f>
        <v>1.25</v>
      </c>
      <c r="H473" s="44">
        <f>SmtRes!DO127*SmtRes!CX127</f>
        <v>0.33962500000000001</v>
      </c>
      <c r="I473" s="45"/>
      <c r="J473" s="43"/>
      <c r="K473" s="45">
        <f>ROUND(SmtRes!AG127/SmtRes!DO127, 2)</f>
        <v>267.08999999999997</v>
      </c>
      <c r="L473" s="40"/>
      <c r="M473" s="45">
        <f>SmtRes!DH127</f>
        <v>90.71</v>
      </c>
      <c r="CE473">
        <v>1</v>
      </c>
    </row>
    <row r="474" spans="1:83" ht="15" x14ac:dyDescent="0.2">
      <c r="A474" s="39"/>
      <c r="B474" s="39"/>
      <c r="C474" s="42">
        <v>4</v>
      </c>
      <c r="D474" s="39" t="s">
        <v>471</v>
      </c>
      <c r="E474" s="41"/>
      <c r="F474" s="44"/>
      <c r="G474" s="42"/>
      <c r="H474" s="44"/>
      <c r="I474" s="42"/>
      <c r="J474" s="42"/>
      <c r="K474" s="42"/>
      <c r="L474" s="42"/>
      <c r="M474" s="46">
        <f>SUM(M475:M477)-SUMIF(CE475:CE477, 1, M475:M477)</f>
        <v>1304.1300000000001</v>
      </c>
    </row>
    <row r="475" spans="1:83" ht="14.25" x14ac:dyDescent="0.2">
      <c r="A475" s="40"/>
      <c r="B475" s="40"/>
      <c r="C475" s="40" t="s">
        <v>397</v>
      </c>
      <c r="D475" s="40" t="s">
        <v>399</v>
      </c>
      <c r="E475" s="41" t="s">
        <v>281</v>
      </c>
      <c r="F475" s="44">
        <v>1.2E-2</v>
      </c>
      <c r="G475" s="39"/>
      <c r="H475" s="44">
        <f>SmtRes!CX128</f>
        <v>1.32E-3</v>
      </c>
      <c r="I475" s="45">
        <f>SmtRes!CZ128</f>
        <v>70296.2</v>
      </c>
      <c r="J475" s="43">
        <f>SmtRes!AI128</f>
        <v>1.01</v>
      </c>
      <c r="K475" s="45">
        <f>ROUND(I475*J475, 2)</f>
        <v>70999.16</v>
      </c>
      <c r="L475" s="40"/>
      <c r="M475" s="45">
        <f>SmtRes!DF128</f>
        <v>93.72</v>
      </c>
    </row>
    <row r="476" spans="1:83" ht="28.5" x14ac:dyDescent="0.2">
      <c r="A476" s="40"/>
      <c r="B476" s="40"/>
      <c r="C476" s="40" t="s">
        <v>400</v>
      </c>
      <c r="D476" s="40" t="s">
        <v>402</v>
      </c>
      <c r="E476" s="41" t="s">
        <v>281</v>
      </c>
      <c r="F476" s="44">
        <v>3.5000000000000003E-2</v>
      </c>
      <c r="G476" s="39"/>
      <c r="H476" s="44">
        <f>SmtRes!CX129</f>
        <v>3.8500000000000001E-3</v>
      </c>
      <c r="I476" s="45">
        <f>SmtRes!CZ129</f>
        <v>55898.18</v>
      </c>
      <c r="J476" s="43">
        <f>SmtRes!AI129</f>
        <v>0.74</v>
      </c>
      <c r="K476" s="45">
        <f>ROUND(I476*J476, 2)</f>
        <v>41364.65</v>
      </c>
      <c r="L476" s="40"/>
      <c r="M476" s="45">
        <f>SmtRes!DF129</f>
        <v>159.25</v>
      </c>
    </row>
    <row r="477" spans="1:83" ht="28.5" x14ac:dyDescent="0.2">
      <c r="A477" s="40"/>
      <c r="B477" s="40"/>
      <c r="C477" s="40" t="s">
        <v>405</v>
      </c>
      <c r="D477" s="40" t="s">
        <v>407</v>
      </c>
      <c r="E477" s="41" t="s">
        <v>308</v>
      </c>
      <c r="F477" s="44">
        <v>400</v>
      </c>
      <c r="G477" s="39"/>
      <c r="H477" s="44">
        <f>SmtRes!CX131</f>
        <v>44</v>
      </c>
      <c r="I477" s="45">
        <f>SmtRes!CZ131</f>
        <v>17.96</v>
      </c>
      <c r="J477" s="43">
        <f>SmtRes!AI131</f>
        <v>1.33</v>
      </c>
      <c r="K477" s="45">
        <f>ROUND(I477*J477, 2)</f>
        <v>23.89</v>
      </c>
      <c r="L477" s="40"/>
      <c r="M477" s="45">
        <f>SmtRes!DF131</f>
        <v>1051.1600000000001</v>
      </c>
    </row>
    <row r="478" spans="1:83" ht="14.25" x14ac:dyDescent="0.2">
      <c r="A478" s="40"/>
      <c r="B478" s="40"/>
      <c r="C478" s="40" t="str">
        <f>EtalonRes!I129</f>
        <v>11.2.07.12</v>
      </c>
      <c r="D478" s="55" t="str">
        <f>EtalonRes!K129</f>
        <v>Изделия штучные</v>
      </c>
      <c r="E478" s="48" t="str">
        <f>EtalonRes!O129</f>
        <v>ШТ</v>
      </c>
      <c r="F478" s="49">
        <f>EtalonRes!X129</f>
        <v>100</v>
      </c>
      <c r="G478" s="47"/>
      <c r="H478" s="49">
        <f>ROUND(EtalonRes!AG129*Source!I153, 7)</f>
        <v>11</v>
      </c>
      <c r="I478" s="56"/>
      <c r="J478" s="57"/>
      <c r="K478" s="56"/>
      <c r="L478" s="55"/>
      <c r="M478" s="56"/>
    </row>
    <row r="479" spans="1:83" ht="15" x14ac:dyDescent="0.2">
      <c r="A479" s="40"/>
      <c r="B479" s="40"/>
      <c r="C479" s="40"/>
      <c r="D479" s="53" t="s">
        <v>472</v>
      </c>
      <c r="E479" s="41"/>
      <c r="F479" s="44"/>
      <c r="G479" s="39"/>
      <c r="H479" s="44"/>
      <c r="I479" s="45"/>
      <c r="J479" s="43"/>
      <c r="K479" s="45"/>
      <c r="L479" s="40"/>
      <c r="M479" s="45">
        <f>M466+M468+M469+M474</f>
        <v>3558.1400000000003</v>
      </c>
    </row>
    <row r="480" spans="1:83" ht="14.25" x14ac:dyDescent="0.2">
      <c r="A480" s="40"/>
      <c r="B480" s="40"/>
      <c r="C480" s="40"/>
      <c r="D480" s="40" t="s">
        <v>473</v>
      </c>
      <c r="E480" s="41"/>
      <c r="F480" s="44"/>
      <c r="G480" s="39"/>
      <c r="H480" s="44"/>
      <c r="I480" s="45"/>
      <c r="J480" s="43"/>
      <c r="K480" s="45"/>
      <c r="L480" s="40"/>
      <c r="M480" s="45">
        <f>SUM(AR465:AR483)+SUM(AS465:AS483)+SUM(AT465:AT483)+SUM(AU465:AU483)+SUM(AV465:AV483)</f>
        <v>2058.9699999999998</v>
      </c>
    </row>
    <row r="481" spans="1:82" ht="28.5" x14ac:dyDescent="0.2">
      <c r="A481" s="40"/>
      <c r="B481" s="40"/>
      <c r="C481" s="40" t="s">
        <v>557</v>
      </c>
      <c r="D481" s="40" t="s">
        <v>558</v>
      </c>
      <c r="E481" s="41" t="s">
        <v>384</v>
      </c>
      <c r="F481" s="44">
        <f>Source!BZ153</f>
        <v>108</v>
      </c>
      <c r="G481" s="39">
        <f>ROUND(0.9,7)</f>
        <v>0.9</v>
      </c>
      <c r="H481" s="44">
        <f>Source!AT153</f>
        <v>97.2</v>
      </c>
      <c r="I481" s="45"/>
      <c r="J481" s="43"/>
      <c r="K481" s="45"/>
      <c r="L481" s="40"/>
      <c r="M481" s="45">
        <f>SUM(AZ465:AZ483)</f>
        <v>2001.32</v>
      </c>
    </row>
    <row r="482" spans="1:82" ht="28.5" x14ac:dyDescent="0.2">
      <c r="A482" s="55"/>
      <c r="B482" s="55"/>
      <c r="C482" s="55" t="s">
        <v>559</v>
      </c>
      <c r="D482" s="55" t="s">
        <v>560</v>
      </c>
      <c r="E482" s="48" t="s">
        <v>384</v>
      </c>
      <c r="F482" s="49">
        <f>Source!CA153</f>
        <v>55</v>
      </c>
      <c r="G482" s="47">
        <f>ROUND(0.85,7)</f>
        <v>0.85</v>
      </c>
      <c r="H482" s="49">
        <f>Source!AU153</f>
        <v>46.75</v>
      </c>
      <c r="I482" s="56"/>
      <c r="J482" s="57"/>
      <c r="K482" s="56"/>
      <c r="L482" s="55"/>
      <c r="M482" s="56">
        <f>SUM(BA465:BA483)</f>
        <v>962.57</v>
      </c>
    </row>
    <row r="483" spans="1:82" ht="15" x14ac:dyDescent="0.2">
      <c r="D483" s="163" t="s">
        <v>476</v>
      </c>
      <c r="E483" s="163"/>
      <c r="F483" s="163"/>
      <c r="G483" s="163"/>
      <c r="H483" s="163"/>
      <c r="I483" s="163"/>
      <c r="J483" s="164">
        <f>L483/F465</f>
        <v>59291.181818181816</v>
      </c>
      <c r="K483" s="164"/>
      <c r="L483" s="164">
        <f>M466+M468+M474+M481+M482+M469</f>
        <v>6522.03</v>
      </c>
      <c r="M483" s="164"/>
      <c r="AD483">
        <f>ROUND((Source!AT153/100)*((ROUND(SUMIF(SmtRes!AQ124:'SmtRes'!AQ131,"=1",SmtRes!AD124:'SmtRes'!AD131)*Source!I153, 2)+ROUND(SUMIF(SmtRes!AQ124:'SmtRes'!AQ131,"=1",SmtRes!AC124:'SmtRes'!AC131)*Source!I153, 2))), 2)</f>
        <v>77.790000000000006</v>
      </c>
      <c r="AE483">
        <f>ROUND((Source!AU153/100)*((ROUND(SUMIF(SmtRes!AQ124:'SmtRes'!AQ131,"=1",SmtRes!AD124:'SmtRes'!AD131)*Source!I153, 2)+ROUND(SUMIF(SmtRes!AQ124:'SmtRes'!AQ131,"=1",SmtRes!AC124:'SmtRes'!AC131)*Source!I153, 2))), 2)</f>
        <v>37.409999999999997</v>
      </c>
      <c r="AN483" s="52">
        <f>M466+M468+M474+M481+M482+M469</f>
        <v>6522.03</v>
      </c>
      <c r="AO483" s="52">
        <f>M468</f>
        <v>195.04000000000002</v>
      </c>
      <c r="AQ483" t="s">
        <v>477</v>
      </c>
      <c r="AR483" s="52">
        <f>M466</f>
        <v>1911.84</v>
      </c>
      <c r="AT483" s="52">
        <f>M469</f>
        <v>147.13</v>
      </c>
      <c r="AV483" t="s">
        <v>477</v>
      </c>
      <c r="AW483" s="52">
        <f>M474</f>
        <v>1304.1300000000001</v>
      </c>
      <c r="AZ483">
        <f>Source!X153</f>
        <v>2001.32</v>
      </c>
      <c r="BA483">
        <f>Source!Y153</f>
        <v>962.57</v>
      </c>
      <c r="CD483">
        <v>1</v>
      </c>
    </row>
    <row r="484" spans="1:82" ht="28.5" x14ac:dyDescent="0.2">
      <c r="A484" s="38" t="s">
        <v>24</v>
      </c>
      <c r="B484" s="40">
        <v>3</v>
      </c>
      <c r="C484" s="40" t="s">
        <v>562</v>
      </c>
      <c r="D484" s="40" t="str">
        <f>Source!G154</f>
        <v>Очистка помещений от строительного мусора</v>
      </c>
      <c r="E484" s="41" t="str">
        <f>Source!H154</f>
        <v>100 т</v>
      </c>
      <c r="F484" s="44">
        <f>Source!K154</f>
        <v>1.4999999999999999E-2</v>
      </c>
      <c r="G484" s="39"/>
      <c r="H484" s="44">
        <f>Source!I154</f>
        <v>1.4999999999999999E-2</v>
      </c>
      <c r="I484" s="45"/>
      <c r="J484" s="43"/>
      <c r="K484" s="45"/>
      <c r="L484" s="40"/>
      <c r="M484" s="45"/>
    </row>
    <row r="485" spans="1:82" ht="15" x14ac:dyDescent="0.2">
      <c r="A485" s="39"/>
      <c r="B485" s="39"/>
      <c r="C485" s="42">
        <v>1</v>
      </c>
      <c r="D485" s="39" t="s">
        <v>470</v>
      </c>
      <c r="E485" s="41" t="s">
        <v>278</v>
      </c>
      <c r="F485" s="44"/>
      <c r="G485" s="42"/>
      <c r="H485" s="44">
        <f>Source!U154</f>
        <v>2.82</v>
      </c>
      <c r="I485" s="42"/>
      <c r="J485" s="42"/>
      <c r="K485" s="42"/>
      <c r="L485" s="42"/>
      <c r="M485" s="46">
        <f>SUM(M486:M486)-SUMIF(CE486:CE486, 1, M486:M486)</f>
        <v>567.13</v>
      </c>
    </row>
    <row r="486" spans="1:82" ht="28.5" x14ac:dyDescent="0.2">
      <c r="A486" s="40"/>
      <c r="B486" s="40"/>
      <c r="C486" s="40" t="s">
        <v>408</v>
      </c>
      <c r="D486" s="40" t="s">
        <v>409</v>
      </c>
      <c r="E486" s="41" t="s">
        <v>278</v>
      </c>
      <c r="F486" s="44">
        <v>188</v>
      </c>
      <c r="G486" s="39"/>
      <c r="H486" s="44">
        <f>SmtRes!CX132</f>
        <v>2.82</v>
      </c>
      <c r="I486" s="45"/>
      <c r="J486" s="43"/>
      <c r="K486" s="45">
        <f>SmtRes!CZ132</f>
        <v>201.11</v>
      </c>
      <c r="L486" s="40"/>
      <c r="M486" s="45">
        <f>SmtRes!DI132</f>
        <v>567.13</v>
      </c>
    </row>
    <row r="487" spans="1:82" ht="15" x14ac:dyDescent="0.2">
      <c r="A487" s="39"/>
      <c r="B487" s="39"/>
      <c r="C487" s="42">
        <v>4</v>
      </c>
      <c r="D487" s="47" t="s">
        <v>471</v>
      </c>
      <c r="E487" s="48"/>
      <c r="F487" s="49"/>
      <c r="G487" s="50"/>
      <c r="H487" s="49"/>
      <c r="I487" s="50"/>
      <c r="J487" s="50"/>
      <c r="K487" s="50"/>
      <c r="L487" s="50"/>
      <c r="M487" s="51">
        <f>0</f>
        <v>0</v>
      </c>
    </row>
    <row r="488" spans="1:82" ht="15" x14ac:dyDescent="0.2">
      <c r="A488" s="40"/>
      <c r="B488" s="40"/>
      <c r="C488" s="40"/>
      <c r="D488" s="53" t="s">
        <v>472</v>
      </c>
      <c r="E488" s="41"/>
      <c r="F488" s="44"/>
      <c r="G488" s="39"/>
      <c r="H488" s="44"/>
      <c r="I488" s="45"/>
      <c r="J488" s="43"/>
      <c r="K488" s="45"/>
      <c r="L488" s="40"/>
      <c r="M488" s="45">
        <f>M485+M487</f>
        <v>567.13</v>
      </c>
    </row>
    <row r="489" spans="1:82" ht="14.25" x14ac:dyDescent="0.2">
      <c r="A489" s="40"/>
      <c r="B489" s="40"/>
      <c r="C489" s="40"/>
      <c r="D489" s="40" t="s">
        <v>473</v>
      </c>
      <c r="E489" s="41"/>
      <c r="F489" s="44"/>
      <c r="G489" s="39"/>
      <c r="H489" s="44"/>
      <c r="I489" s="45"/>
      <c r="J489" s="43"/>
      <c r="K489" s="45"/>
      <c r="L489" s="40"/>
      <c r="M489" s="45">
        <f>SUM(AR484:AR492)+SUM(AS484:AS492)+SUM(AT484:AT492)+SUM(AU484:AU492)+SUM(AV484:AV492)</f>
        <v>567.13</v>
      </c>
    </row>
    <row r="490" spans="1:82" ht="28.5" x14ac:dyDescent="0.2">
      <c r="A490" s="40"/>
      <c r="B490" s="40"/>
      <c r="C490" s="40" t="s">
        <v>190</v>
      </c>
      <c r="D490" s="40" t="s">
        <v>563</v>
      </c>
      <c r="E490" s="41" t="s">
        <v>384</v>
      </c>
      <c r="F490" s="44">
        <f>Source!BZ154</f>
        <v>92</v>
      </c>
      <c r="G490" s="39"/>
      <c r="H490" s="44">
        <f>Source!AT154</f>
        <v>92</v>
      </c>
      <c r="I490" s="45"/>
      <c r="J490" s="43"/>
      <c r="K490" s="45"/>
      <c r="L490" s="40"/>
      <c r="M490" s="45">
        <f>SUM(AZ484:AZ492)</f>
        <v>521.76</v>
      </c>
    </row>
    <row r="491" spans="1:82" ht="28.5" x14ac:dyDescent="0.2">
      <c r="A491" s="55"/>
      <c r="B491" s="55"/>
      <c r="C491" s="55" t="s">
        <v>191</v>
      </c>
      <c r="D491" s="55" t="s">
        <v>564</v>
      </c>
      <c r="E491" s="48" t="s">
        <v>384</v>
      </c>
      <c r="F491" s="49">
        <f>Source!CA154</f>
        <v>44</v>
      </c>
      <c r="G491" s="47"/>
      <c r="H491" s="49">
        <f>Source!AU154</f>
        <v>44</v>
      </c>
      <c r="I491" s="56"/>
      <c r="J491" s="57"/>
      <c r="K491" s="56"/>
      <c r="L491" s="55"/>
      <c r="M491" s="56">
        <f>SUM(BA484:BA492)</f>
        <v>249.54</v>
      </c>
    </row>
    <row r="492" spans="1:82" ht="15" x14ac:dyDescent="0.2">
      <c r="D492" s="163" t="s">
        <v>476</v>
      </c>
      <c r="E492" s="163"/>
      <c r="F492" s="163"/>
      <c r="G492" s="163"/>
      <c r="H492" s="163"/>
      <c r="I492" s="163"/>
      <c r="J492" s="164">
        <f>L492/F484</f>
        <v>89228.666666666657</v>
      </c>
      <c r="K492" s="164"/>
      <c r="L492" s="164">
        <f>M485+M487+M490+M491</f>
        <v>1338.4299999999998</v>
      </c>
      <c r="M492" s="164"/>
      <c r="AD492">
        <f>ROUND((Source!AT154/100)*((ROUND(SUMIF(SmtRes!AQ132:'SmtRes'!AQ133,"=1",SmtRes!AD132:'SmtRes'!AD133)*Source!I154, 2)+ROUND(SUMIF(SmtRes!AQ132:'SmtRes'!AQ133,"=1",SmtRes!AC132:'SmtRes'!AC133)*Source!I154, 2))), 2)</f>
        <v>2.78</v>
      </c>
      <c r="AE492">
        <f>ROUND((Source!AU154/100)*((ROUND(SUMIF(SmtRes!AQ132:'SmtRes'!AQ133,"=1",SmtRes!AD132:'SmtRes'!AD133)*Source!I154, 2)+ROUND(SUMIF(SmtRes!AQ132:'SmtRes'!AQ133,"=1",SmtRes!AC132:'SmtRes'!AC133)*Source!I154, 2))), 2)</f>
        <v>1.33</v>
      </c>
      <c r="AN492" s="52">
        <f>M485+M487+M490+M491</f>
        <v>1338.4299999999998</v>
      </c>
      <c r="AO492">
        <f>0</f>
        <v>0</v>
      </c>
      <c r="AQ492" t="s">
        <v>477</v>
      </c>
      <c r="AR492" s="52">
        <f>M485</f>
        <v>567.13</v>
      </c>
      <c r="AT492">
        <f>0</f>
        <v>0</v>
      </c>
      <c r="AV492" t="s">
        <v>477</v>
      </c>
      <c r="AW492" s="52">
        <f>M487</f>
        <v>0</v>
      </c>
      <c r="AZ492">
        <f>Source!X154</f>
        <v>521.76</v>
      </c>
      <c r="BA492">
        <f>Source!Y154</f>
        <v>249.54</v>
      </c>
      <c r="CD492">
        <v>1</v>
      </c>
    </row>
    <row r="493" spans="1:82" ht="42.75" x14ac:dyDescent="0.2">
      <c r="A493" s="62" t="s">
        <v>56</v>
      </c>
      <c r="B493" s="55">
        <v>4</v>
      </c>
      <c r="C493" s="55" t="s">
        <v>192</v>
      </c>
      <c r="D493" s="55" t="str">
        <f>Source!G155</f>
        <v>Погрузка в автотранспортное средство: мусор строительный с погрузкой вручную</v>
      </c>
      <c r="E493" s="48" t="str">
        <f>Source!H155</f>
        <v>1т груза</v>
      </c>
      <c r="F493" s="49">
        <f>Source!K155</f>
        <v>1.2508239999999999</v>
      </c>
      <c r="G493" s="47"/>
      <c r="H493" s="49">
        <f>Source!I155</f>
        <v>1.2508239999999999</v>
      </c>
      <c r="I493" s="56"/>
      <c r="J493" s="57"/>
      <c r="K493" s="56">
        <f>Source!AB155</f>
        <v>722.52</v>
      </c>
      <c r="L493" s="55"/>
      <c r="M493" s="56">
        <f>Source!HD155</f>
        <v>903.75</v>
      </c>
    </row>
    <row r="494" spans="1:82" ht="15" x14ac:dyDescent="0.2">
      <c r="D494" s="163" t="s">
        <v>476</v>
      </c>
      <c r="E494" s="163"/>
      <c r="F494" s="163"/>
      <c r="G494" s="163"/>
      <c r="H494" s="163"/>
      <c r="I494" s="163"/>
      <c r="J494" s="164">
        <f>L494/F493</f>
        <v>722.52371236880651</v>
      </c>
      <c r="K494" s="164"/>
      <c r="L494" s="164">
        <f>M493</f>
        <v>903.75</v>
      </c>
      <c r="M494" s="164"/>
      <c r="AD494">
        <f>ROUND((Source!AT155/100)*((ROUND(0*Source!I155, 2)+ROUND(0*Source!I155, 2))), 2)</f>
        <v>0</v>
      </c>
      <c r="AE494">
        <f>ROUND((Source!AU155/100)*((ROUND(0*Source!I155, 2)+ROUND(0*Source!I155, 2))), 2)</f>
        <v>0</v>
      </c>
      <c r="AN494" s="52">
        <f>M493</f>
        <v>903.75</v>
      </c>
      <c r="AP494">
        <f>0</f>
        <v>0</v>
      </c>
      <c r="AQ494" t="s">
        <v>477</v>
      </c>
      <c r="AS494">
        <f>0</f>
        <v>0</v>
      </c>
      <c r="AU494">
        <f>0</f>
        <v>0</v>
      </c>
      <c r="AV494" t="s">
        <v>477</v>
      </c>
      <c r="AZ494">
        <f>Source!X155</f>
        <v>0</v>
      </c>
      <c r="BA494">
        <f>Source!Y155</f>
        <v>0</v>
      </c>
      <c r="BB494" s="52">
        <f>M493</f>
        <v>903.75</v>
      </c>
      <c r="CD494">
        <v>1</v>
      </c>
    </row>
    <row r="495" spans="1:82" ht="128.25" x14ac:dyDescent="0.2">
      <c r="A495" s="62" t="s">
        <v>43</v>
      </c>
      <c r="B495" s="55">
        <v>6</v>
      </c>
      <c r="C495" s="55" t="s">
        <v>199</v>
      </c>
      <c r="D495" s="55" t="str">
        <f>Source!G156</f>
        <v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v>
      </c>
      <c r="E495" s="48" t="str">
        <f>Source!H156</f>
        <v>1т груза</v>
      </c>
      <c r="F495" s="49">
        <f>Source!K156</f>
        <v>1.2508239999999999</v>
      </c>
      <c r="G495" s="47"/>
      <c r="H495" s="49">
        <f>Source!I156</f>
        <v>1.2508239999999999</v>
      </c>
      <c r="I495" s="56"/>
      <c r="J495" s="57"/>
      <c r="K495" s="56">
        <f>Source!AB156</f>
        <v>166.07</v>
      </c>
      <c r="L495" s="55"/>
      <c r="M495" s="56">
        <f>Source!HD156</f>
        <v>207.72</v>
      </c>
    </row>
    <row r="496" spans="1:82" ht="15" x14ac:dyDescent="0.2">
      <c r="D496" s="163" t="s">
        <v>476</v>
      </c>
      <c r="E496" s="163"/>
      <c r="F496" s="163"/>
      <c r="G496" s="163"/>
      <c r="H496" s="163"/>
      <c r="I496" s="163"/>
      <c r="J496" s="164">
        <f>L496/F495</f>
        <v>166.06652894412005</v>
      </c>
      <c r="K496" s="164"/>
      <c r="L496" s="164">
        <f>M495</f>
        <v>207.72</v>
      </c>
      <c r="M496" s="164"/>
      <c r="AD496">
        <f>ROUND((Source!AT156/100)*((ROUND(0*Source!I156, 2)+ROUND(0*Source!I156, 2))), 2)</f>
        <v>0</v>
      </c>
      <c r="AE496">
        <f>ROUND((Source!AU156/100)*((ROUND(0*Source!I156, 2)+ROUND(0*Source!I156, 2))), 2)</f>
        <v>0</v>
      </c>
      <c r="AN496" s="52">
        <f>M495</f>
        <v>207.72</v>
      </c>
      <c r="AP496">
        <f>0</f>
        <v>0</v>
      </c>
      <c r="AQ496" t="s">
        <v>477</v>
      </c>
      <c r="AS496">
        <f>0</f>
        <v>0</v>
      </c>
      <c r="AU496">
        <f>0</f>
        <v>0</v>
      </c>
      <c r="AV496" t="s">
        <v>477</v>
      </c>
      <c r="AZ496">
        <f>Source!X156</f>
        <v>0</v>
      </c>
      <c r="BA496">
        <f>Source!Y156</f>
        <v>0</v>
      </c>
      <c r="BB496" s="52">
        <f>M495</f>
        <v>207.72</v>
      </c>
      <c r="CD496">
        <v>1</v>
      </c>
    </row>
    <row r="498" spans="1:13" ht="15" x14ac:dyDescent="0.2">
      <c r="A498" s="59"/>
      <c r="B498" s="59"/>
      <c r="C498" s="60"/>
      <c r="D498" s="166" t="s">
        <v>520</v>
      </c>
      <c r="E498" s="166"/>
      <c r="F498" s="166"/>
      <c r="G498" s="166"/>
      <c r="H498" s="166"/>
      <c r="I498" s="166"/>
      <c r="J498" s="46"/>
      <c r="K498" s="59"/>
      <c r="L498" s="61"/>
      <c r="M498" s="46">
        <f>M500+M501+M507+M511</f>
        <v>8794.8799999999992</v>
      </c>
    </row>
    <row r="499" spans="1:13" ht="14.25" x14ac:dyDescent="0.2">
      <c r="A499" s="54"/>
      <c r="B499" s="54"/>
      <c r="C499" s="58"/>
      <c r="D499" s="167" t="s">
        <v>521</v>
      </c>
      <c r="E499" s="168"/>
      <c r="F499" s="168"/>
      <c r="G499" s="168"/>
      <c r="H499" s="168"/>
      <c r="I499" s="168"/>
      <c r="J499" s="45"/>
      <c r="K499" s="54"/>
      <c r="L499" s="42"/>
      <c r="M499" s="45"/>
    </row>
    <row r="500" spans="1:13" ht="14.25" x14ac:dyDescent="0.2">
      <c r="A500" s="54"/>
      <c r="B500" s="54"/>
      <c r="C500" s="58"/>
      <c r="D500" s="168" t="s">
        <v>522</v>
      </c>
      <c r="E500" s="168"/>
      <c r="F500" s="168"/>
      <c r="G500" s="168"/>
      <c r="H500" s="168"/>
      <c r="I500" s="168"/>
      <c r="J500" s="45"/>
      <c r="K500" s="54"/>
      <c r="L500" s="42"/>
      <c r="M500" s="45">
        <f>SUM(AR445:AR496)</f>
        <v>4390.8099999999995</v>
      </c>
    </row>
    <row r="501" spans="1:13" ht="14.25" hidden="1" x14ac:dyDescent="0.2">
      <c r="A501" s="54"/>
      <c r="B501" s="54"/>
      <c r="C501" s="58"/>
      <c r="D501" s="168" t="s">
        <v>523</v>
      </c>
      <c r="E501" s="168"/>
      <c r="F501" s="168"/>
      <c r="G501" s="168"/>
      <c r="H501" s="168"/>
      <c r="I501" s="168"/>
      <c r="J501" s="45"/>
      <c r="K501" s="54"/>
      <c r="L501" s="42"/>
      <c r="M501" s="45">
        <f>M503+M506+M505</f>
        <v>684.34</v>
      </c>
    </row>
    <row r="502" spans="1:13" ht="14.25" hidden="1" x14ac:dyDescent="0.2">
      <c r="A502" s="54"/>
      <c r="B502" s="54"/>
      <c r="C502" s="58"/>
      <c r="D502" s="167" t="s">
        <v>524</v>
      </c>
      <c r="E502" s="168"/>
      <c r="F502" s="168"/>
      <c r="G502" s="168"/>
      <c r="H502" s="168"/>
      <c r="I502" s="168"/>
      <c r="J502" s="45"/>
      <c r="K502" s="54"/>
      <c r="L502" s="42"/>
      <c r="M502" s="45"/>
    </row>
    <row r="503" spans="1:13" ht="14.25" x14ac:dyDescent="0.2">
      <c r="A503" s="54"/>
      <c r="B503" s="54"/>
      <c r="C503" s="58"/>
      <c r="D503" s="168" t="s">
        <v>523</v>
      </c>
      <c r="E503" s="168"/>
      <c r="F503" s="168"/>
      <c r="G503" s="168"/>
      <c r="H503" s="168"/>
      <c r="I503" s="168"/>
      <c r="J503" s="45"/>
      <c r="K503" s="54"/>
      <c r="L503" s="42"/>
      <c r="M503" s="45">
        <f>SUM(AO445:AO496)</f>
        <v>390.08000000000004</v>
      </c>
    </row>
    <row r="504" spans="1:13" ht="14.25" hidden="1" x14ac:dyDescent="0.2">
      <c r="A504" s="54"/>
      <c r="B504" s="54"/>
      <c r="C504" s="58"/>
      <c r="D504" s="167" t="s">
        <v>525</v>
      </c>
      <c r="E504" s="168"/>
      <c r="F504" s="168"/>
      <c r="G504" s="168"/>
      <c r="H504" s="168"/>
      <c r="I504" s="168"/>
      <c r="J504" s="45"/>
      <c r="K504" s="54"/>
      <c r="L504" s="42"/>
      <c r="M504" s="45"/>
    </row>
    <row r="505" spans="1:13" ht="14.25" x14ac:dyDescent="0.2">
      <c r="A505" s="54"/>
      <c r="B505" s="54"/>
      <c r="C505" s="58"/>
      <c r="D505" s="168" t="s">
        <v>545</v>
      </c>
      <c r="E505" s="168"/>
      <c r="F505" s="168"/>
      <c r="G505" s="168"/>
      <c r="H505" s="168"/>
      <c r="I505" s="168"/>
      <c r="J505" s="45"/>
      <c r="K505" s="54"/>
      <c r="L505" s="42"/>
      <c r="M505" s="45">
        <f>SUM(AT445:AT496)</f>
        <v>294.26</v>
      </c>
    </row>
    <row r="506" spans="1:13" ht="14.25" hidden="1" x14ac:dyDescent="0.2">
      <c r="A506" s="54"/>
      <c r="B506" s="54"/>
      <c r="C506" s="58"/>
      <c r="D506" s="168" t="s">
        <v>526</v>
      </c>
      <c r="E506" s="168"/>
      <c r="F506" s="168"/>
      <c r="G506" s="168"/>
      <c r="H506" s="168"/>
      <c r="I506" s="168"/>
      <c r="J506" s="45"/>
      <c r="K506" s="54"/>
      <c r="L506" s="42"/>
      <c r="M506" s="45">
        <f>SUM(AV445:AV496)</f>
        <v>0</v>
      </c>
    </row>
    <row r="507" spans="1:13" ht="14.25" x14ac:dyDescent="0.2">
      <c r="A507" s="54"/>
      <c r="B507" s="54"/>
      <c r="C507" s="58"/>
      <c r="D507" s="168" t="s">
        <v>527</v>
      </c>
      <c r="E507" s="168"/>
      <c r="F507" s="168"/>
      <c r="G507" s="168"/>
      <c r="H507" s="168"/>
      <c r="I507" s="168"/>
      <c r="J507" s="45"/>
      <c r="K507" s="54"/>
      <c r="L507" s="42"/>
      <c r="M507" s="45">
        <f>M509+M510</f>
        <v>2608.2600000000002</v>
      </c>
    </row>
    <row r="508" spans="1:13" ht="14.25" x14ac:dyDescent="0.2">
      <c r="A508" s="54"/>
      <c r="B508" s="54"/>
      <c r="C508" s="58"/>
      <c r="D508" s="167" t="s">
        <v>524</v>
      </c>
      <c r="E508" s="168"/>
      <c r="F508" s="168"/>
      <c r="G508" s="168"/>
      <c r="H508" s="168"/>
      <c r="I508" s="168"/>
      <c r="J508" s="45"/>
      <c r="K508" s="54"/>
      <c r="L508" s="42"/>
      <c r="M508" s="45"/>
    </row>
    <row r="509" spans="1:13" ht="14.25" x14ac:dyDescent="0.2">
      <c r="A509" s="54"/>
      <c r="B509" s="54"/>
      <c r="C509" s="58"/>
      <c r="D509" s="168" t="s">
        <v>528</v>
      </c>
      <c r="E509" s="168"/>
      <c r="F509" s="168"/>
      <c r="G509" s="168"/>
      <c r="H509" s="168"/>
      <c r="I509" s="168"/>
      <c r="J509" s="45"/>
      <c r="K509" s="54"/>
      <c r="L509" s="42"/>
      <c r="M509" s="45">
        <f>SUM(AW445:AW496)-SUM(BK445:BK496)</f>
        <v>2608.2600000000002</v>
      </c>
    </row>
    <row r="510" spans="1:13" ht="14.25" hidden="1" x14ac:dyDescent="0.2">
      <c r="A510" s="54"/>
      <c r="B510" s="54"/>
      <c r="C510" s="58"/>
      <c r="D510" s="168" t="s">
        <v>529</v>
      </c>
      <c r="E510" s="168"/>
      <c r="F510" s="168"/>
      <c r="G510" s="168"/>
      <c r="H510" s="168"/>
      <c r="I510" s="168"/>
      <c r="J510" s="45"/>
      <c r="K510" s="54"/>
      <c r="L510" s="42"/>
      <c r="M510" s="45">
        <f>SUM(BC445:BC496)</f>
        <v>0</v>
      </c>
    </row>
    <row r="511" spans="1:13" ht="14.25" x14ac:dyDescent="0.2">
      <c r="A511" s="54"/>
      <c r="B511" s="54"/>
      <c r="C511" s="58"/>
      <c r="D511" s="168" t="s">
        <v>530</v>
      </c>
      <c r="E511" s="168"/>
      <c r="F511" s="168"/>
      <c r="G511" s="168"/>
      <c r="H511" s="168"/>
      <c r="I511" s="168"/>
      <c r="J511" s="45"/>
      <c r="K511" s="54"/>
      <c r="L511" s="42"/>
      <c r="M511" s="45">
        <f>SUM(BB445:BB496)</f>
        <v>1111.47</v>
      </c>
    </row>
    <row r="512" spans="1:13" ht="14.25" x14ac:dyDescent="0.2">
      <c r="A512" s="54"/>
      <c r="B512" s="54"/>
      <c r="C512" s="58"/>
      <c r="D512" s="168" t="s">
        <v>531</v>
      </c>
      <c r="E512" s="168"/>
      <c r="F512" s="168"/>
      <c r="G512" s="168"/>
      <c r="H512" s="168"/>
      <c r="I512" s="168"/>
      <c r="J512" s="45"/>
      <c r="K512" s="54"/>
      <c r="L512" s="42"/>
      <c r="M512" s="45">
        <f>SUM(AR445:AR496)+SUM(AT445:AT496)+SUM(AV445:AV496)</f>
        <v>4685.07</v>
      </c>
    </row>
    <row r="513" spans="1:13" ht="14.25" x14ac:dyDescent="0.2">
      <c r="A513" s="54"/>
      <c r="B513" s="54"/>
      <c r="C513" s="58"/>
      <c r="D513" s="168" t="s">
        <v>532</v>
      </c>
      <c r="E513" s="168"/>
      <c r="F513" s="168"/>
      <c r="G513" s="168"/>
      <c r="H513" s="168"/>
      <c r="I513" s="168"/>
      <c r="J513" s="45"/>
      <c r="K513" s="54"/>
      <c r="L513" s="42"/>
      <c r="M513" s="45">
        <f>SUM(AZ445:AZ496)</f>
        <v>4524.3999999999996</v>
      </c>
    </row>
    <row r="514" spans="1:13" ht="14.25" x14ac:dyDescent="0.2">
      <c r="A514" s="54"/>
      <c r="B514" s="54"/>
      <c r="C514" s="58"/>
      <c r="D514" s="168" t="s">
        <v>533</v>
      </c>
      <c r="E514" s="168"/>
      <c r="F514" s="168"/>
      <c r="G514" s="168"/>
      <c r="H514" s="168"/>
      <c r="I514" s="168"/>
      <c r="J514" s="45"/>
      <c r="K514" s="54"/>
      <c r="L514" s="42"/>
      <c r="M514" s="45">
        <f>SUM(BA445:BA496)</f>
        <v>2174.6800000000003</v>
      </c>
    </row>
    <row r="515" spans="1:13" ht="14.25" hidden="1" x14ac:dyDescent="0.2">
      <c r="A515" s="54"/>
      <c r="B515" s="54"/>
      <c r="C515" s="58"/>
      <c r="D515" s="168" t="s">
        <v>534</v>
      </c>
      <c r="E515" s="168"/>
      <c r="F515" s="168"/>
      <c r="G515" s="168"/>
      <c r="H515" s="168"/>
      <c r="I515" s="168"/>
      <c r="J515" s="45"/>
      <c r="K515" s="54"/>
      <c r="L515" s="42"/>
      <c r="M515" s="45">
        <f>M517+M518</f>
        <v>0</v>
      </c>
    </row>
    <row r="516" spans="1:13" ht="14.25" hidden="1" x14ac:dyDescent="0.2">
      <c r="A516" s="54"/>
      <c r="B516" s="54"/>
      <c r="C516" s="58"/>
      <c r="D516" s="167" t="s">
        <v>521</v>
      </c>
      <c r="E516" s="168"/>
      <c r="F516" s="168"/>
      <c r="G516" s="168"/>
      <c r="H516" s="168"/>
      <c r="I516" s="168"/>
      <c r="J516" s="45"/>
      <c r="K516" s="54"/>
      <c r="L516" s="42"/>
      <c r="M516" s="45"/>
    </row>
    <row r="517" spans="1:13" ht="14.25" hidden="1" x14ac:dyDescent="0.2">
      <c r="A517" s="54"/>
      <c r="B517" s="54"/>
      <c r="C517" s="58"/>
      <c r="D517" s="168" t="s">
        <v>535</v>
      </c>
      <c r="E517" s="168"/>
      <c r="F517" s="168"/>
      <c r="G517" s="168"/>
      <c r="H517" s="168"/>
      <c r="I517" s="168"/>
      <c r="J517" s="45"/>
      <c r="K517" s="54"/>
      <c r="L517" s="42"/>
      <c r="M517" s="45">
        <f>SUM(BK445:BK496)</f>
        <v>0</v>
      </c>
    </row>
    <row r="518" spans="1:13" ht="14.25" hidden="1" x14ac:dyDescent="0.2">
      <c r="A518" s="54"/>
      <c r="B518" s="54"/>
      <c r="C518" s="58"/>
      <c r="D518" s="168" t="s">
        <v>536</v>
      </c>
      <c r="E518" s="168"/>
      <c r="F518" s="168"/>
      <c r="G518" s="168"/>
      <c r="H518" s="168"/>
      <c r="I518" s="168"/>
      <c r="J518" s="45"/>
      <c r="K518" s="54"/>
      <c r="L518" s="42"/>
      <c r="M518" s="45">
        <f>SUM(BD445:BD496)</f>
        <v>0</v>
      </c>
    </row>
    <row r="519" spans="1:13" ht="14.25" hidden="1" x14ac:dyDescent="0.2">
      <c r="A519" s="54"/>
      <c r="B519" s="54"/>
      <c r="C519" s="58"/>
      <c r="D519" s="168" t="s">
        <v>537</v>
      </c>
      <c r="E519" s="168"/>
      <c r="F519" s="168"/>
      <c r="G519" s="168"/>
      <c r="H519" s="168"/>
      <c r="I519" s="168"/>
      <c r="J519" s="45"/>
      <c r="K519" s="54"/>
      <c r="L519" s="42"/>
      <c r="M519" s="45"/>
    </row>
    <row r="520" spans="1:13" ht="14.25" hidden="1" x14ac:dyDescent="0.2">
      <c r="A520" s="54"/>
      <c r="B520" s="54"/>
      <c r="C520" s="58"/>
      <c r="D520" s="168" t="s">
        <v>538</v>
      </c>
      <c r="E520" s="168"/>
      <c r="F520" s="168"/>
      <c r="G520" s="168"/>
      <c r="H520" s="168"/>
      <c r="I520" s="168"/>
      <c r="J520" s="45"/>
      <c r="K520" s="54"/>
      <c r="L520" s="42"/>
      <c r="M520" s="45">
        <f>SUM(BO445:BO496)</f>
        <v>0</v>
      </c>
    </row>
    <row r="521" spans="1:13" ht="15" x14ac:dyDescent="0.2">
      <c r="A521" s="59"/>
      <c r="B521" s="59"/>
      <c r="C521" s="60"/>
      <c r="D521" s="166" t="s">
        <v>539</v>
      </c>
      <c r="E521" s="166"/>
      <c r="F521" s="166"/>
      <c r="G521" s="166"/>
      <c r="H521" s="166"/>
      <c r="I521" s="166"/>
      <c r="J521" s="46"/>
      <c r="K521" s="59"/>
      <c r="L521" s="61"/>
      <c r="M521" s="46">
        <f>M498+M513+M514+M515+M519+M520</f>
        <v>15493.96</v>
      </c>
    </row>
    <row r="522" spans="1:13" ht="14.25" x14ac:dyDescent="0.2">
      <c r="A522" s="54"/>
      <c r="B522" s="54"/>
      <c r="C522" s="58"/>
      <c r="D522" s="167" t="s">
        <v>540</v>
      </c>
      <c r="E522" s="168"/>
      <c r="F522" s="168"/>
      <c r="G522" s="168"/>
      <c r="H522" s="168"/>
      <c r="I522" s="168"/>
      <c r="J522" s="45"/>
      <c r="K522" s="54"/>
      <c r="L522" s="42"/>
      <c r="M522" s="45"/>
    </row>
    <row r="523" spans="1:13" ht="14.25" hidden="1" x14ac:dyDescent="0.2">
      <c r="A523" s="54"/>
      <c r="B523" s="54"/>
      <c r="C523" s="58"/>
      <c r="D523" s="168" t="s">
        <v>541</v>
      </c>
      <c r="E523" s="168"/>
      <c r="F523" s="168"/>
      <c r="G523" s="168"/>
      <c r="H523" s="168"/>
      <c r="I523" s="168"/>
      <c r="J523" s="45"/>
      <c r="K523" s="54"/>
      <c r="L523" s="42"/>
      <c r="M523" s="45">
        <f>SUM(AX445:AX496)</f>
        <v>0</v>
      </c>
    </row>
    <row r="524" spans="1:13" ht="14.25" hidden="1" x14ac:dyDescent="0.2">
      <c r="A524" s="54"/>
      <c r="B524" s="54"/>
      <c r="C524" s="58"/>
      <c r="D524" s="168" t="s">
        <v>542</v>
      </c>
      <c r="E524" s="168"/>
      <c r="F524" s="168"/>
      <c r="G524" s="168"/>
      <c r="H524" s="168"/>
      <c r="I524" s="168"/>
      <c r="J524" s="45"/>
      <c r="K524" s="54"/>
      <c r="L524" s="42"/>
      <c r="M524" s="45">
        <f>SUM(AY445:AY496)</f>
        <v>0</v>
      </c>
    </row>
    <row r="525" spans="1:13" ht="14.25" x14ac:dyDescent="0.2">
      <c r="A525" s="54"/>
      <c r="B525" s="54"/>
      <c r="C525" s="58"/>
      <c r="D525" s="168" t="s">
        <v>543</v>
      </c>
      <c r="E525" s="168"/>
      <c r="F525" s="168"/>
      <c r="G525" s="169"/>
      <c r="H525" s="44">
        <f>Source!F180</f>
        <v>19.9481</v>
      </c>
      <c r="I525" s="54"/>
      <c r="J525" s="54"/>
      <c r="K525" s="54"/>
      <c r="L525" s="54"/>
      <c r="M525" s="54"/>
    </row>
    <row r="526" spans="1:13" ht="14.25" x14ac:dyDescent="0.2">
      <c r="A526" s="54"/>
      <c r="B526" s="54"/>
      <c r="C526" s="58"/>
      <c r="D526" s="168" t="s">
        <v>544</v>
      </c>
      <c r="E526" s="168"/>
      <c r="F526" s="168"/>
      <c r="G526" s="169"/>
      <c r="H526" s="44">
        <f>Source!F181</f>
        <v>1.155</v>
      </c>
      <c r="I526" s="54"/>
      <c r="J526" s="54"/>
      <c r="K526" s="54"/>
      <c r="L526" s="54"/>
      <c r="M526" s="54"/>
    </row>
    <row r="529" spans="1:13" ht="15" x14ac:dyDescent="0.2">
      <c r="A529" s="63"/>
      <c r="B529" s="63"/>
      <c r="C529" s="64"/>
      <c r="D529" s="170" t="s">
        <v>612</v>
      </c>
      <c r="E529" s="170"/>
      <c r="F529" s="170"/>
      <c r="G529" s="170"/>
      <c r="H529" s="170"/>
      <c r="I529" s="170"/>
      <c r="J529" s="65"/>
      <c r="K529" s="63"/>
      <c r="L529" s="66"/>
      <c r="M529" s="65"/>
    </row>
    <row r="531" spans="1:13" ht="15" x14ac:dyDescent="0.2">
      <c r="A531" s="59"/>
      <c r="B531" s="59"/>
      <c r="C531" s="60"/>
      <c r="D531" s="166" t="s">
        <v>566</v>
      </c>
      <c r="E531" s="166"/>
      <c r="F531" s="166"/>
      <c r="G531" s="166"/>
      <c r="H531" s="166"/>
      <c r="I531" s="166"/>
      <c r="J531" s="46"/>
      <c r="K531" s="59"/>
      <c r="L531" s="61"/>
      <c r="M531" s="46">
        <f>M533+M548+M549</f>
        <v>302909.68</v>
      </c>
    </row>
    <row r="532" spans="1:13" ht="14.25" x14ac:dyDescent="0.2">
      <c r="A532" s="54"/>
      <c r="B532" s="54"/>
      <c r="C532" s="58"/>
      <c r="D532" s="167" t="s">
        <v>521</v>
      </c>
      <c r="E532" s="168"/>
      <c r="F532" s="168"/>
      <c r="G532" s="168"/>
      <c r="H532" s="168"/>
      <c r="I532" s="168"/>
      <c r="J532" s="45"/>
      <c r="K532" s="54"/>
      <c r="L532" s="42"/>
      <c r="M532" s="45"/>
    </row>
    <row r="533" spans="1:13" ht="14.25" x14ac:dyDescent="0.2">
      <c r="A533" s="54"/>
      <c r="B533" s="54"/>
      <c r="C533" s="58"/>
      <c r="D533" s="168" t="s">
        <v>567</v>
      </c>
      <c r="E533" s="168"/>
      <c r="F533" s="168"/>
      <c r="G533" s="168"/>
      <c r="H533" s="168"/>
      <c r="I533" s="168"/>
      <c r="J533" s="45"/>
      <c r="K533" s="54"/>
      <c r="L533" s="42"/>
      <c r="M533" s="45">
        <f>M535+M536+M542+M546</f>
        <v>197995.69000000003</v>
      </c>
    </row>
    <row r="534" spans="1:13" ht="14.25" x14ac:dyDescent="0.2">
      <c r="A534" s="54"/>
      <c r="B534" s="54"/>
      <c r="C534" s="58"/>
      <c r="D534" s="167" t="s">
        <v>521</v>
      </c>
      <c r="E534" s="168"/>
      <c r="F534" s="168"/>
      <c r="G534" s="168"/>
      <c r="H534" s="168"/>
      <c r="I534" s="168"/>
      <c r="J534" s="45"/>
      <c r="K534" s="54"/>
      <c r="L534" s="42"/>
      <c r="M534" s="45"/>
    </row>
    <row r="535" spans="1:13" ht="14.25" x14ac:dyDescent="0.2">
      <c r="A535" s="54"/>
      <c r="B535" s="54"/>
      <c r="C535" s="58"/>
      <c r="D535" s="168" t="s">
        <v>568</v>
      </c>
      <c r="E535" s="168"/>
      <c r="F535" s="168"/>
      <c r="G535" s="168"/>
      <c r="H535" s="168"/>
      <c r="I535" s="168"/>
      <c r="J535" s="45"/>
      <c r="K535" s="54"/>
      <c r="L535" s="42"/>
      <c r="M535" s="45">
        <f>SUMIF(CD39:CD527, 1, AR39:AR527)</f>
        <v>73826.7</v>
      </c>
    </row>
    <row r="536" spans="1:13" ht="14.25" hidden="1" x14ac:dyDescent="0.2">
      <c r="A536" s="54"/>
      <c r="B536" s="54"/>
      <c r="C536" s="58"/>
      <c r="D536" s="168" t="s">
        <v>523</v>
      </c>
      <c r="E536" s="168"/>
      <c r="F536" s="168"/>
      <c r="G536" s="168"/>
      <c r="H536" s="168"/>
      <c r="I536" s="168"/>
      <c r="J536" s="45"/>
      <c r="K536" s="54"/>
      <c r="L536" s="42"/>
      <c r="M536" s="45">
        <f>M538+M541+M540</f>
        <v>1249.4000000000001</v>
      </c>
    </row>
    <row r="537" spans="1:13" ht="14.25" hidden="1" x14ac:dyDescent="0.2">
      <c r="A537" s="54"/>
      <c r="B537" s="54"/>
      <c r="C537" s="58"/>
      <c r="D537" s="167" t="s">
        <v>524</v>
      </c>
      <c r="E537" s="168"/>
      <c r="F537" s="168"/>
      <c r="G537" s="168"/>
      <c r="H537" s="168"/>
      <c r="I537" s="168"/>
      <c r="J537" s="45"/>
      <c r="K537" s="54"/>
      <c r="L537" s="42"/>
      <c r="M537" s="45"/>
    </row>
    <row r="538" spans="1:13" ht="14.25" x14ac:dyDescent="0.2">
      <c r="A538" s="54"/>
      <c r="B538" s="54"/>
      <c r="C538" s="58"/>
      <c r="D538" s="168" t="s">
        <v>523</v>
      </c>
      <c r="E538" s="168"/>
      <c r="F538" s="168"/>
      <c r="G538" s="168"/>
      <c r="H538" s="168"/>
      <c r="I538" s="168"/>
      <c r="J538" s="45"/>
      <c r="K538" s="54"/>
      <c r="L538" s="42"/>
      <c r="M538" s="45">
        <f>SUMIF(CD39:CD527, 1, AO39:AO527)</f>
        <v>756.40000000000009</v>
      </c>
    </row>
    <row r="539" spans="1:13" ht="14.25" hidden="1" x14ac:dyDescent="0.2">
      <c r="A539" s="54"/>
      <c r="B539" s="54"/>
      <c r="C539" s="58"/>
      <c r="D539" s="167" t="s">
        <v>525</v>
      </c>
      <c r="E539" s="168"/>
      <c r="F539" s="168"/>
      <c r="G539" s="168"/>
      <c r="H539" s="168"/>
      <c r="I539" s="168"/>
      <c r="J539" s="45"/>
      <c r="K539" s="54"/>
      <c r="L539" s="42"/>
      <c r="M539" s="45"/>
    </row>
    <row r="540" spans="1:13" ht="14.25" x14ac:dyDescent="0.2">
      <c r="A540" s="54"/>
      <c r="B540" s="54"/>
      <c r="C540" s="58"/>
      <c r="D540" s="168" t="s">
        <v>545</v>
      </c>
      <c r="E540" s="168"/>
      <c r="F540" s="168"/>
      <c r="G540" s="168"/>
      <c r="H540" s="168"/>
      <c r="I540" s="168"/>
      <c r="J540" s="45"/>
      <c r="K540" s="54"/>
      <c r="L540" s="42"/>
      <c r="M540" s="45">
        <f>SUMIF(CD39:CD527, 1, AT39:AT527)</f>
        <v>493</v>
      </c>
    </row>
    <row r="541" spans="1:13" ht="14.25" hidden="1" x14ac:dyDescent="0.2">
      <c r="A541" s="54"/>
      <c r="B541" s="54"/>
      <c r="C541" s="58"/>
      <c r="D541" s="168" t="s">
        <v>526</v>
      </c>
      <c r="E541" s="168"/>
      <c r="F541" s="168"/>
      <c r="G541" s="168"/>
      <c r="H541" s="168"/>
      <c r="I541" s="168"/>
      <c r="J541" s="45"/>
      <c r="K541" s="54"/>
      <c r="L541" s="42"/>
      <c r="M541" s="45">
        <f>SUMIF(CD39:CD527, 1, AV39:AV527)</f>
        <v>0</v>
      </c>
    </row>
    <row r="542" spans="1:13" ht="14.25" x14ac:dyDescent="0.2">
      <c r="A542" s="54"/>
      <c r="B542" s="54"/>
      <c r="C542" s="58"/>
      <c r="D542" s="168" t="s">
        <v>527</v>
      </c>
      <c r="E542" s="168"/>
      <c r="F542" s="168"/>
      <c r="G542" s="168"/>
      <c r="H542" s="168"/>
      <c r="I542" s="168"/>
      <c r="J542" s="45"/>
      <c r="K542" s="54"/>
      <c r="L542" s="42"/>
      <c r="M542" s="45">
        <f>M544+M545</f>
        <v>121808.12000000002</v>
      </c>
    </row>
    <row r="543" spans="1:13" ht="14.25" x14ac:dyDescent="0.2">
      <c r="A543" s="54"/>
      <c r="B543" s="54"/>
      <c r="C543" s="58"/>
      <c r="D543" s="167" t="s">
        <v>524</v>
      </c>
      <c r="E543" s="168"/>
      <c r="F543" s="168"/>
      <c r="G543" s="168"/>
      <c r="H543" s="168"/>
      <c r="I543" s="168"/>
      <c r="J543" s="45"/>
      <c r="K543" s="54"/>
      <c r="L543" s="42"/>
      <c r="M543" s="45"/>
    </row>
    <row r="544" spans="1:13" ht="14.25" x14ac:dyDescent="0.2">
      <c r="A544" s="54"/>
      <c r="B544" s="54"/>
      <c r="C544" s="58"/>
      <c r="D544" s="168" t="s">
        <v>528</v>
      </c>
      <c r="E544" s="168"/>
      <c r="F544" s="168"/>
      <c r="G544" s="168"/>
      <c r="H544" s="168"/>
      <c r="I544" s="168"/>
      <c r="J544" s="45"/>
      <c r="K544" s="54"/>
      <c r="L544" s="42"/>
      <c r="M544" s="45">
        <f>SUMIF(CD39:CD527, 1, AW39:AW527)-SUMIF(CD39:CD527, 1, BK39:BK527)</f>
        <v>121808.12000000002</v>
      </c>
    </row>
    <row r="545" spans="1:13" ht="14.25" hidden="1" x14ac:dyDescent="0.2">
      <c r="A545" s="54"/>
      <c r="B545" s="54"/>
      <c r="C545" s="58"/>
      <c r="D545" s="168" t="s">
        <v>529</v>
      </c>
      <c r="E545" s="168"/>
      <c r="F545" s="168"/>
      <c r="G545" s="168"/>
      <c r="H545" s="168"/>
      <c r="I545" s="168"/>
      <c r="J545" s="45"/>
      <c r="K545" s="54"/>
      <c r="L545" s="42"/>
      <c r="M545" s="45">
        <f>SUMIF(CD39:CD527, 1, BC39:BC527)</f>
        <v>0</v>
      </c>
    </row>
    <row r="546" spans="1:13" ht="14.25" x14ac:dyDescent="0.2">
      <c r="A546" s="54"/>
      <c r="B546" s="54"/>
      <c r="C546" s="58"/>
      <c r="D546" s="168" t="s">
        <v>530</v>
      </c>
      <c r="E546" s="168"/>
      <c r="F546" s="168"/>
      <c r="G546" s="168"/>
      <c r="H546" s="168"/>
      <c r="I546" s="168"/>
      <c r="J546" s="45"/>
      <c r="K546" s="54"/>
      <c r="L546" s="42"/>
      <c r="M546" s="45">
        <f>SUMIF(CD39:CD527, 1, BB39:BB527)</f>
        <v>1111.47</v>
      </c>
    </row>
    <row r="547" spans="1:13" ht="14.25" x14ac:dyDescent="0.2">
      <c r="A547" s="54"/>
      <c r="B547" s="54"/>
      <c r="C547" s="58"/>
      <c r="D547" s="168" t="s">
        <v>569</v>
      </c>
      <c r="E547" s="168"/>
      <c r="F547" s="168"/>
      <c r="G547" s="168"/>
      <c r="H547" s="168"/>
      <c r="I547" s="168"/>
      <c r="J547" s="45"/>
      <c r="K547" s="54"/>
      <c r="L547" s="42"/>
      <c r="M547" s="45">
        <f>SUMIF(CD39:CD527, 1, AR39:AR527)+SUMIF(CD39:CD527, 1, AT39:AT527)+SUMIF(CD39:CD527, 1, AV39:AV527)</f>
        <v>74319.7</v>
      </c>
    </row>
    <row r="548" spans="1:13" ht="14.25" x14ac:dyDescent="0.2">
      <c r="A548" s="54"/>
      <c r="B548" s="54"/>
      <c r="C548" s="58"/>
      <c r="D548" s="168" t="s">
        <v>570</v>
      </c>
      <c r="E548" s="168"/>
      <c r="F548" s="168"/>
      <c r="G548" s="168"/>
      <c r="H548" s="168"/>
      <c r="I548" s="168"/>
      <c r="J548" s="45"/>
      <c r="K548" s="54"/>
      <c r="L548" s="42"/>
      <c r="M548" s="45">
        <f>SUMIF(CD39:CD527, 1, AZ39:AZ527)</f>
        <v>69448.759999999995</v>
      </c>
    </row>
    <row r="549" spans="1:13" ht="14.25" x14ac:dyDescent="0.2">
      <c r="A549" s="54"/>
      <c r="B549" s="54"/>
      <c r="C549" s="58"/>
      <c r="D549" s="168" t="s">
        <v>571</v>
      </c>
      <c r="E549" s="168"/>
      <c r="F549" s="168"/>
      <c r="G549" s="168"/>
      <c r="H549" s="168"/>
      <c r="I549" s="168"/>
      <c r="J549" s="45"/>
      <c r="K549" s="54"/>
      <c r="L549" s="42"/>
      <c r="M549" s="45">
        <f>SUMIF(CD39:CD527, 1, BA39:BA527)</f>
        <v>35465.230000000003</v>
      </c>
    </row>
    <row r="551" spans="1:13" ht="15" x14ac:dyDescent="0.2">
      <c r="A551" s="59"/>
      <c r="B551" s="59"/>
      <c r="C551" s="60"/>
      <c r="D551" s="166" t="s">
        <v>572</v>
      </c>
      <c r="E551" s="166"/>
      <c r="F551" s="166"/>
      <c r="G551" s="166"/>
      <c r="H551" s="166"/>
      <c r="I551" s="166"/>
      <c r="J551" s="46"/>
      <c r="K551" s="59"/>
      <c r="L551" s="61"/>
      <c r="M551" s="46">
        <f>M553+M568+M569</f>
        <v>22090.32</v>
      </c>
    </row>
    <row r="552" spans="1:13" ht="14.25" x14ac:dyDescent="0.2">
      <c r="A552" s="54"/>
      <c r="B552" s="54"/>
      <c r="C552" s="58"/>
      <c r="D552" s="167" t="s">
        <v>521</v>
      </c>
      <c r="E552" s="168"/>
      <c r="F552" s="168"/>
      <c r="G552" s="168"/>
      <c r="H552" s="168"/>
      <c r="I552" s="168"/>
      <c r="J552" s="45"/>
      <c r="K552" s="54"/>
      <c r="L552" s="42"/>
      <c r="M552" s="45"/>
    </row>
    <row r="553" spans="1:13" ht="14.25" x14ac:dyDescent="0.2">
      <c r="A553" s="54"/>
      <c r="B553" s="54"/>
      <c r="C553" s="58"/>
      <c r="D553" s="168" t="s">
        <v>567</v>
      </c>
      <c r="E553" s="168"/>
      <c r="F553" s="168"/>
      <c r="G553" s="168"/>
      <c r="H553" s="168"/>
      <c r="I553" s="168"/>
      <c r="J553" s="45"/>
      <c r="K553" s="54"/>
      <c r="L553" s="42"/>
      <c r="M553" s="45">
        <f>M555+M556+M562+M566</f>
        <v>13749.599999999999</v>
      </c>
    </row>
    <row r="554" spans="1:13" ht="14.25" x14ac:dyDescent="0.2">
      <c r="A554" s="54"/>
      <c r="B554" s="54"/>
      <c r="C554" s="58"/>
      <c r="D554" s="167" t="s">
        <v>521</v>
      </c>
      <c r="E554" s="168"/>
      <c r="F554" s="168"/>
      <c r="G554" s="168"/>
      <c r="H554" s="168"/>
      <c r="I554" s="168"/>
      <c r="J554" s="45"/>
      <c r="K554" s="54"/>
      <c r="L554" s="42"/>
      <c r="M554" s="45"/>
    </row>
    <row r="555" spans="1:13" ht="14.25" x14ac:dyDescent="0.2">
      <c r="A555" s="54"/>
      <c r="B555" s="54"/>
      <c r="C555" s="58"/>
      <c r="D555" s="168" t="s">
        <v>568</v>
      </c>
      <c r="E555" s="168"/>
      <c r="F555" s="168"/>
      <c r="G555" s="168"/>
      <c r="H555" s="168"/>
      <c r="I555" s="168"/>
      <c r="J555" s="45"/>
      <c r="K555" s="54"/>
      <c r="L555" s="42"/>
      <c r="M555" s="45">
        <f>SUMIF(CD39:CD549, 2, AR39:AR549)</f>
        <v>5608.58</v>
      </c>
    </row>
    <row r="556" spans="1:13" ht="14.25" hidden="1" x14ac:dyDescent="0.2">
      <c r="A556" s="54"/>
      <c r="B556" s="54"/>
      <c r="C556" s="58"/>
      <c r="D556" s="168" t="s">
        <v>523</v>
      </c>
      <c r="E556" s="168"/>
      <c r="F556" s="168"/>
      <c r="G556" s="168"/>
      <c r="H556" s="168"/>
      <c r="I556" s="168"/>
      <c r="J556" s="45"/>
      <c r="K556" s="54"/>
      <c r="L556" s="42"/>
      <c r="M556" s="45">
        <f>M558+M561+M560</f>
        <v>111.03</v>
      </c>
    </row>
    <row r="557" spans="1:13" ht="14.25" hidden="1" x14ac:dyDescent="0.2">
      <c r="A557" s="54"/>
      <c r="B557" s="54"/>
      <c r="C557" s="58"/>
      <c r="D557" s="167" t="s">
        <v>524</v>
      </c>
      <c r="E557" s="168"/>
      <c r="F557" s="168"/>
      <c r="G557" s="168"/>
      <c r="H557" s="168"/>
      <c r="I557" s="168"/>
      <c r="J557" s="45"/>
      <c r="K557" s="54"/>
      <c r="L557" s="42"/>
      <c r="M557" s="45"/>
    </row>
    <row r="558" spans="1:13" ht="14.25" x14ac:dyDescent="0.2">
      <c r="A558" s="54"/>
      <c r="B558" s="54"/>
      <c r="C558" s="58"/>
      <c r="D558" s="168" t="s">
        <v>523</v>
      </c>
      <c r="E558" s="168"/>
      <c r="F558" s="168"/>
      <c r="G558" s="168"/>
      <c r="H558" s="168"/>
      <c r="I558" s="168"/>
      <c r="J558" s="45"/>
      <c r="K558" s="54"/>
      <c r="L558" s="42"/>
      <c r="M558" s="45">
        <f>SUMIF(CD39:CD549, 2, AO39:AO549)</f>
        <v>83.99</v>
      </c>
    </row>
    <row r="559" spans="1:13" ht="14.25" hidden="1" x14ac:dyDescent="0.2">
      <c r="A559" s="54"/>
      <c r="B559" s="54"/>
      <c r="C559" s="58"/>
      <c r="D559" s="167" t="s">
        <v>525</v>
      </c>
      <c r="E559" s="168"/>
      <c r="F559" s="168"/>
      <c r="G559" s="168"/>
      <c r="H559" s="168"/>
      <c r="I559" s="168"/>
      <c r="J559" s="45"/>
      <c r="K559" s="54"/>
      <c r="L559" s="42"/>
      <c r="M559" s="45"/>
    </row>
    <row r="560" spans="1:13" ht="14.25" x14ac:dyDescent="0.2">
      <c r="A560" s="54"/>
      <c r="B560" s="54"/>
      <c r="C560" s="58"/>
      <c r="D560" s="168" t="s">
        <v>545</v>
      </c>
      <c r="E560" s="168"/>
      <c r="F560" s="168"/>
      <c r="G560" s="168"/>
      <c r="H560" s="168"/>
      <c r="I560" s="168"/>
      <c r="J560" s="45"/>
      <c r="K560" s="54"/>
      <c r="L560" s="42"/>
      <c r="M560" s="45">
        <f>SUMIF(CD39:CD549, 2, AT39:AT549)</f>
        <v>27.04</v>
      </c>
    </row>
    <row r="561" spans="1:13" ht="14.25" hidden="1" x14ac:dyDescent="0.2">
      <c r="A561" s="54"/>
      <c r="B561" s="54"/>
      <c r="C561" s="58"/>
      <c r="D561" s="168" t="s">
        <v>526</v>
      </c>
      <c r="E561" s="168"/>
      <c r="F561" s="168"/>
      <c r="G561" s="168"/>
      <c r="H561" s="168"/>
      <c r="I561" s="168"/>
      <c r="J561" s="45"/>
      <c r="K561" s="54"/>
      <c r="L561" s="42"/>
      <c r="M561" s="45">
        <f>SUMIF(CD39:CD549, 2, AV39:AV549)</f>
        <v>0</v>
      </c>
    </row>
    <row r="562" spans="1:13" ht="14.25" x14ac:dyDescent="0.2">
      <c r="A562" s="54"/>
      <c r="B562" s="54"/>
      <c r="C562" s="58"/>
      <c r="D562" s="168" t="s">
        <v>527</v>
      </c>
      <c r="E562" s="168"/>
      <c r="F562" s="168"/>
      <c r="G562" s="168"/>
      <c r="H562" s="168"/>
      <c r="I562" s="168"/>
      <c r="J562" s="45"/>
      <c r="K562" s="54"/>
      <c r="L562" s="42"/>
      <c r="M562" s="45">
        <f>M564+M565</f>
        <v>8029.99</v>
      </c>
    </row>
    <row r="563" spans="1:13" ht="14.25" x14ac:dyDescent="0.2">
      <c r="A563" s="54"/>
      <c r="B563" s="54"/>
      <c r="C563" s="58"/>
      <c r="D563" s="167" t="s">
        <v>524</v>
      </c>
      <c r="E563" s="168"/>
      <c r="F563" s="168"/>
      <c r="G563" s="168"/>
      <c r="H563" s="168"/>
      <c r="I563" s="168"/>
      <c r="J563" s="45"/>
      <c r="K563" s="54"/>
      <c r="L563" s="42"/>
      <c r="M563" s="45"/>
    </row>
    <row r="564" spans="1:13" ht="14.25" x14ac:dyDescent="0.2">
      <c r="A564" s="54"/>
      <c r="B564" s="54"/>
      <c r="C564" s="58"/>
      <c r="D564" s="168" t="s">
        <v>528</v>
      </c>
      <c r="E564" s="168"/>
      <c r="F564" s="168"/>
      <c r="G564" s="168"/>
      <c r="H564" s="168"/>
      <c r="I564" s="168"/>
      <c r="J564" s="45"/>
      <c r="K564" s="54"/>
      <c r="L564" s="42"/>
      <c r="M564" s="45">
        <f>SUMIF(CD39:CD549, 2, AW39:AW549)-SUMIF(CD39:CD549, 2, BK39:BK549)</f>
        <v>8029.99</v>
      </c>
    </row>
    <row r="565" spans="1:13" ht="14.25" hidden="1" x14ac:dyDescent="0.2">
      <c r="A565" s="54"/>
      <c r="B565" s="54"/>
      <c r="C565" s="58"/>
      <c r="D565" s="168" t="s">
        <v>529</v>
      </c>
      <c r="E565" s="168"/>
      <c r="F565" s="168"/>
      <c r="G565" s="168"/>
      <c r="H565" s="168"/>
      <c r="I565" s="168"/>
      <c r="J565" s="45"/>
      <c r="K565" s="54"/>
      <c r="L565" s="42"/>
      <c r="M565" s="45">
        <f>SUMIF(CD39:CD549, 2, BC39:BC549)</f>
        <v>0</v>
      </c>
    </row>
    <row r="566" spans="1:13" ht="14.25" hidden="1" x14ac:dyDescent="0.2">
      <c r="A566" s="54"/>
      <c r="B566" s="54"/>
      <c r="C566" s="58"/>
      <c r="D566" s="168" t="s">
        <v>530</v>
      </c>
      <c r="E566" s="168"/>
      <c r="F566" s="168"/>
      <c r="G566" s="168"/>
      <c r="H566" s="168"/>
      <c r="I566" s="168"/>
      <c r="J566" s="45"/>
      <c r="K566" s="54"/>
      <c r="L566" s="42"/>
      <c r="M566" s="45">
        <f>SUMIF(CD39:CD549, 2, BB39:BB549)</f>
        <v>0</v>
      </c>
    </row>
    <row r="567" spans="1:13" ht="14.25" x14ac:dyDescent="0.2">
      <c r="A567" s="54"/>
      <c r="B567" s="54"/>
      <c r="C567" s="58"/>
      <c r="D567" s="168" t="s">
        <v>569</v>
      </c>
      <c r="E567" s="168"/>
      <c r="F567" s="168"/>
      <c r="G567" s="168"/>
      <c r="H567" s="168"/>
      <c r="I567" s="168"/>
      <c r="J567" s="45"/>
      <c r="K567" s="54"/>
      <c r="L567" s="42"/>
      <c r="M567" s="45">
        <f>SUMIF(CD39:CD549, 2, AR39:AR549)+SUMIF(CD39:CD549, 2, AT39:AT549)+SUMIF(CD39:CD549, 2, AV39:AV549)</f>
        <v>5635.62</v>
      </c>
    </row>
    <row r="568" spans="1:13" ht="14.25" x14ac:dyDescent="0.2">
      <c r="A568" s="54"/>
      <c r="B568" s="54"/>
      <c r="C568" s="58"/>
      <c r="D568" s="168" t="s">
        <v>570</v>
      </c>
      <c r="E568" s="168"/>
      <c r="F568" s="168"/>
      <c r="G568" s="168"/>
      <c r="H568" s="168"/>
      <c r="I568" s="168"/>
      <c r="J568" s="45"/>
      <c r="K568" s="54"/>
      <c r="L568" s="42"/>
      <c r="M568" s="45">
        <f>SUMIF(CD39:CD549, 2, AZ39:AZ549)</f>
        <v>5466.5499999999993</v>
      </c>
    </row>
    <row r="569" spans="1:13" ht="14.25" x14ac:dyDescent="0.2">
      <c r="A569" s="54"/>
      <c r="B569" s="54"/>
      <c r="C569" s="58"/>
      <c r="D569" s="168" t="s">
        <v>571</v>
      </c>
      <c r="E569" s="168"/>
      <c r="F569" s="168"/>
      <c r="G569" s="168"/>
      <c r="H569" s="168"/>
      <c r="I569" s="168"/>
      <c r="J569" s="45"/>
      <c r="K569" s="54"/>
      <c r="L569" s="42"/>
      <c r="M569" s="45">
        <f>SUMIF(CD39:CD549, 2, BA39:BA549)</f>
        <v>2874.17</v>
      </c>
    </row>
    <row r="570" spans="1:13" hidden="1" x14ac:dyDescent="0.2"/>
    <row r="571" spans="1:13" ht="15" hidden="1" x14ac:dyDescent="0.2">
      <c r="A571" s="59"/>
      <c r="B571" s="59"/>
      <c r="C571" s="60"/>
      <c r="D571" s="166" t="s">
        <v>573</v>
      </c>
      <c r="E571" s="166"/>
      <c r="F571" s="166"/>
      <c r="G571" s="166"/>
      <c r="H571" s="166"/>
      <c r="I571" s="166"/>
      <c r="J571" s="46"/>
      <c r="K571" s="59"/>
      <c r="L571" s="61"/>
      <c r="M571" s="46">
        <f>M573+M574</f>
        <v>0</v>
      </c>
    </row>
    <row r="572" spans="1:13" ht="14.25" hidden="1" x14ac:dyDescent="0.2">
      <c r="A572" s="54"/>
      <c r="B572" s="54"/>
      <c r="C572" s="58"/>
      <c r="D572" s="167" t="s">
        <v>521</v>
      </c>
      <c r="E572" s="168"/>
      <c r="F572" s="168"/>
      <c r="G572" s="168"/>
      <c r="H572" s="168"/>
      <c r="I572" s="168"/>
      <c r="J572" s="45"/>
      <c r="K572" s="54"/>
      <c r="L572" s="42"/>
      <c r="M572" s="45"/>
    </row>
    <row r="573" spans="1:13" ht="14.25" hidden="1" x14ac:dyDescent="0.2">
      <c r="A573" s="54"/>
      <c r="B573" s="54"/>
      <c r="C573" s="58"/>
      <c r="D573" s="168" t="s">
        <v>535</v>
      </c>
      <c r="E573" s="168"/>
      <c r="F573" s="168"/>
      <c r="G573" s="168"/>
      <c r="H573" s="168"/>
      <c r="I573" s="168"/>
      <c r="J573" s="45"/>
      <c r="K573" s="54"/>
      <c r="L573" s="42"/>
      <c r="M573" s="45">
        <f>SUMIF(CD39:CD569, 3, BK39:BK569)</f>
        <v>0</v>
      </c>
    </row>
    <row r="574" spans="1:13" ht="14.25" hidden="1" x14ac:dyDescent="0.2">
      <c r="A574" s="54"/>
      <c r="B574" s="54"/>
      <c r="C574" s="58"/>
      <c r="D574" s="168" t="s">
        <v>536</v>
      </c>
      <c r="E574" s="168"/>
      <c r="F574" s="168"/>
      <c r="G574" s="168"/>
      <c r="H574" s="168"/>
      <c r="I574" s="168"/>
      <c r="J574" s="45"/>
      <c r="K574" s="54"/>
      <c r="L574" s="42"/>
      <c r="M574" s="45">
        <f>SUMIF(CD39:CD569, 3, BD39:BD569)</f>
        <v>0</v>
      </c>
    </row>
    <row r="575" spans="1:13" hidden="1" x14ac:dyDescent="0.2"/>
    <row r="576" spans="1:13" ht="15" hidden="1" x14ac:dyDescent="0.2">
      <c r="A576" s="59"/>
      <c r="B576" s="59"/>
      <c r="C576" s="60"/>
      <c r="D576" s="166" t="s">
        <v>574</v>
      </c>
      <c r="E576" s="166"/>
      <c r="F576" s="166"/>
      <c r="G576" s="166"/>
      <c r="H576" s="166"/>
      <c r="I576" s="166"/>
      <c r="J576" s="46"/>
      <c r="K576" s="59"/>
      <c r="L576" s="61"/>
      <c r="M576" s="46">
        <f>M582+M597+M598+M578+M579</f>
        <v>0</v>
      </c>
    </row>
    <row r="577" spans="1:13" ht="14.25" hidden="1" x14ac:dyDescent="0.2">
      <c r="A577" s="54"/>
      <c r="B577" s="54"/>
      <c r="C577" s="58"/>
      <c r="D577" s="167" t="s">
        <v>521</v>
      </c>
      <c r="E577" s="168"/>
      <c r="F577" s="168"/>
      <c r="G577" s="168"/>
      <c r="H577" s="168"/>
      <c r="I577" s="168"/>
      <c r="J577" s="45"/>
      <c r="K577" s="54"/>
      <c r="L577" s="42"/>
      <c r="M577" s="45"/>
    </row>
    <row r="578" spans="1:13" ht="14.25" hidden="1" x14ac:dyDescent="0.2">
      <c r="A578" s="54"/>
      <c r="B578" s="54"/>
      <c r="C578" s="58"/>
      <c r="D578" s="168" t="s">
        <v>575</v>
      </c>
      <c r="E578" s="168"/>
      <c r="F578" s="168"/>
      <c r="G578" s="168"/>
      <c r="H578" s="168"/>
      <c r="I578" s="168"/>
      <c r="J578" s="45"/>
      <c r="K578" s="54"/>
      <c r="L578" s="42"/>
      <c r="M578" s="45"/>
    </row>
    <row r="579" spans="1:13" ht="14.25" hidden="1" x14ac:dyDescent="0.2">
      <c r="A579" s="54"/>
      <c r="B579" s="54"/>
      <c r="C579" s="58"/>
      <c r="D579" s="168" t="s">
        <v>576</v>
      </c>
      <c r="E579" s="168"/>
      <c r="F579" s="168"/>
      <c r="G579" s="168"/>
      <c r="H579" s="168"/>
      <c r="I579" s="168"/>
      <c r="J579" s="45"/>
      <c r="K579" s="54"/>
      <c r="L579" s="42"/>
      <c r="M579" s="45">
        <f>SUM(BO39:BO574)</f>
        <v>0</v>
      </c>
    </row>
    <row r="580" spans="1:13" ht="14.25" hidden="1" x14ac:dyDescent="0.2">
      <c r="A580" s="54"/>
      <c r="B580" s="54"/>
      <c r="C580" s="58"/>
      <c r="D580" s="168" t="s">
        <v>577</v>
      </c>
      <c r="E580" s="168"/>
      <c r="F580" s="168"/>
      <c r="G580" s="168"/>
      <c r="H580" s="168"/>
      <c r="I580" s="168"/>
      <c r="J580" s="45"/>
      <c r="K580" s="54"/>
      <c r="L580" s="42"/>
      <c r="M580" s="45">
        <f>M582+M597+M598</f>
        <v>0</v>
      </c>
    </row>
    <row r="581" spans="1:13" ht="14.25" hidden="1" x14ac:dyDescent="0.2">
      <c r="A581" s="54"/>
      <c r="B581" s="54"/>
      <c r="C581" s="58"/>
      <c r="D581" s="167" t="s">
        <v>521</v>
      </c>
      <c r="E581" s="168"/>
      <c r="F581" s="168"/>
      <c r="G581" s="168"/>
      <c r="H581" s="168"/>
      <c r="I581" s="168"/>
      <c r="J581" s="45"/>
      <c r="K581" s="54"/>
      <c r="L581" s="42"/>
      <c r="M581" s="45"/>
    </row>
    <row r="582" spans="1:13" ht="14.25" hidden="1" x14ac:dyDescent="0.2">
      <c r="A582" s="54"/>
      <c r="B582" s="54"/>
      <c r="C582" s="58"/>
      <c r="D582" s="168" t="s">
        <v>567</v>
      </c>
      <c r="E582" s="168"/>
      <c r="F582" s="168"/>
      <c r="G582" s="168"/>
      <c r="H582" s="168"/>
      <c r="I582" s="168"/>
      <c r="J582" s="45"/>
      <c r="K582" s="54"/>
      <c r="L582" s="42"/>
      <c r="M582" s="45">
        <f>M584+M585+M591+M595</f>
        <v>0</v>
      </c>
    </row>
    <row r="583" spans="1:13" ht="14.25" hidden="1" x14ac:dyDescent="0.2">
      <c r="A583" s="54"/>
      <c r="B583" s="54"/>
      <c r="C583" s="58"/>
      <c r="D583" s="167" t="s">
        <v>521</v>
      </c>
      <c r="E583" s="168"/>
      <c r="F583" s="168"/>
      <c r="G583" s="168"/>
      <c r="H583" s="168"/>
      <c r="I583" s="168"/>
      <c r="J583" s="45"/>
      <c r="K583" s="54"/>
      <c r="L583" s="42"/>
      <c r="M583" s="45"/>
    </row>
    <row r="584" spans="1:13" ht="14.25" hidden="1" x14ac:dyDescent="0.2">
      <c r="A584" s="54"/>
      <c r="B584" s="54"/>
      <c r="C584" s="58"/>
      <c r="D584" s="168" t="s">
        <v>568</v>
      </c>
      <c r="E584" s="168"/>
      <c r="F584" s="168"/>
      <c r="G584" s="168"/>
      <c r="H584" s="168"/>
      <c r="I584" s="168"/>
      <c r="J584" s="45"/>
      <c r="K584" s="54"/>
      <c r="L584" s="42"/>
      <c r="M584" s="45">
        <f>SUMIF(CD39:CD574, 4, AR39:AR574)</f>
        <v>0</v>
      </c>
    </row>
    <row r="585" spans="1:13" ht="14.25" hidden="1" x14ac:dyDescent="0.2">
      <c r="A585" s="54"/>
      <c r="B585" s="54"/>
      <c r="C585" s="58"/>
      <c r="D585" s="168" t="s">
        <v>523</v>
      </c>
      <c r="E585" s="168"/>
      <c r="F585" s="168"/>
      <c r="G585" s="168"/>
      <c r="H585" s="168"/>
      <c r="I585" s="168"/>
      <c r="J585" s="45"/>
      <c r="K585" s="54"/>
      <c r="L585" s="42"/>
      <c r="M585" s="45">
        <f>M587+M590+M589</f>
        <v>0</v>
      </c>
    </row>
    <row r="586" spans="1:13" ht="14.25" hidden="1" x14ac:dyDescent="0.2">
      <c r="A586" s="54"/>
      <c r="B586" s="54"/>
      <c r="C586" s="58"/>
      <c r="D586" s="167" t="s">
        <v>524</v>
      </c>
      <c r="E586" s="168"/>
      <c r="F586" s="168"/>
      <c r="G586" s="168"/>
      <c r="H586" s="168"/>
      <c r="I586" s="168"/>
      <c r="J586" s="45"/>
      <c r="K586" s="54"/>
      <c r="L586" s="42"/>
      <c r="M586" s="45"/>
    </row>
    <row r="587" spans="1:13" ht="14.25" hidden="1" x14ac:dyDescent="0.2">
      <c r="A587" s="54"/>
      <c r="B587" s="54"/>
      <c r="C587" s="58"/>
      <c r="D587" s="168" t="s">
        <v>523</v>
      </c>
      <c r="E587" s="168"/>
      <c r="F587" s="168"/>
      <c r="G587" s="168"/>
      <c r="H587" s="168"/>
      <c r="I587" s="168"/>
      <c r="J587" s="45"/>
      <c r="K587" s="54"/>
      <c r="L587" s="42"/>
      <c r="M587" s="45">
        <f>SUMIF(CD39:CD574, 4, AO39:AO574)</f>
        <v>0</v>
      </c>
    </row>
    <row r="588" spans="1:13" ht="14.25" hidden="1" x14ac:dyDescent="0.2">
      <c r="A588" s="54"/>
      <c r="B588" s="54"/>
      <c r="C588" s="58"/>
      <c r="D588" s="167" t="s">
        <v>525</v>
      </c>
      <c r="E588" s="168"/>
      <c r="F588" s="168"/>
      <c r="G588" s="168"/>
      <c r="H588" s="168"/>
      <c r="I588" s="168"/>
      <c r="J588" s="45"/>
      <c r="K588" s="54"/>
      <c r="L588" s="42"/>
      <c r="M588" s="45"/>
    </row>
    <row r="589" spans="1:13" ht="14.25" hidden="1" x14ac:dyDescent="0.2">
      <c r="A589" s="54"/>
      <c r="B589" s="54"/>
      <c r="C589" s="58"/>
      <c r="D589" s="168" t="s">
        <v>545</v>
      </c>
      <c r="E589" s="168"/>
      <c r="F589" s="168"/>
      <c r="G589" s="168"/>
      <c r="H589" s="168"/>
      <c r="I589" s="168"/>
      <c r="J589" s="45"/>
      <c r="K589" s="54"/>
      <c r="L589" s="42"/>
      <c r="M589" s="45">
        <f>SUMIF(CD39:CD574, 4, AT39:AT574)</f>
        <v>0</v>
      </c>
    </row>
    <row r="590" spans="1:13" ht="14.25" hidden="1" x14ac:dyDescent="0.2">
      <c r="A590" s="54"/>
      <c r="B590" s="54"/>
      <c r="C590" s="58"/>
      <c r="D590" s="168" t="s">
        <v>526</v>
      </c>
      <c r="E590" s="168"/>
      <c r="F590" s="168"/>
      <c r="G590" s="168"/>
      <c r="H590" s="168"/>
      <c r="I590" s="168"/>
      <c r="J590" s="45"/>
      <c r="K590" s="54"/>
      <c r="L590" s="42"/>
      <c r="M590" s="45">
        <f>SUMIF(CD39:CD574, 4, AV39:AV574)</f>
        <v>0</v>
      </c>
    </row>
    <row r="591" spans="1:13" ht="14.25" hidden="1" x14ac:dyDescent="0.2">
      <c r="A591" s="54"/>
      <c r="B591" s="54"/>
      <c r="C591" s="58"/>
      <c r="D591" s="168" t="s">
        <v>527</v>
      </c>
      <c r="E591" s="168"/>
      <c r="F591" s="168"/>
      <c r="G591" s="168"/>
      <c r="H591" s="168"/>
      <c r="I591" s="168"/>
      <c r="J591" s="45"/>
      <c r="K591" s="54"/>
      <c r="L591" s="42"/>
      <c r="M591" s="45">
        <f>M593+M594</f>
        <v>0</v>
      </c>
    </row>
    <row r="592" spans="1:13" ht="14.25" hidden="1" x14ac:dyDescent="0.2">
      <c r="A592" s="54"/>
      <c r="B592" s="54"/>
      <c r="C592" s="58"/>
      <c r="D592" s="167" t="s">
        <v>524</v>
      </c>
      <c r="E592" s="168"/>
      <c r="F592" s="168"/>
      <c r="G592" s="168"/>
      <c r="H592" s="168"/>
      <c r="I592" s="168"/>
      <c r="J592" s="45"/>
      <c r="K592" s="54"/>
      <c r="L592" s="42"/>
      <c r="M592" s="45"/>
    </row>
    <row r="593" spans="1:13" ht="14.25" hidden="1" x14ac:dyDescent="0.2">
      <c r="A593" s="54"/>
      <c r="B593" s="54"/>
      <c r="C593" s="58"/>
      <c r="D593" s="168" t="s">
        <v>528</v>
      </c>
      <c r="E593" s="168"/>
      <c r="F593" s="168"/>
      <c r="G593" s="168"/>
      <c r="H593" s="168"/>
      <c r="I593" s="168"/>
      <c r="J593" s="45"/>
      <c r="K593" s="54"/>
      <c r="L593" s="42"/>
      <c r="M593" s="45">
        <f>SUMIF(CD39:CD574, 4, AW39:AW574)-SUMIF(CD39:CD574, 4, BK39:BK574)</f>
        <v>0</v>
      </c>
    </row>
    <row r="594" spans="1:13" ht="14.25" hidden="1" x14ac:dyDescent="0.2">
      <c r="A594" s="54"/>
      <c r="B594" s="54"/>
      <c r="C594" s="58"/>
      <c r="D594" s="168" t="s">
        <v>529</v>
      </c>
      <c r="E594" s="168"/>
      <c r="F594" s="168"/>
      <c r="G594" s="168"/>
      <c r="H594" s="168"/>
      <c r="I594" s="168"/>
      <c r="J594" s="45"/>
      <c r="K594" s="54"/>
      <c r="L594" s="42"/>
      <c r="M594" s="45">
        <f>SUMIF(CD39:CD574, 4, BC39:BC574)</f>
        <v>0</v>
      </c>
    </row>
    <row r="595" spans="1:13" ht="14.25" hidden="1" x14ac:dyDescent="0.2">
      <c r="A595" s="54"/>
      <c r="B595" s="54"/>
      <c r="C595" s="58"/>
      <c r="D595" s="168" t="s">
        <v>530</v>
      </c>
      <c r="E595" s="168"/>
      <c r="F595" s="168"/>
      <c r="G595" s="168"/>
      <c r="H595" s="168"/>
      <c r="I595" s="168"/>
      <c r="J595" s="45"/>
      <c r="K595" s="54"/>
      <c r="L595" s="42"/>
      <c r="M595" s="45">
        <f>SUMIF(CD39:CD574, 4, BB39:BB574)</f>
        <v>0</v>
      </c>
    </row>
    <row r="596" spans="1:13" ht="14.25" hidden="1" x14ac:dyDescent="0.2">
      <c r="A596" s="54"/>
      <c r="B596" s="54"/>
      <c r="C596" s="58"/>
      <c r="D596" s="168" t="s">
        <v>569</v>
      </c>
      <c r="E596" s="168"/>
      <c r="F596" s="168"/>
      <c r="G596" s="168"/>
      <c r="H596" s="168"/>
      <c r="I596" s="168"/>
      <c r="J596" s="45"/>
      <c r="K596" s="54"/>
      <c r="L596" s="42"/>
      <c r="M596" s="45">
        <f>SUMIF(CD39:CD574, 4, AR39:AR574)+SUMIF(CD39:CD574, 4, AT39:AT574)+SUMIF(CD39:CD574, 4, AV39:AV574)</f>
        <v>0</v>
      </c>
    </row>
    <row r="597" spans="1:13" ht="14.25" hidden="1" x14ac:dyDescent="0.2">
      <c r="A597" s="54"/>
      <c r="B597" s="54"/>
      <c r="C597" s="58"/>
      <c r="D597" s="168" t="s">
        <v>570</v>
      </c>
      <c r="E597" s="168"/>
      <c r="F597" s="168"/>
      <c r="G597" s="168"/>
      <c r="H597" s="168"/>
      <c r="I597" s="168"/>
      <c r="J597" s="45"/>
      <c r="K597" s="54"/>
      <c r="L597" s="42"/>
      <c r="M597" s="45">
        <f>SUMIF(CD39:CD574, 4, AZ39:AZ574)</f>
        <v>0</v>
      </c>
    </row>
    <row r="598" spans="1:13" ht="14.25" hidden="1" x14ac:dyDescent="0.2">
      <c r="A598" s="54"/>
      <c r="B598" s="54"/>
      <c r="C598" s="58"/>
      <c r="D598" s="168" t="s">
        <v>571</v>
      </c>
      <c r="E598" s="168"/>
      <c r="F598" s="168"/>
      <c r="G598" s="168"/>
      <c r="H598" s="168"/>
      <c r="I598" s="168"/>
      <c r="J598" s="45"/>
      <c r="K598" s="54"/>
      <c r="L598" s="42"/>
      <c r="M598" s="45">
        <f>SUMIF(CD39:CD574, 4, BA39:BA574)</f>
        <v>0</v>
      </c>
    </row>
    <row r="600" spans="1:13" ht="15" x14ac:dyDescent="0.2">
      <c r="A600" s="59"/>
      <c r="B600" s="59"/>
      <c r="C600" s="60"/>
      <c r="D600" s="166" t="s">
        <v>613</v>
      </c>
      <c r="E600" s="166"/>
      <c r="F600" s="166"/>
      <c r="G600" s="166"/>
      <c r="H600" s="166"/>
      <c r="I600" s="166"/>
      <c r="J600" s="46"/>
      <c r="K600" s="59"/>
      <c r="L600" s="61"/>
      <c r="M600" s="46">
        <f>M531+M551+M571+M576</f>
        <v>325000</v>
      </c>
    </row>
    <row r="601" spans="1:13" ht="14.25" x14ac:dyDescent="0.2">
      <c r="A601" s="54"/>
      <c r="B601" s="54"/>
      <c r="C601" s="58"/>
      <c r="D601" s="167" t="s">
        <v>521</v>
      </c>
      <c r="E601" s="168"/>
      <c r="F601" s="168"/>
      <c r="G601" s="168"/>
      <c r="H601" s="168"/>
      <c r="I601" s="168"/>
      <c r="J601" s="45"/>
      <c r="K601" s="54"/>
      <c r="L601" s="42"/>
      <c r="M601" s="45"/>
    </row>
    <row r="602" spans="1:13" ht="14.25" x14ac:dyDescent="0.2">
      <c r="A602" s="54"/>
      <c r="B602" s="54"/>
      <c r="C602" s="58"/>
      <c r="D602" s="168" t="s">
        <v>567</v>
      </c>
      <c r="E602" s="168"/>
      <c r="F602" s="168"/>
      <c r="G602" s="168"/>
      <c r="H602" s="168"/>
      <c r="I602" s="168"/>
      <c r="J602" s="45"/>
      <c r="K602" s="54"/>
      <c r="L602" s="42"/>
      <c r="M602" s="45">
        <f>M604+M605+M611+M615</f>
        <v>211745.29</v>
      </c>
    </row>
    <row r="603" spans="1:13" ht="14.25" x14ac:dyDescent="0.2">
      <c r="A603" s="54"/>
      <c r="B603" s="54"/>
      <c r="C603" s="58"/>
      <c r="D603" s="167" t="s">
        <v>521</v>
      </c>
      <c r="E603" s="168"/>
      <c r="F603" s="168"/>
      <c r="G603" s="168"/>
      <c r="H603" s="168"/>
      <c r="I603" s="168"/>
      <c r="J603" s="45"/>
      <c r="K603" s="54"/>
      <c r="L603" s="42"/>
      <c r="M603" s="45"/>
    </row>
    <row r="604" spans="1:13" ht="14.25" x14ac:dyDescent="0.2">
      <c r="A604" s="54"/>
      <c r="B604" s="54"/>
      <c r="C604" s="58"/>
      <c r="D604" s="168" t="s">
        <v>568</v>
      </c>
      <c r="E604" s="168"/>
      <c r="F604" s="168"/>
      <c r="G604" s="168"/>
      <c r="H604" s="168"/>
      <c r="I604" s="168"/>
      <c r="J604" s="45"/>
      <c r="K604" s="54"/>
      <c r="L604" s="42"/>
      <c r="M604" s="45">
        <f>SUM(AR39:AR598)</f>
        <v>79435.28</v>
      </c>
    </row>
    <row r="605" spans="1:13" ht="14.25" hidden="1" x14ac:dyDescent="0.2">
      <c r="A605" s="54"/>
      <c r="B605" s="54"/>
      <c r="C605" s="58"/>
      <c r="D605" s="168" t="s">
        <v>523</v>
      </c>
      <c r="E605" s="168"/>
      <c r="F605" s="168"/>
      <c r="G605" s="168"/>
      <c r="H605" s="168"/>
      <c r="I605" s="168"/>
      <c r="J605" s="45"/>
      <c r="K605" s="54"/>
      <c r="L605" s="42"/>
      <c r="M605" s="45">
        <f>M607+M610+M609</f>
        <v>1360.43</v>
      </c>
    </row>
    <row r="606" spans="1:13" ht="14.25" hidden="1" x14ac:dyDescent="0.2">
      <c r="A606" s="54"/>
      <c r="B606" s="54"/>
      <c r="C606" s="58"/>
      <c r="D606" s="167" t="s">
        <v>524</v>
      </c>
      <c r="E606" s="168"/>
      <c r="F606" s="168"/>
      <c r="G606" s="168"/>
      <c r="H606" s="168"/>
      <c r="I606" s="168"/>
      <c r="J606" s="45"/>
      <c r="K606" s="54"/>
      <c r="L606" s="42"/>
      <c r="M606" s="45"/>
    </row>
    <row r="607" spans="1:13" ht="14.25" x14ac:dyDescent="0.2">
      <c r="A607" s="54"/>
      <c r="B607" s="54"/>
      <c r="C607" s="58"/>
      <c r="D607" s="168" t="s">
        <v>523</v>
      </c>
      <c r="E607" s="168"/>
      <c r="F607" s="168"/>
      <c r="G607" s="168"/>
      <c r="H607" s="168"/>
      <c r="I607" s="168"/>
      <c r="J607" s="45"/>
      <c r="K607" s="54"/>
      <c r="L607" s="42"/>
      <c r="M607" s="45">
        <f>SUM(AO39:AO598)</f>
        <v>840.3900000000001</v>
      </c>
    </row>
    <row r="608" spans="1:13" ht="14.25" hidden="1" x14ac:dyDescent="0.2">
      <c r="A608" s="54"/>
      <c r="B608" s="54"/>
      <c r="C608" s="58"/>
      <c r="D608" s="167" t="s">
        <v>525</v>
      </c>
      <c r="E608" s="168"/>
      <c r="F608" s="168"/>
      <c r="G608" s="168"/>
      <c r="H608" s="168"/>
      <c r="I608" s="168"/>
      <c r="J608" s="45"/>
      <c r="K608" s="54"/>
      <c r="L608" s="42"/>
      <c r="M608" s="45"/>
    </row>
    <row r="609" spans="1:13" ht="14.25" x14ac:dyDescent="0.2">
      <c r="A609" s="54"/>
      <c r="B609" s="54"/>
      <c r="C609" s="58"/>
      <c r="D609" s="168" t="s">
        <v>545</v>
      </c>
      <c r="E609" s="168"/>
      <c r="F609" s="168"/>
      <c r="G609" s="168"/>
      <c r="H609" s="168"/>
      <c r="I609" s="168"/>
      <c r="J609" s="45"/>
      <c r="K609" s="54"/>
      <c r="L609" s="42"/>
      <c r="M609" s="45">
        <f>SUM(AT39:AT598)</f>
        <v>520.04</v>
      </c>
    </row>
    <row r="610" spans="1:13" ht="14.25" hidden="1" x14ac:dyDescent="0.2">
      <c r="A610" s="54"/>
      <c r="B610" s="54"/>
      <c r="C610" s="58"/>
      <c r="D610" s="168" t="s">
        <v>526</v>
      </c>
      <c r="E610" s="168"/>
      <c r="F610" s="168"/>
      <c r="G610" s="168"/>
      <c r="H610" s="168"/>
      <c r="I610" s="168"/>
      <c r="J610" s="45"/>
      <c r="K610" s="54"/>
      <c r="L610" s="42"/>
      <c r="M610" s="45">
        <f>SUM(AV39:AV598)</f>
        <v>0</v>
      </c>
    </row>
    <row r="611" spans="1:13" ht="14.25" x14ac:dyDescent="0.2">
      <c r="A611" s="54"/>
      <c r="B611" s="54"/>
      <c r="C611" s="58"/>
      <c r="D611" s="168" t="s">
        <v>527</v>
      </c>
      <c r="E611" s="168"/>
      <c r="F611" s="168"/>
      <c r="G611" s="168"/>
      <c r="H611" s="168"/>
      <c r="I611" s="168"/>
      <c r="J611" s="45"/>
      <c r="K611" s="54"/>
      <c r="L611" s="42"/>
      <c r="M611" s="45">
        <f>M613+M614</f>
        <v>129838.11000000003</v>
      </c>
    </row>
    <row r="612" spans="1:13" ht="14.25" x14ac:dyDescent="0.2">
      <c r="A612" s="54"/>
      <c r="B612" s="54"/>
      <c r="C612" s="58"/>
      <c r="D612" s="167" t="s">
        <v>524</v>
      </c>
      <c r="E612" s="168"/>
      <c r="F612" s="168"/>
      <c r="G612" s="168"/>
      <c r="H612" s="168"/>
      <c r="I612" s="168"/>
      <c r="J612" s="45"/>
      <c r="K612" s="54"/>
      <c r="L612" s="42"/>
      <c r="M612" s="45"/>
    </row>
    <row r="613" spans="1:13" ht="14.25" x14ac:dyDescent="0.2">
      <c r="A613" s="54"/>
      <c r="B613" s="54"/>
      <c r="C613" s="58"/>
      <c r="D613" s="168" t="s">
        <v>528</v>
      </c>
      <c r="E613" s="168"/>
      <c r="F613" s="168"/>
      <c r="G613" s="168"/>
      <c r="H613" s="168"/>
      <c r="I613" s="168"/>
      <c r="J613" s="45"/>
      <c r="K613" s="54"/>
      <c r="L613" s="42"/>
      <c r="M613" s="45">
        <f>SUM(AW39:AW598)-SUM(BK39:BK598)</f>
        <v>129838.11000000003</v>
      </c>
    </row>
    <row r="614" spans="1:13" ht="14.25" hidden="1" x14ac:dyDescent="0.2">
      <c r="A614" s="54"/>
      <c r="B614" s="54"/>
      <c r="C614" s="58"/>
      <c r="D614" s="168" t="s">
        <v>529</v>
      </c>
      <c r="E614" s="168"/>
      <c r="F614" s="168"/>
      <c r="G614" s="168"/>
      <c r="H614" s="168"/>
      <c r="I614" s="168"/>
      <c r="J614" s="45"/>
      <c r="K614" s="54"/>
      <c r="L614" s="42"/>
      <c r="M614" s="45">
        <f>SUM(BC39:BC598)</f>
        <v>0</v>
      </c>
    </row>
    <row r="615" spans="1:13" ht="14.25" x14ac:dyDescent="0.2">
      <c r="A615" s="54"/>
      <c r="B615" s="54"/>
      <c r="C615" s="58"/>
      <c r="D615" s="168" t="s">
        <v>530</v>
      </c>
      <c r="E615" s="168"/>
      <c r="F615" s="168"/>
      <c r="G615" s="168"/>
      <c r="H615" s="168"/>
      <c r="I615" s="168"/>
      <c r="J615" s="45"/>
      <c r="K615" s="54"/>
      <c r="L615" s="42"/>
      <c r="M615" s="45">
        <f>SUM(BB39:BB598)</f>
        <v>1111.47</v>
      </c>
    </row>
    <row r="616" spans="1:13" ht="14.25" x14ac:dyDescent="0.2">
      <c r="A616" s="54"/>
      <c r="B616" s="54"/>
      <c r="C616" s="58"/>
      <c r="D616" s="168" t="s">
        <v>531</v>
      </c>
      <c r="E616" s="168"/>
      <c r="F616" s="168"/>
      <c r="G616" s="168"/>
      <c r="H616" s="168"/>
      <c r="I616" s="168"/>
      <c r="J616" s="45"/>
      <c r="K616" s="54"/>
      <c r="L616" s="42"/>
      <c r="M616" s="45">
        <f>SUM(AR39:AR598)+SUM(AT39:AT598)+SUM(AV39:AV598)</f>
        <v>79955.319999999992</v>
      </c>
    </row>
    <row r="617" spans="1:13" ht="14.25" x14ac:dyDescent="0.2">
      <c r="A617" s="54"/>
      <c r="B617" s="54"/>
      <c r="C617" s="58"/>
      <c r="D617" s="168" t="s">
        <v>532</v>
      </c>
      <c r="E617" s="168"/>
      <c r="F617" s="168"/>
      <c r="G617" s="168"/>
      <c r="H617" s="168"/>
      <c r="I617" s="168"/>
      <c r="J617" s="45"/>
      <c r="K617" s="54"/>
      <c r="L617" s="42"/>
      <c r="M617" s="45">
        <f>SUM(AZ39:AZ598)</f>
        <v>74915.310000000012</v>
      </c>
    </row>
    <row r="618" spans="1:13" ht="14.25" x14ac:dyDescent="0.2">
      <c r="A618" s="54"/>
      <c r="B618" s="54"/>
      <c r="C618" s="58"/>
      <c r="D618" s="168" t="s">
        <v>533</v>
      </c>
      <c r="E618" s="168"/>
      <c r="F618" s="168"/>
      <c r="G618" s="168"/>
      <c r="H618" s="168"/>
      <c r="I618" s="168"/>
      <c r="J618" s="45"/>
      <c r="K618" s="54"/>
      <c r="L618" s="42"/>
      <c r="M618" s="45">
        <f>SUM(BA39:BA598)</f>
        <v>38339.400000000009</v>
      </c>
    </row>
    <row r="619" spans="1:13" ht="14.25" hidden="1" x14ac:dyDescent="0.2">
      <c r="A619" s="54"/>
      <c r="B619" s="54"/>
      <c r="C619" s="58"/>
      <c r="D619" s="168" t="s">
        <v>579</v>
      </c>
      <c r="E619" s="168"/>
      <c r="F619" s="168"/>
      <c r="G619" s="168"/>
      <c r="H619" s="168"/>
      <c r="I619" s="168"/>
      <c r="J619" s="45"/>
      <c r="K619" s="54"/>
      <c r="L619" s="42"/>
      <c r="M619" s="45">
        <f>M621+M622</f>
        <v>0</v>
      </c>
    </row>
    <row r="620" spans="1:13" ht="14.25" hidden="1" x14ac:dyDescent="0.2">
      <c r="A620" s="54"/>
      <c r="B620" s="54"/>
      <c r="C620" s="58"/>
      <c r="D620" s="167" t="s">
        <v>521</v>
      </c>
      <c r="E620" s="168"/>
      <c r="F620" s="168"/>
      <c r="G620" s="168"/>
      <c r="H620" s="168"/>
      <c r="I620" s="168"/>
      <c r="J620" s="45"/>
      <c r="K620" s="54"/>
      <c r="L620" s="42"/>
      <c r="M620" s="45"/>
    </row>
    <row r="621" spans="1:13" ht="14.25" hidden="1" x14ac:dyDescent="0.2">
      <c r="A621" s="54"/>
      <c r="B621" s="54"/>
      <c r="C621" s="58"/>
      <c r="D621" s="168" t="s">
        <v>535</v>
      </c>
      <c r="E621" s="168"/>
      <c r="F621" s="168"/>
      <c r="G621" s="168"/>
      <c r="H621" s="168"/>
      <c r="I621" s="168"/>
      <c r="J621" s="45"/>
      <c r="K621" s="54"/>
      <c r="L621" s="42"/>
      <c r="M621" s="45">
        <f>SUM(BK39:BK598)</f>
        <v>0</v>
      </c>
    </row>
    <row r="622" spans="1:13" ht="14.25" hidden="1" x14ac:dyDescent="0.2">
      <c r="A622" s="54"/>
      <c r="B622" s="54"/>
      <c r="C622" s="58"/>
      <c r="D622" s="168" t="s">
        <v>536</v>
      </c>
      <c r="E622" s="168"/>
      <c r="F622" s="168"/>
      <c r="G622" s="168"/>
      <c r="H622" s="168"/>
      <c r="I622" s="168"/>
      <c r="J622" s="45"/>
      <c r="K622" s="54"/>
      <c r="L622" s="42"/>
      <c r="M622" s="45">
        <f>SUM(BD39:BD598)</f>
        <v>0</v>
      </c>
    </row>
    <row r="623" spans="1:13" ht="14.25" hidden="1" x14ac:dyDescent="0.2">
      <c r="A623" s="54"/>
      <c r="B623" s="54"/>
      <c r="C623" s="58"/>
      <c r="D623" s="168" t="s">
        <v>580</v>
      </c>
      <c r="E623" s="168"/>
      <c r="F623" s="168"/>
      <c r="G623" s="168"/>
      <c r="H623" s="168"/>
      <c r="I623" s="168"/>
      <c r="J623" s="45"/>
      <c r="K623" s="54"/>
      <c r="L623" s="42"/>
      <c r="M623" s="45">
        <f>M576</f>
        <v>0</v>
      </c>
    </row>
    <row r="624" spans="1:13" ht="14.25" x14ac:dyDescent="0.2">
      <c r="A624" s="54"/>
      <c r="B624" s="54"/>
      <c r="C624" s="58"/>
      <c r="D624" s="166" t="s">
        <v>540</v>
      </c>
      <c r="E624" s="168"/>
      <c r="F624" s="168"/>
      <c r="G624" s="168"/>
      <c r="H624" s="168"/>
      <c r="I624" s="168"/>
      <c r="J624" s="45"/>
      <c r="K624" s="54"/>
      <c r="L624" s="42"/>
      <c r="M624" s="45"/>
    </row>
    <row r="625" spans="1:13" ht="14.25" hidden="1" x14ac:dyDescent="0.2">
      <c r="A625" s="54"/>
      <c r="B625" s="54"/>
      <c r="C625" s="58"/>
      <c r="D625" s="168" t="s">
        <v>541</v>
      </c>
      <c r="E625" s="168"/>
      <c r="F625" s="168"/>
      <c r="G625" s="168"/>
      <c r="H625" s="168"/>
      <c r="I625" s="168"/>
      <c r="J625" s="45"/>
      <c r="K625" s="54"/>
      <c r="L625" s="42"/>
      <c r="M625" s="45">
        <f>SUM(AX39:AX598)</f>
        <v>0</v>
      </c>
    </row>
    <row r="626" spans="1:13" ht="14.25" hidden="1" x14ac:dyDescent="0.2">
      <c r="A626" s="54"/>
      <c r="B626" s="54"/>
      <c r="C626" s="58"/>
      <c r="D626" s="168" t="s">
        <v>542</v>
      </c>
      <c r="E626" s="168"/>
      <c r="F626" s="168"/>
      <c r="G626" s="168"/>
      <c r="H626" s="168"/>
      <c r="I626" s="168"/>
      <c r="J626" s="45"/>
      <c r="K626" s="54"/>
      <c r="L626" s="42"/>
      <c r="M626" s="45">
        <f>SUM(AY39:AY598)</f>
        <v>0</v>
      </c>
    </row>
    <row r="627" spans="1:13" ht="14.25" x14ac:dyDescent="0.2">
      <c r="A627" s="54"/>
      <c r="B627" s="54"/>
      <c r="C627" s="58"/>
      <c r="D627" s="168" t="s">
        <v>543</v>
      </c>
      <c r="E627" s="168"/>
      <c r="F627" s="168"/>
      <c r="G627" s="169"/>
      <c r="H627" s="44">
        <f>Source!F210</f>
        <v>336.12007495</v>
      </c>
      <c r="I627" s="54"/>
      <c r="J627" s="54"/>
      <c r="K627" s="54"/>
      <c r="L627" s="54"/>
      <c r="M627" s="54"/>
    </row>
    <row r="628" spans="1:13" ht="14.25" x14ac:dyDescent="0.2">
      <c r="A628" s="54"/>
      <c r="B628" s="54"/>
      <c r="C628" s="58"/>
      <c r="D628" s="168" t="s">
        <v>544</v>
      </c>
      <c r="E628" s="168"/>
      <c r="F628" s="168"/>
      <c r="G628" s="169"/>
      <c r="H628" s="44">
        <f>Source!F211</f>
        <v>1.9966502500000001</v>
      </c>
      <c r="I628" s="54"/>
      <c r="J628" s="54"/>
      <c r="K628" s="54"/>
      <c r="L628" s="54"/>
      <c r="M628" s="54"/>
    </row>
    <row r="632" spans="1:13" ht="14.25" customHeight="1" x14ac:dyDescent="0.2">
      <c r="A632" s="86"/>
      <c r="B632" s="240" t="s">
        <v>614</v>
      </c>
      <c r="C632" s="240"/>
      <c r="D632" s="88" t="str">
        <f>IF(Source!AM12&lt;&gt;"", Source!AM12," ")</f>
        <v xml:space="preserve"> </v>
      </c>
      <c r="E632" s="89"/>
      <c r="F632" s="89"/>
      <c r="G632" s="89"/>
      <c r="H632" s="89"/>
      <c r="I632" s="87" t="str">
        <f>IF(Source!AL12&lt;&gt;"", Source!AL12," ")</f>
        <v xml:space="preserve"> </v>
      </c>
      <c r="J632" s="10"/>
      <c r="K632" s="10"/>
      <c r="L632" s="10"/>
      <c r="M632" s="10"/>
    </row>
    <row r="633" spans="1:13" ht="14.25" customHeight="1" x14ac:dyDescent="0.2">
      <c r="A633" s="26"/>
      <c r="B633" s="19"/>
      <c r="C633" s="19"/>
      <c r="D633" s="209" t="s">
        <v>582</v>
      </c>
      <c r="E633" s="209"/>
      <c r="F633" s="209"/>
      <c r="G633" s="209"/>
      <c r="H633" s="209"/>
      <c r="I633" s="19"/>
      <c r="J633" s="10"/>
      <c r="K633" s="10"/>
      <c r="L633" s="10"/>
      <c r="M633" s="10"/>
    </row>
    <row r="634" spans="1:13" ht="12.75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10"/>
      <c r="K634" s="10"/>
      <c r="L634" s="10"/>
      <c r="M634" s="10"/>
    </row>
    <row r="635" spans="1:13" ht="14.25" customHeight="1" x14ac:dyDescent="0.2">
      <c r="A635" s="26"/>
      <c r="B635" s="240" t="s">
        <v>615</v>
      </c>
      <c r="C635" s="240"/>
      <c r="D635" s="88" t="str">
        <f>IF(Source!AI12&lt;&gt;"", Source!AI12," ")</f>
        <v xml:space="preserve"> </v>
      </c>
      <c r="E635" s="89"/>
      <c r="F635" s="89"/>
      <c r="G635" s="89"/>
      <c r="H635" s="89"/>
      <c r="I635" s="90" t="str">
        <f>IF(Source!AH12&lt;&gt;"", Source!AH12," ")</f>
        <v xml:space="preserve"> </v>
      </c>
      <c r="J635" s="10"/>
      <c r="K635" s="10"/>
      <c r="L635" s="10"/>
      <c r="M635" s="10"/>
    </row>
    <row r="636" spans="1:13" ht="14.25" customHeight="1" x14ac:dyDescent="0.2">
      <c r="A636" s="26"/>
      <c r="B636" s="19"/>
      <c r="C636" s="19"/>
      <c r="D636" s="209" t="s">
        <v>582</v>
      </c>
      <c r="E636" s="209"/>
      <c r="F636" s="209"/>
      <c r="G636" s="209"/>
      <c r="H636" s="209"/>
      <c r="I636" s="19"/>
      <c r="J636" s="10"/>
      <c r="K636" s="10"/>
      <c r="L636" s="10"/>
      <c r="M636" s="10"/>
    </row>
  </sheetData>
  <mergeCells count="334">
    <mergeCell ref="D628:G628"/>
    <mergeCell ref="B632:C632"/>
    <mergeCell ref="D633:H633"/>
    <mergeCell ref="B635:C635"/>
    <mergeCell ref="D636:H636"/>
    <mergeCell ref="D622:I622"/>
    <mergeCell ref="D623:I623"/>
    <mergeCell ref="D624:I624"/>
    <mergeCell ref="D625:I625"/>
    <mergeCell ref="D626:I626"/>
    <mergeCell ref="D627:G627"/>
    <mergeCell ref="D616:I616"/>
    <mergeCell ref="D617:I617"/>
    <mergeCell ref="D618:I618"/>
    <mergeCell ref="D619:I619"/>
    <mergeCell ref="D620:I620"/>
    <mergeCell ref="D621:I621"/>
    <mergeCell ref="D610:I610"/>
    <mergeCell ref="D611:I611"/>
    <mergeCell ref="D612:I612"/>
    <mergeCell ref="D613:I613"/>
    <mergeCell ref="D614:I614"/>
    <mergeCell ref="D615:I615"/>
    <mergeCell ref="D604:I604"/>
    <mergeCell ref="D605:I605"/>
    <mergeCell ref="D606:I606"/>
    <mergeCell ref="D607:I607"/>
    <mergeCell ref="D608:I608"/>
    <mergeCell ref="D609:I609"/>
    <mergeCell ref="D597:I597"/>
    <mergeCell ref="D598:I598"/>
    <mergeCell ref="D600:I600"/>
    <mergeCell ref="D601:I601"/>
    <mergeCell ref="D602:I602"/>
    <mergeCell ref="D603:I603"/>
    <mergeCell ref="D591:I591"/>
    <mergeCell ref="D592:I592"/>
    <mergeCell ref="D593:I593"/>
    <mergeCell ref="D594:I594"/>
    <mergeCell ref="D595:I595"/>
    <mergeCell ref="D596:I596"/>
    <mergeCell ref="D585:I585"/>
    <mergeCell ref="D586:I586"/>
    <mergeCell ref="D587:I587"/>
    <mergeCell ref="D588:I588"/>
    <mergeCell ref="D589:I589"/>
    <mergeCell ref="D590:I590"/>
    <mergeCell ref="D579:I579"/>
    <mergeCell ref="D580:I580"/>
    <mergeCell ref="D581:I581"/>
    <mergeCell ref="D582:I582"/>
    <mergeCell ref="D583:I583"/>
    <mergeCell ref="D584:I584"/>
    <mergeCell ref="D572:I572"/>
    <mergeCell ref="D573:I573"/>
    <mergeCell ref="D574:I574"/>
    <mergeCell ref="D576:I576"/>
    <mergeCell ref="D577:I577"/>
    <mergeCell ref="D578:I578"/>
    <mergeCell ref="D565:I565"/>
    <mergeCell ref="D566:I566"/>
    <mergeCell ref="D567:I567"/>
    <mergeCell ref="D568:I568"/>
    <mergeCell ref="D569:I569"/>
    <mergeCell ref="D571:I571"/>
    <mergeCell ref="D559:I559"/>
    <mergeCell ref="D560:I560"/>
    <mergeCell ref="D561:I561"/>
    <mergeCell ref="D562:I562"/>
    <mergeCell ref="D563:I563"/>
    <mergeCell ref="D564:I564"/>
    <mergeCell ref="D553:I553"/>
    <mergeCell ref="D554:I554"/>
    <mergeCell ref="D555:I555"/>
    <mergeCell ref="D556:I556"/>
    <mergeCell ref="D557:I557"/>
    <mergeCell ref="D558:I558"/>
    <mergeCell ref="D546:I546"/>
    <mergeCell ref="D547:I547"/>
    <mergeCell ref="D548:I548"/>
    <mergeCell ref="D549:I549"/>
    <mergeCell ref="D551:I551"/>
    <mergeCell ref="D552:I552"/>
    <mergeCell ref="D540:I540"/>
    <mergeCell ref="D541:I541"/>
    <mergeCell ref="D542:I542"/>
    <mergeCell ref="D543:I543"/>
    <mergeCell ref="D544:I544"/>
    <mergeCell ref="D545:I545"/>
    <mergeCell ref="D534:I534"/>
    <mergeCell ref="D535:I535"/>
    <mergeCell ref="D536:I536"/>
    <mergeCell ref="D537:I537"/>
    <mergeCell ref="D538:I538"/>
    <mergeCell ref="D539:I539"/>
    <mergeCell ref="D525:G525"/>
    <mergeCell ref="D526:G526"/>
    <mergeCell ref="D529:I529"/>
    <mergeCell ref="D531:I531"/>
    <mergeCell ref="D532:I532"/>
    <mergeCell ref="D533:I533"/>
    <mergeCell ref="D519:I519"/>
    <mergeCell ref="D520:I520"/>
    <mergeCell ref="D521:I521"/>
    <mergeCell ref="D522:I522"/>
    <mergeCell ref="D523:I523"/>
    <mergeCell ref="D524:I524"/>
    <mergeCell ref="D513:I513"/>
    <mergeCell ref="D514:I514"/>
    <mergeCell ref="D515:I515"/>
    <mergeCell ref="D516:I516"/>
    <mergeCell ref="D517:I517"/>
    <mergeCell ref="D518:I518"/>
    <mergeCell ref="D507:I507"/>
    <mergeCell ref="D508:I508"/>
    <mergeCell ref="D509:I509"/>
    <mergeCell ref="D510:I510"/>
    <mergeCell ref="D511:I511"/>
    <mergeCell ref="D512:I512"/>
    <mergeCell ref="D501:I501"/>
    <mergeCell ref="D502:I502"/>
    <mergeCell ref="D503:I503"/>
    <mergeCell ref="D504:I504"/>
    <mergeCell ref="D505:I505"/>
    <mergeCell ref="D506:I506"/>
    <mergeCell ref="D496:I496"/>
    <mergeCell ref="J496:K496"/>
    <mergeCell ref="L496:M496"/>
    <mergeCell ref="D498:I498"/>
    <mergeCell ref="D499:I499"/>
    <mergeCell ref="D500:I500"/>
    <mergeCell ref="D492:I492"/>
    <mergeCell ref="J492:K492"/>
    <mergeCell ref="L492:M492"/>
    <mergeCell ref="D494:I494"/>
    <mergeCell ref="J494:K494"/>
    <mergeCell ref="L494:M494"/>
    <mergeCell ref="D464:I464"/>
    <mergeCell ref="J464:K464"/>
    <mergeCell ref="L464:M464"/>
    <mergeCell ref="D483:I483"/>
    <mergeCell ref="J483:K483"/>
    <mergeCell ref="L483:M483"/>
    <mergeCell ref="D438:I438"/>
    <mergeCell ref="D439:I439"/>
    <mergeCell ref="D440:I440"/>
    <mergeCell ref="D441:G441"/>
    <mergeCell ref="D442:G442"/>
    <mergeCell ref="A445:M445"/>
    <mergeCell ref="D432:I432"/>
    <mergeCell ref="D433:I433"/>
    <mergeCell ref="D434:I434"/>
    <mergeCell ref="D435:I435"/>
    <mergeCell ref="D436:I436"/>
    <mergeCell ref="D437:I437"/>
    <mergeCell ref="D426:I426"/>
    <mergeCell ref="D427:I427"/>
    <mergeCell ref="D428:I428"/>
    <mergeCell ref="D429:I429"/>
    <mergeCell ref="D430:I430"/>
    <mergeCell ref="D431:I431"/>
    <mergeCell ref="D420:I420"/>
    <mergeCell ref="D421:I421"/>
    <mergeCell ref="D422:I422"/>
    <mergeCell ref="D423:I423"/>
    <mergeCell ref="D424:I424"/>
    <mergeCell ref="D425:I425"/>
    <mergeCell ref="D414:I414"/>
    <mergeCell ref="D415:I415"/>
    <mergeCell ref="D416:I416"/>
    <mergeCell ref="D417:I417"/>
    <mergeCell ref="D418:I418"/>
    <mergeCell ref="D419:I419"/>
    <mergeCell ref="D386:G386"/>
    <mergeCell ref="D387:G387"/>
    <mergeCell ref="A390:M390"/>
    <mergeCell ref="D412:I412"/>
    <mergeCell ref="J412:K412"/>
    <mergeCell ref="L412:M412"/>
    <mergeCell ref="D380:I380"/>
    <mergeCell ref="D381:I381"/>
    <mergeCell ref="D382:I382"/>
    <mergeCell ref="D383:I383"/>
    <mergeCell ref="D384:I384"/>
    <mergeCell ref="D385:I385"/>
    <mergeCell ref="D374:I374"/>
    <mergeCell ref="D375:I375"/>
    <mergeCell ref="D376:I376"/>
    <mergeCell ref="D377:I377"/>
    <mergeCell ref="D378:I378"/>
    <mergeCell ref="D379:I379"/>
    <mergeCell ref="D368:I368"/>
    <mergeCell ref="D369:I369"/>
    <mergeCell ref="D370:I370"/>
    <mergeCell ref="D371:I371"/>
    <mergeCell ref="D372:I372"/>
    <mergeCell ref="D373:I373"/>
    <mergeCell ref="D362:I362"/>
    <mergeCell ref="D363:I363"/>
    <mergeCell ref="D364:I364"/>
    <mergeCell ref="D365:I365"/>
    <mergeCell ref="D366:I366"/>
    <mergeCell ref="D367:I367"/>
    <mergeCell ref="D357:I357"/>
    <mergeCell ref="J357:K357"/>
    <mergeCell ref="L357:M357"/>
    <mergeCell ref="D359:I359"/>
    <mergeCell ref="D360:I360"/>
    <mergeCell ref="D361:I361"/>
    <mergeCell ref="D320:G320"/>
    <mergeCell ref="D321:G321"/>
    <mergeCell ref="A324:M324"/>
    <mergeCell ref="D339:I339"/>
    <mergeCell ref="J339:K339"/>
    <mergeCell ref="L339:M339"/>
    <mergeCell ref="D314:I314"/>
    <mergeCell ref="D315:I315"/>
    <mergeCell ref="D316:I316"/>
    <mergeCell ref="D317:I317"/>
    <mergeCell ref="D318:I318"/>
    <mergeCell ref="D319:I319"/>
    <mergeCell ref="D308:I308"/>
    <mergeCell ref="D309:I309"/>
    <mergeCell ref="D310:I310"/>
    <mergeCell ref="D311:I311"/>
    <mergeCell ref="D312:I312"/>
    <mergeCell ref="D313:I313"/>
    <mergeCell ref="D302:I302"/>
    <mergeCell ref="D303:I303"/>
    <mergeCell ref="D304:I304"/>
    <mergeCell ref="D305:I305"/>
    <mergeCell ref="D306:I306"/>
    <mergeCell ref="D307:I307"/>
    <mergeCell ref="D296:I296"/>
    <mergeCell ref="D297:I297"/>
    <mergeCell ref="D298:I298"/>
    <mergeCell ref="D299:I299"/>
    <mergeCell ref="D300:I300"/>
    <mergeCell ref="D301:I301"/>
    <mergeCell ref="D291:I291"/>
    <mergeCell ref="J291:K291"/>
    <mergeCell ref="L291:M291"/>
    <mergeCell ref="D293:I293"/>
    <mergeCell ref="D294:I294"/>
    <mergeCell ref="D295:I295"/>
    <mergeCell ref="D253:I253"/>
    <mergeCell ref="J253:K253"/>
    <mergeCell ref="L253:M253"/>
    <mergeCell ref="D275:I275"/>
    <mergeCell ref="J275:K275"/>
    <mergeCell ref="L275:M275"/>
    <mergeCell ref="D213:I213"/>
    <mergeCell ref="J213:K213"/>
    <mergeCell ref="L213:M213"/>
    <mergeCell ref="D231:I231"/>
    <mergeCell ref="J231:K231"/>
    <mergeCell ref="L231:M231"/>
    <mergeCell ref="D177:I177"/>
    <mergeCell ref="J177:K177"/>
    <mergeCell ref="L177:M177"/>
    <mergeCell ref="D195:I195"/>
    <mergeCell ref="J195:K195"/>
    <mergeCell ref="L195:M195"/>
    <mergeCell ref="D138:I138"/>
    <mergeCell ref="J138:K138"/>
    <mergeCell ref="L138:M138"/>
    <mergeCell ref="D155:I155"/>
    <mergeCell ref="J155:K155"/>
    <mergeCell ref="L155:M155"/>
    <mergeCell ref="A104:M104"/>
    <mergeCell ref="D112:I112"/>
    <mergeCell ref="J112:K112"/>
    <mergeCell ref="L112:M112"/>
    <mergeCell ref="D120:I120"/>
    <mergeCell ref="J120:K120"/>
    <mergeCell ref="L120:M120"/>
    <mergeCell ref="D85:I85"/>
    <mergeCell ref="J85:K85"/>
    <mergeCell ref="L85:M85"/>
    <mergeCell ref="D102:I102"/>
    <mergeCell ref="J102:K102"/>
    <mergeCell ref="L102:M102"/>
    <mergeCell ref="B33:B36"/>
    <mergeCell ref="A39:M39"/>
    <mergeCell ref="D48:I48"/>
    <mergeCell ref="J48:K48"/>
    <mergeCell ref="L48:M48"/>
    <mergeCell ref="D71:I71"/>
    <mergeCell ref="J71:K71"/>
    <mergeCell ref="L71:M71"/>
    <mergeCell ref="A28:M28"/>
    <mergeCell ref="A29:M29"/>
    <mergeCell ref="A31:M31"/>
    <mergeCell ref="A32:B32"/>
    <mergeCell ref="C32:C36"/>
    <mergeCell ref="D32:D36"/>
    <mergeCell ref="E32:E36"/>
    <mergeCell ref="F32:H35"/>
    <mergeCell ref="I32:M35"/>
    <mergeCell ref="A33:A36"/>
    <mergeCell ref="H20:I20"/>
    <mergeCell ref="K20:M20"/>
    <mergeCell ref="K21:M21"/>
    <mergeCell ref="K22:M22"/>
    <mergeCell ref="G24:G25"/>
    <mergeCell ref="H24:H25"/>
    <mergeCell ref="I24:J24"/>
    <mergeCell ref="C16:I16"/>
    <mergeCell ref="K16:M17"/>
    <mergeCell ref="A17:B17"/>
    <mergeCell ref="C17:I17"/>
    <mergeCell ref="C18:I18"/>
    <mergeCell ref="H19:J19"/>
    <mergeCell ref="K19:M19"/>
    <mergeCell ref="C12:I12"/>
    <mergeCell ref="K12:M13"/>
    <mergeCell ref="A13:B13"/>
    <mergeCell ref="C13:I13"/>
    <mergeCell ref="C14:I14"/>
    <mergeCell ref="K14:M15"/>
    <mergeCell ref="A15:B15"/>
    <mergeCell ref="C15:I15"/>
    <mergeCell ref="A9:B9"/>
    <mergeCell ref="C9:I9"/>
    <mergeCell ref="C10:I10"/>
    <mergeCell ref="K10:M11"/>
    <mergeCell ref="A11:B11"/>
    <mergeCell ref="C11:I11"/>
    <mergeCell ref="J2:M2"/>
    <mergeCell ref="I3:M3"/>
    <mergeCell ref="J4:M4"/>
    <mergeCell ref="K6:M6"/>
    <mergeCell ref="K7:M7"/>
    <mergeCell ref="K8:M9"/>
  </mergeCells>
  <pageMargins left="0.4" right="0.2" top="0.2" bottom="0.4" header="0.2" footer="0.2"/>
  <pageSetup paperSize="9" scale="47" fitToHeight="0" orientation="portrait" horizontalDpi="0" verticalDpi="0" r:id="rId1"/>
  <headerFooter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80"/>
  <sheetViews>
    <sheetView workbookViewId="0">
      <selection activeCell="A276" sqref="A276:AX276"/>
    </sheetView>
  </sheetViews>
  <sheetFormatPr defaultColWidth="9.140625" defaultRowHeight="12.75" x14ac:dyDescent="0.2"/>
  <cols>
    <col min="1" max="256" width="9.140625" customWidth="1"/>
  </cols>
  <sheetData>
    <row r="1" spans="1:246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72803</v>
      </c>
      <c r="M1">
        <v>10</v>
      </c>
      <c r="N1">
        <v>11</v>
      </c>
      <c r="O1">
        <v>7</v>
      </c>
      <c r="P1">
        <v>0</v>
      </c>
      <c r="Q1">
        <v>0</v>
      </c>
    </row>
    <row r="5" spans="1:246" x14ac:dyDescent="0.2">
      <c r="IK5">
        <v>1</v>
      </c>
      <c r="IL5" t="s">
        <v>616</v>
      </c>
    </row>
    <row r="12" spans="1:246" x14ac:dyDescent="0.2">
      <c r="A12" s="1">
        <v>1</v>
      </c>
      <c r="B12" s="1">
        <v>274</v>
      </c>
      <c r="C12" s="1">
        <v>0</v>
      </c>
      <c r="D12" s="1">
        <f>ROW(A218)</f>
        <v>218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131595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489168904</v>
      </c>
      <c r="CI12" s="1" t="s">
        <v>3</v>
      </c>
      <c r="CJ12" s="1" t="s">
        <v>3</v>
      </c>
      <c r="CK12" s="1">
        <v>7</v>
      </c>
      <c r="CL12" s="1"/>
      <c r="CM12" s="1"/>
      <c r="CN12" s="1"/>
      <c r="CO12" s="1"/>
      <c r="CP12" s="1"/>
      <c r="CQ12" s="1" t="s">
        <v>426</v>
      </c>
      <c r="CR12" s="1" t="s">
        <v>12</v>
      </c>
      <c r="CS12" s="1">
        <v>45145</v>
      </c>
      <c r="CT12" s="1">
        <v>468</v>
      </c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246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B218</f>
        <v>274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</v>
      </c>
      <c r="G18" s="2" t="str">
        <f t="shared" si="0"/>
        <v>Текущий ремонт помещения №10  Налоговой инспекции, по адресу: г.Орел, Московское шоссе, д.19</v>
      </c>
      <c r="H18" s="2"/>
      <c r="I18" s="2"/>
      <c r="J18" s="2"/>
      <c r="K18" s="2"/>
      <c r="L18" s="2"/>
      <c r="M18" s="2"/>
      <c r="N18" s="2"/>
      <c r="O18" s="2">
        <f t="shared" ref="O18:AT18" si="1">O218</f>
        <v>210633.82</v>
      </c>
      <c r="P18" s="2">
        <f t="shared" si="1"/>
        <v>129838.11</v>
      </c>
      <c r="Q18" s="2">
        <f t="shared" si="1"/>
        <v>840.39</v>
      </c>
      <c r="R18" s="2">
        <f t="shared" si="1"/>
        <v>520.04</v>
      </c>
      <c r="S18" s="2">
        <f t="shared" si="1"/>
        <v>79435.28</v>
      </c>
      <c r="T18" s="2">
        <f t="shared" si="1"/>
        <v>0</v>
      </c>
      <c r="U18" s="2">
        <f t="shared" si="1"/>
        <v>336.12007495</v>
      </c>
      <c r="V18" s="2">
        <f t="shared" si="1"/>
        <v>1.9966502500000001</v>
      </c>
      <c r="W18" s="2">
        <f t="shared" si="1"/>
        <v>0</v>
      </c>
      <c r="X18" s="2">
        <f t="shared" si="1"/>
        <v>74915.31</v>
      </c>
      <c r="Y18" s="2">
        <f t="shared" si="1"/>
        <v>38339.4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325000</v>
      </c>
      <c r="AS18" s="2">
        <f t="shared" si="1"/>
        <v>302909.68</v>
      </c>
      <c r="AT18" s="2">
        <f t="shared" si="1"/>
        <v>22090.32</v>
      </c>
      <c r="AU18" s="2">
        <f t="shared" ref="AU18:BZ18" si="2">AU218</f>
        <v>0</v>
      </c>
      <c r="AV18" s="2">
        <f t="shared" si="2"/>
        <v>129838.11</v>
      </c>
      <c r="AW18" s="2">
        <f t="shared" si="2"/>
        <v>129838.11</v>
      </c>
      <c r="AX18" s="2">
        <f t="shared" si="2"/>
        <v>0</v>
      </c>
      <c r="AY18" s="2">
        <f t="shared" si="2"/>
        <v>129838.11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1111.47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CA218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DG218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EM218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FS218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ROW(A188)</f>
        <v>188</v>
      </c>
      <c r="E20" s="1"/>
      <c r="F20" s="1" t="s">
        <v>3</v>
      </c>
      <c r="G20" s="1" t="s">
        <v>13</v>
      </c>
      <c r="H20" s="1" t="s">
        <v>3</v>
      </c>
      <c r="I20" s="1">
        <v>0</v>
      </c>
      <c r="J20" s="1" t="s">
        <v>3</v>
      </c>
      <c r="K20" s="1">
        <v>0</v>
      </c>
      <c r="L20" s="1" t="s">
        <v>13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B188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/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O188</f>
        <v>210633.82</v>
      </c>
      <c r="P22" s="2">
        <f t="shared" si="8"/>
        <v>129838.11</v>
      </c>
      <c r="Q22" s="2">
        <f t="shared" si="8"/>
        <v>840.39</v>
      </c>
      <c r="R22" s="2">
        <f t="shared" si="8"/>
        <v>520.04</v>
      </c>
      <c r="S22" s="2">
        <f t="shared" si="8"/>
        <v>79435.28</v>
      </c>
      <c r="T22" s="2">
        <f t="shared" si="8"/>
        <v>0</v>
      </c>
      <c r="U22" s="2">
        <f t="shared" si="8"/>
        <v>336.12007495</v>
      </c>
      <c r="V22" s="2">
        <f t="shared" si="8"/>
        <v>1.9966502500000001</v>
      </c>
      <c r="W22" s="2">
        <f t="shared" si="8"/>
        <v>0</v>
      </c>
      <c r="X22" s="2">
        <f t="shared" si="8"/>
        <v>74915.31</v>
      </c>
      <c r="Y22" s="2">
        <f t="shared" si="8"/>
        <v>38339.4</v>
      </c>
      <c r="Z22" s="2">
        <f t="shared" si="8"/>
        <v>0</v>
      </c>
      <c r="AA22" s="2">
        <f t="shared" si="8"/>
        <v>0</v>
      </c>
      <c r="AB22" s="2">
        <f t="shared" si="8"/>
        <v>88443.87</v>
      </c>
      <c r="AC22" s="2">
        <f t="shared" si="8"/>
        <v>80618.039999999994</v>
      </c>
      <c r="AD22" s="2">
        <f t="shared" si="8"/>
        <v>78.819999999999993</v>
      </c>
      <c r="AE22" s="2">
        <f t="shared" si="8"/>
        <v>39.44</v>
      </c>
      <c r="AF22" s="2">
        <f t="shared" si="8"/>
        <v>7707.57</v>
      </c>
      <c r="AG22" s="2">
        <f t="shared" si="8"/>
        <v>0</v>
      </c>
      <c r="AH22" s="2">
        <f t="shared" si="8"/>
        <v>32.407093000000003</v>
      </c>
      <c r="AI22" s="2">
        <f t="shared" si="8"/>
        <v>0.14995000000000003</v>
      </c>
      <c r="AJ22" s="2">
        <f t="shared" si="8"/>
        <v>0</v>
      </c>
      <c r="AK22" s="2">
        <f t="shared" si="8"/>
        <v>8089.77</v>
      </c>
      <c r="AL22" s="2">
        <f t="shared" si="8"/>
        <v>4535.66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325000</v>
      </c>
      <c r="AS22" s="2">
        <f t="shared" si="8"/>
        <v>302909.68</v>
      </c>
      <c r="AT22" s="2">
        <f t="shared" si="8"/>
        <v>22090.32</v>
      </c>
      <c r="AU22" s="2">
        <f t="shared" ref="AU22:BZ22" si="9">AU188</f>
        <v>0</v>
      </c>
      <c r="AV22" s="2">
        <f t="shared" si="9"/>
        <v>129838.11</v>
      </c>
      <c r="AW22" s="2">
        <f t="shared" si="9"/>
        <v>129838.11</v>
      </c>
      <c r="AX22" s="2">
        <f t="shared" si="9"/>
        <v>0</v>
      </c>
      <c r="AY22" s="2">
        <f t="shared" si="9"/>
        <v>129838.11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1111.47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CA188</f>
        <v>101069.3</v>
      </c>
      <c r="CB22" s="2">
        <f t="shared" si="10"/>
        <v>101069.3</v>
      </c>
      <c r="CC22" s="2">
        <f t="shared" si="10"/>
        <v>0</v>
      </c>
      <c r="CD22" s="2">
        <f t="shared" si="10"/>
        <v>0</v>
      </c>
      <c r="CE22" s="2">
        <f t="shared" si="10"/>
        <v>80618.039999999994</v>
      </c>
      <c r="CF22" s="2">
        <f t="shared" si="10"/>
        <v>80618.039999999994</v>
      </c>
      <c r="CG22" s="2">
        <f t="shared" si="10"/>
        <v>0</v>
      </c>
      <c r="CH22" s="2">
        <f t="shared" si="10"/>
        <v>80618.039999999994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DG188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EM188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FS188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>
        <v>17</v>
      </c>
      <c r="B24">
        <v>1</v>
      </c>
      <c r="C24">
        <f>ROW(SmtRes!A2)</f>
        <v>2</v>
      </c>
      <c r="D24">
        <f>ROW(EtalonRes!A2)</f>
        <v>2</v>
      </c>
      <c r="E24" t="s">
        <v>14</v>
      </c>
      <c r="F24" t="s">
        <v>15</v>
      </c>
      <c r="G24" t="s">
        <v>16</v>
      </c>
      <c r="H24" t="s">
        <v>17</v>
      </c>
      <c r="I24">
        <v>0.33400000000000002</v>
      </c>
      <c r="J24">
        <v>0</v>
      </c>
      <c r="K24">
        <v>0.33400000000000002</v>
      </c>
      <c r="O24">
        <f>ROUND(CP24,2)</f>
        <v>273.57</v>
      </c>
      <c r="P24">
        <f>SUMIF(SmtRes!AQ1:'SmtRes'!AQ2,"=1",SmtRes!DF1:'SmtRes'!DF2)</f>
        <v>0</v>
      </c>
      <c r="Q24">
        <f>SUMIF(SmtRes!AQ1:'SmtRes'!AQ2,"=1",SmtRes!DG1:'SmtRes'!DG2)</f>
        <v>0</v>
      </c>
      <c r="R24">
        <f>SUMIF(SmtRes!AQ1:'SmtRes'!AQ2,"=1",SmtRes!DH1:'SmtRes'!DH2)</f>
        <v>0</v>
      </c>
      <c r="S24">
        <f>SUMIF(SmtRes!AQ1:'SmtRes'!AQ2,"=1",SmtRes!DI1:'SmtRes'!DI2)</f>
        <v>273.57</v>
      </c>
      <c r="T24">
        <f>ROUND(CU24*I24,2)</f>
        <v>0</v>
      </c>
      <c r="U24">
        <f>CV24*I24</f>
        <v>1.2591800000000002</v>
      </c>
      <c r="V24">
        <f>CW24*I24</f>
        <v>0</v>
      </c>
      <c r="W24">
        <f>ROUND(CX24*I24,2)</f>
        <v>0</v>
      </c>
      <c r="X24">
        <f t="shared" ref="X24:Y27" si="14">ROUND(CY24,2)</f>
        <v>243.48</v>
      </c>
      <c r="Y24">
        <f t="shared" si="14"/>
        <v>134.05000000000001</v>
      </c>
      <c r="AA24">
        <v>59552816</v>
      </c>
      <c r="AB24">
        <f>ROUND((AC24+AD24+AF24+AE24),2)</f>
        <v>819.07</v>
      </c>
      <c r="AC24">
        <f>ROUND((0),2)</f>
        <v>0</v>
      </c>
      <c r="AD24">
        <f>ROUND((0),2)</f>
        <v>0</v>
      </c>
      <c r="AE24">
        <f>ROUND((0),2)</f>
        <v>0</v>
      </c>
      <c r="AF24">
        <f>ROUND((SUM(SmtRes!BT1:'SmtRes'!BT2)),2)</f>
        <v>819.07</v>
      </c>
      <c r="AG24">
        <f>ROUND((AP24),2)</f>
        <v>0</v>
      </c>
      <c r="AH24">
        <f>(SUM(SmtRes!BU1:'SmtRes'!BU2))</f>
        <v>3.77</v>
      </c>
      <c r="AI24">
        <f>(0)</f>
        <v>0</v>
      </c>
      <c r="AJ24">
        <f>(AS24)</f>
        <v>0</v>
      </c>
      <c r="AK24">
        <v>819.0702</v>
      </c>
      <c r="AL24">
        <v>0</v>
      </c>
      <c r="AM24">
        <v>0</v>
      </c>
      <c r="AN24">
        <v>0</v>
      </c>
      <c r="AO24">
        <v>819.0702</v>
      </c>
      <c r="AP24">
        <v>0</v>
      </c>
      <c r="AQ24">
        <v>3.77</v>
      </c>
      <c r="AR24">
        <v>0</v>
      </c>
      <c r="AS24">
        <v>0</v>
      </c>
      <c r="AT24">
        <v>89</v>
      </c>
      <c r="AU24">
        <v>49</v>
      </c>
      <c r="AV24">
        <v>1</v>
      </c>
      <c r="AW24">
        <v>1</v>
      </c>
      <c r="AZ24">
        <v>1</v>
      </c>
      <c r="BA24">
        <v>1</v>
      </c>
      <c r="BB24">
        <v>1</v>
      </c>
      <c r="BC24">
        <v>1</v>
      </c>
      <c r="BD24" t="s">
        <v>3</v>
      </c>
      <c r="BE24" t="s">
        <v>3</v>
      </c>
      <c r="BF24" t="s">
        <v>3</v>
      </c>
      <c r="BG24" t="s">
        <v>3</v>
      </c>
      <c r="BH24">
        <v>0</v>
      </c>
      <c r="BI24">
        <v>1</v>
      </c>
      <c r="BJ24" t="s">
        <v>18</v>
      </c>
      <c r="BM24">
        <v>57001</v>
      </c>
      <c r="BN24">
        <v>0</v>
      </c>
      <c r="BO24" t="s">
        <v>3</v>
      </c>
      <c r="BP24">
        <v>0</v>
      </c>
      <c r="BQ24">
        <v>6</v>
      </c>
      <c r="BR24">
        <v>0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 t="s">
        <v>3</v>
      </c>
      <c r="BZ24">
        <v>89</v>
      </c>
      <c r="CA24">
        <v>49</v>
      </c>
      <c r="CB24" t="s">
        <v>3</v>
      </c>
      <c r="CE24">
        <v>0</v>
      </c>
      <c r="CF24">
        <v>0</v>
      </c>
      <c r="CG24">
        <v>0</v>
      </c>
      <c r="CM24">
        <v>0</v>
      </c>
      <c r="CN24" t="s">
        <v>3</v>
      </c>
      <c r="CO24">
        <v>0</v>
      </c>
      <c r="CP24">
        <f>(P24+Q24+S24+R24)</f>
        <v>273.57</v>
      </c>
      <c r="CQ24">
        <f>SUMIF(SmtRes!AQ1:'SmtRes'!AQ2,"=1",SmtRes!AA1:'SmtRes'!AA2)</f>
        <v>0</v>
      </c>
      <c r="CR24">
        <f>SUMIF(SmtRes!AQ1:'SmtRes'!AQ2,"=1",SmtRes!AB1:'SmtRes'!AB2)</f>
        <v>0</v>
      </c>
      <c r="CS24">
        <f>SUMIF(SmtRes!AQ1:'SmtRes'!AQ2,"=1",SmtRes!AC1:'SmtRes'!AC2)</f>
        <v>0</v>
      </c>
      <c r="CT24">
        <f>SUMIF(SmtRes!AQ1:'SmtRes'!AQ2,"=1",SmtRes!AD1:'SmtRes'!AD2)</f>
        <v>217.26</v>
      </c>
      <c r="CU24">
        <f t="shared" ref="CU24:CX27" si="15">AG24</f>
        <v>0</v>
      </c>
      <c r="CV24">
        <f t="shared" si="15"/>
        <v>3.77</v>
      </c>
      <c r="CW24">
        <f t="shared" si="15"/>
        <v>0</v>
      </c>
      <c r="CX24">
        <f t="shared" si="15"/>
        <v>0</v>
      </c>
      <c r="CY24">
        <f>(((S24+R24)*AT24)/100)</f>
        <v>243.47729999999999</v>
      </c>
      <c r="CZ24">
        <f>(((S24+R24)*AU24)/100)</f>
        <v>134.04930000000002</v>
      </c>
      <c r="DC24" t="s">
        <v>3</v>
      </c>
      <c r="DD24" t="s">
        <v>3</v>
      </c>
      <c r="DE24" t="s">
        <v>3</v>
      </c>
      <c r="DF24" t="s">
        <v>3</v>
      </c>
      <c r="DG24" t="s">
        <v>3</v>
      </c>
      <c r="DH24" t="s">
        <v>3</v>
      </c>
      <c r="DI24" t="s">
        <v>3</v>
      </c>
      <c r="DJ24" t="s">
        <v>3</v>
      </c>
      <c r="DK24" t="s">
        <v>3</v>
      </c>
      <c r="DL24" t="s">
        <v>3</v>
      </c>
      <c r="DM24" t="s">
        <v>3</v>
      </c>
      <c r="DN24">
        <v>0</v>
      </c>
      <c r="DO24">
        <v>0</v>
      </c>
      <c r="DP24">
        <v>1</v>
      </c>
      <c r="DQ24">
        <v>1</v>
      </c>
      <c r="DU24">
        <v>1003</v>
      </c>
      <c r="DV24" t="s">
        <v>17</v>
      </c>
      <c r="DW24" t="s">
        <v>17</v>
      </c>
      <c r="DX24">
        <v>100</v>
      </c>
      <c r="DZ24" t="s">
        <v>3</v>
      </c>
      <c r="EA24" t="s">
        <v>3</v>
      </c>
      <c r="EB24" t="s">
        <v>3</v>
      </c>
      <c r="EC24" t="s">
        <v>3</v>
      </c>
      <c r="EE24">
        <v>57922253</v>
      </c>
      <c r="EF24">
        <v>6</v>
      </c>
      <c r="EG24" t="s">
        <v>19</v>
      </c>
      <c r="EH24">
        <v>11</v>
      </c>
      <c r="EI24" t="s">
        <v>20</v>
      </c>
      <c r="EJ24">
        <v>1</v>
      </c>
      <c r="EK24">
        <v>57001</v>
      </c>
      <c r="EL24" t="s">
        <v>20</v>
      </c>
      <c r="EM24" t="s">
        <v>21</v>
      </c>
      <c r="EO24" t="s">
        <v>3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3.77</v>
      </c>
      <c r="EX24">
        <v>0</v>
      </c>
      <c r="EY24">
        <v>0</v>
      </c>
      <c r="FQ24">
        <v>0</v>
      </c>
      <c r="FR24">
        <f>ROUND(IF(BI24=3,GM24,0),2)</f>
        <v>0</v>
      </c>
      <c r="FS24">
        <v>0</v>
      </c>
      <c r="FX24">
        <v>89</v>
      </c>
      <c r="FY24">
        <v>49</v>
      </c>
      <c r="GA24" t="s">
        <v>3</v>
      </c>
      <c r="GD24">
        <v>1</v>
      </c>
      <c r="GF24">
        <v>622762150</v>
      </c>
      <c r="GG24">
        <v>2</v>
      </c>
      <c r="GH24">
        <v>1</v>
      </c>
      <c r="GI24">
        <v>-2</v>
      </c>
      <c r="GJ24">
        <v>0</v>
      </c>
      <c r="GK24">
        <v>0</v>
      </c>
      <c r="GL24">
        <f>ROUND(IF(AND(BH24=3,BI24=3,FS24&lt;&gt;0),P24,0),2)</f>
        <v>0</v>
      </c>
      <c r="GM24">
        <f>ROUND(O24+X24+Y24,2)+GX24</f>
        <v>651.1</v>
      </c>
      <c r="GN24">
        <f>IF(OR(BI24=0,BI24=1),GM24,0)</f>
        <v>651.1</v>
      </c>
      <c r="GO24">
        <f>IF(BI24=2,GM24,0)</f>
        <v>0</v>
      </c>
      <c r="GP24">
        <f>IF(BI24=4,GM24+GX24,0)</f>
        <v>0</v>
      </c>
      <c r="GR24">
        <v>0</v>
      </c>
      <c r="GS24">
        <v>3</v>
      </c>
      <c r="GT24">
        <v>0</v>
      </c>
      <c r="GU24" t="s">
        <v>3</v>
      </c>
      <c r="GV24">
        <f>ROUND((GT24),2)</f>
        <v>0</v>
      </c>
      <c r="GW24">
        <v>1</v>
      </c>
      <c r="GX24">
        <f>ROUND(HC24*I24,2)</f>
        <v>0</v>
      </c>
      <c r="HA24">
        <v>0</v>
      </c>
      <c r="HB24">
        <v>0</v>
      </c>
      <c r="HC24">
        <f>GV24*GW24</f>
        <v>0</v>
      </c>
      <c r="HE24" t="s">
        <v>3</v>
      </c>
      <c r="HF24" t="s">
        <v>3</v>
      </c>
      <c r="HM24" t="s">
        <v>3</v>
      </c>
      <c r="HN24" t="s">
        <v>22</v>
      </c>
      <c r="HO24" t="s">
        <v>23</v>
      </c>
      <c r="HP24" t="s">
        <v>20</v>
      </c>
      <c r="HQ24" t="s">
        <v>20</v>
      </c>
      <c r="IK24">
        <v>0</v>
      </c>
    </row>
    <row r="25" spans="1:245" x14ac:dyDescent="0.2">
      <c r="A25">
        <v>17</v>
      </c>
      <c r="B25">
        <v>1</v>
      </c>
      <c r="C25">
        <f>ROW(SmtRes!A13)</f>
        <v>13</v>
      </c>
      <c r="D25">
        <f>ROW(EtalonRes!A13)</f>
        <v>13</v>
      </c>
      <c r="E25" t="s">
        <v>24</v>
      </c>
      <c r="F25" t="s">
        <v>25</v>
      </c>
      <c r="G25" t="s">
        <v>26</v>
      </c>
      <c r="H25" t="s">
        <v>17</v>
      </c>
      <c r="I25">
        <v>0.33400000000000002</v>
      </c>
      <c r="J25">
        <v>0</v>
      </c>
      <c r="K25">
        <v>0.33400000000000002</v>
      </c>
      <c r="O25">
        <f>ROUND(CP25,2)</f>
        <v>13128.25</v>
      </c>
      <c r="P25">
        <f>SUMIF(SmtRes!AQ3:'SmtRes'!AQ13,"=1",SmtRes!DF3:'SmtRes'!DF13)</f>
        <v>12462.93</v>
      </c>
      <c r="Q25">
        <f>SUMIF(SmtRes!AQ3:'SmtRes'!AQ13,"=1",SmtRes!DG3:'SmtRes'!DG13)</f>
        <v>6.8599999999999994</v>
      </c>
      <c r="R25">
        <f>SUMIF(SmtRes!AQ3:'SmtRes'!AQ13,"=1",SmtRes!DH3:'SmtRes'!DH13)</f>
        <v>3.85</v>
      </c>
      <c r="S25">
        <f>SUMIF(SmtRes!AQ3:'SmtRes'!AQ13,"=1",SmtRes!DI3:'SmtRes'!DI13)</f>
        <v>654.61</v>
      </c>
      <c r="T25">
        <f>ROUND(CU25*I25,2)</f>
        <v>0</v>
      </c>
      <c r="U25">
        <f>CV25*I25</f>
        <v>2.565788</v>
      </c>
      <c r="V25">
        <f>CW25*I25</f>
        <v>1.6700000000000003E-2</v>
      </c>
      <c r="W25">
        <f>ROUND(CX25*I25,2)</f>
        <v>0</v>
      </c>
      <c r="X25">
        <f t="shared" si="14"/>
        <v>663.73</v>
      </c>
      <c r="Y25">
        <f t="shared" si="14"/>
        <v>363.8</v>
      </c>
      <c r="AA25">
        <v>59552816</v>
      </c>
      <c r="AB25">
        <f>ROUND((AC25+AD25+AF25+AE25),2)</f>
        <v>39218.82</v>
      </c>
      <c r="AC25">
        <f>ROUND((SUM(SmtRes!BQ3:'SmtRes'!BQ13)),2)</f>
        <v>37229.25</v>
      </c>
      <c r="AD25">
        <f>ROUND((SUM(SmtRes!BR3:'SmtRes'!BR13)),2)</f>
        <v>18.16</v>
      </c>
      <c r="AE25">
        <f>ROUND((SUM(SmtRes!BS3:'SmtRes'!BS13)),2)</f>
        <v>11.5</v>
      </c>
      <c r="AF25">
        <f>ROUND((SUM(SmtRes!BT3:'SmtRes'!BT13)),2)</f>
        <v>1959.91</v>
      </c>
      <c r="AG25">
        <f>ROUND((AP25),2)</f>
        <v>0</v>
      </c>
      <c r="AH25">
        <f>(SUM(SmtRes!BU3:'SmtRes'!BU13))</f>
        <v>7.6819999999999995</v>
      </c>
      <c r="AI25">
        <f>(SUM(SmtRes!BV3:'SmtRes'!BV13))</f>
        <v>0.05</v>
      </c>
      <c r="AJ25">
        <f>(AS25)</f>
        <v>0</v>
      </c>
      <c r="AK25">
        <v>38957.241075999998</v>
      </c>
      <c r="AL25">
        <v>37229.249825999999</v>
      </c>
      <c r="AM25">
        <v>14.5242</v>
      </c>
      <c r="AN25">
        <v>9.1986499999999989</v>
      </c>
      <c r="AO25">
        <v>1704.2683999999999</v>
      </c>
      <c r="AP25">
        <v>0</v>
      </c>
      <c r="AQ25">
        <v>6.68</v>
      </c>
      <c r="AR25">
        <v>3.4999999999999996E-2</v>
      </c>
      <c r="AS25">
        <v>0</v>
      </c>
      <c r="AT25">
        <v>100.8</v>
      </c>
      <c r="AU25">
        <v>55.25</v>
      </c>
      <c r="AV25">
        <v>1</v>
      </c>
      <c r="AW25">
        <v>1</v>
      </c>
      <c r="AZ25">
        <v>1</v>
      </c>
      <c r="BA25">
        <v>1</v>
      </c>
      <c r="BB25">
        <v>1</v>
      </c>
      <c r="BC25">
        <v>1</v>
      </c>
      <c r="BD25" t="s">
        <v>3</v>
      </c>
      <c r="BE25" t="s">
        <v>3</v>
      </c>
      <c r="BF25" t="s">
        <v>3</v>
      </c>
      <c r="BG25" t="s">
        <v>3</v>
      </c>
      <c r="BH25">
        <v>0</v>
      </c>
      <c r="BI25">
        <v>1</v>
      </c>
      <c r="BJ25" t="s">
        <v>27</v>
      </c>
      <c r="BM25">
        <v>11001</v>
      </c>
      <c r="BN25">
        <v>0</v>
      </c>
      <c r="BO25" t="s">
        <v>3</v>
      </c>
      <c r="BP25">
        <v>0</v>
      </c>
      <c r="BQ25">
        <v>2</v>
      </c>
      <c r="BR25">
        <v>0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 t="s">
        <v>3</v>
      </c>
      <c r="BZ25">
        <v>112</v>
      </c>
      <c r="CA25">
        <v>65</v>
      </c>
      <c r="CB25" t="s">
        <v>3</v>
      </c>
      <c r="CE25">
        <v>0</v>
      </c>
      <c r="CF25">
        <v>0</v>
      </c>
      <c r="CG25">
        <v>0</v>
      </c>
      <c r="CM25">
        <v>0</v>
      </c>
      <c r="CN25" t="s">
        <v>3</v>
      </c>
      <c r="CO25">
        <v>0</v>
      </c>
      <c r="CP25">
        <f>(P25+Q25+S25+R25)</f>
        <v>13128.250000000002</v>
      </c>
      <c r="CQ25">
        <f>SUMIF(SmtRes!AQ3:'SmtRes'!AQ13,"=1",SmtRes!AA3:'SmtRes'!AA13)</f>
        <v>5464.82</v>
      </c>
      <c r="CR25">
        <f>SUMIF(SmtRes!AQ3:'SmtRes'!AQ13,"=1",SmtRes!AB3:'SmtRes'!AB13)</f>
        <v>588.93999999999994</v>
      </c>
      <c r="CS25">
        <f>SUMIF(SmtRes!AQ3:'SmtRes'!AQ13,"=1",SmtRes!AC3:'SmtRes'!AC13)</f>
        <v>504.28</v>
      </c>
      <c r="CT25">
        <f>SUMIF(SmtRes!AQ3:'SmtRes'!AQ13,"=1",SmtRes!AD3:'SmtRes'!AD13)</f>
        <v>255.13</v>
      </c>
      <c r="CU25">
        <f t="shared" si="15"/>
        <v>0</v>
      </c>
      <c r="CV25">
        <f t="shared" si="15"/>
        <v>7.6819999999999995</v>
      </c>
      <c r="CW25">
        <f t="shared" si="15"/>
        <v>0.05</v>
      </c>
      <c r="CX25">
        <f t="shared" si="15"/>
        <v>0</v>
      </c>
      <c r="CY25">
        <f>(((S25+R25)*AT25)/100)</f>
        <v>663.72767999999996</v>
      </c>
      <c r="CZ25">
        <f>(((S25+R25)*AU25)/100)</f>
        <v>363.79915</v>
      </c>
      <c r="DC25" t="s">
        <v>3</v>
      </c>
      <c r="DD25" t="s">
        <v>3</v>
      </c>
      <c r="DE25" t="s">
        <v>28</v>
      </c>
      <c r="DF25" t="s">
        <v>28</v>
      </c>
      <c r="DG25" t="s">
        <v>29</v>
      </c>
      <c r="DH25" t="s">
        <v>3</v>
      </c>
      <c r="DI25" t="s">
        <v>29</v>
      </c>
      <c r="DJ25" t="s">
        <v>28</v>
      </c>
      <c r="DK25" t="s">
        <v>3</v>
      </c>
      <c r="DL25" t="s">
        <v>30</v>
      </c>
      <c r="DM25" t="s">
        <v>31</v>
      </c>
      <c r="DN25">
        <v>0</v>
      </c>
      <c r="DO25">
        <v>0</v>
      </c>
      <c r="DP25">
        <v>1</v>
      </c>
      <c r="DQ25">
        <v>1</v>
      </c>
      <c r="DU25">
        <v>1003</v>
      </c>
      <c r="DV25" t="s">
        <v>17</v>
      </c>
      <c r="DW25" t="s">
        <v>17</v>
      </c>
      <c r="DX25">
        <v>100</v>
      </c>
      <c r="DZ25" t="s">
        <v>3</v>
      </c>
      <c r="EA25" t="s">
        <v>3</v>
      </c>
      <c r="EB25" t="s">
        <v>3</v>
      </c>
      <c r="EC25" t="s">
        <v>3</v>
      </c>
      <c r="EE25">
        <v>57922176</v>
      </c>
      <c r="EF25">
        <v>2</v>
      </c>
      <c r="EG25" t="s">
        <v>32</v>
      </c>
      <c r="EH25">
        <v>11</v>
      </c>
      <c r="EI25" t="s">
        <v>20</v>
      </c>
      <c r="EJ25">
        <v>1</v>
      </c>
      <c r="EK25">
        <v>11001</v>
      </c>
      <c r="EL25" t="s">
        <v>20</v>
      </c>
      <c r="EM25" t="s">
        <v>33</v>
      </c>
      <c r="EO25" t="s">
        <v>3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6.68</v>
      </c>
      <c r="EX25">
        <v>0.04</v>
      </c>
      <c r="EY25">
        <v>0</v>
      </c>
      <c r="FQ25">
        <v>0</v>
      </c>
      <c r="FR25">
        <f>ROUND(IF(BI25=3,GM25,0),2)</f>
        <v>0</v>
      </c>
      <c r="FS25">
        <v>0</v>
      </c>
      <c r="FX25">
        <v>100.8</v>
      </c>
      <c r="FY25">
        <v>55.25</v>
      </c>
      <c r="GA25" t="s">
        <v>3</v>
      </c>
      <c r="GD25">
        <v>1</v>
      </c>
      <c r="GF25">
        <v>1106241945</v>
      </c>
      <c r="GG25">
        <v>2</v>
      </c>
      <c r="GH25">
        <v>1</v>
      </c>
      <c r="GI25">
        <v>-2</v>
      </c>
      <c r="GJ25">
        <v>0</v>
      </c>
      <c r="GK25">
        <v>0</v>
      </c>
      <c r="GL25">
        <f>ROUND(IF(AND(BH25=3,BI25=3,FS25&lt;&gt;0),P25,0),2)</f>
        <v>0</v>
      </c>
      <c r="GM25">
        <f>ROUND(O25+X25+Y25,2)+GX25</f>
        <v>14155.78</v>
      </c>
      <c r="GN25">
        <f>IF(OR(BI25=0,BI25=1),GM25,0)</f>
        <v>14155.78</v>
      </c>
      <c r="GO25">
        <f>IF(BI25=2,GM25,0)</f>
        <v>0</v>
      </c>
      <c r="GP25">
        <f>IF(BI25=4,GM25+GX25,0)</f>
        <v>0</v>
      </c>
      <c r="GR25">
        <v>0</v>
      </c>
      <c r="GS25">
        <v>3</v>
      </c>
      <c r="GT25">
        <v>0</v>
      </c>
      <c r="GU25" t="s">
        <v>3</v>
      </c>
      <c r="GV25">
        <f>ROUND((GT25),2)</f>
        <v>0</v>
      </c>
      <c r="GW25">
        <v>1</v>
      </c>
      <c r="GX25">
        <f>ROUND(HC25*I25,2)</f>
        <v>0</v>
      </c>
      <c r="HA25">
        <v>0</v>
      </c>
      <c r="HB25">
        <v>0</v>
      </c>
      <c r="HC25">
        <f>GV25*GW25</f>
        <v>0</v>
      </c>
      <c r="HE25" t="s">
        <v>3</v>
      </c>
      <c r="HF25" t="s">
        <v>3</v>
      </c>
      <c r="HM25" t="s">
        <v>3</v>
      </c>
      <c r="HN25" t="s">
        <v>34</v>
      </c>
      <c r="HO25" t="s">
        <v>35</v>
      </c>
      <c r="HP25" t="s">
        <v>20</v>
      </c>
      <c r="HQ25" t="s">
        <v>20</v>
      </c>
      <c r="IK25">
        <v>0</v>
      </c>
    </row>
    <row r="26" spans="1:245" x14ac:dyDescent="0.2">
      <c r="A26">
        <v>17</v>
      </c>
      <c r="B26">
        <v>1</v>
      </c>
      <c r="C26">
        <f>ROW(SmtRes!A19)</f>
        <v>19</v>
      </c>
      <c r="D26">
        <f>ROW(EtalonRes!A19)</f>
        <v>19</v>
      </c>
      <c r="E26" t="s">
        <v>36</v>
      </c>
      <c r="F26" t="s">
        <v>37</v>
      </c>
      <c r="G26" t="s">
        <v>38</v>
      </c>
      <c r="H26" t="s">
        <v>39</v>
      </c>
      <c r="I26">
        <v>0.65</v>
      </c>
      <c r="J26">
        <v>0</v>
      </c>
      <c r="K26">
        <v>0.65</v>
      </c>
      <c r="O26">
        <f>ROUND(CP26,2)</f>
        <v>2823.26</v>
      </c>
      <c r="P26">
        <f>SUMIF(SmtRes!AQ14:'SmtRes'!AQ19,"=1",SmtRes!DF14:'SmtRes'!DF19)</f>
        <v>0</v>
      </c>
      <c r="Q26">
        <f>SUMIF(SmtRes!AQ14:'SmtRes'!AQ19,"=1",SmtRes!DG14:'SmtRes'!DG19)</f>
        <v>28.08</v>
      </c>
      <c r="R26">
        <f>SUMIF(SmtRes!AQ14:'SmtRes'!AQ19,"=1",SmtRes!DH14:'SmtRes'!DH19)</f>
        <v>13.89</v>
      </c>
      <c r="S26">
        <f>SUMIF(SmtRes!AQ14:'SmtRes'!AQ19,"=1",SmtRes!DI14:'SmtRes'!DI19)</f>
        <v>2781.29</v>
      </c>
      <c r="T26">
        <f>ROUND(CU26*I26,2)</f>
        <v>0</v>
      </c>
      <c r="U26">
        <f>CV26*I26</f>
        <v>11.726000000000003</v>
      </c>
      <c r="V26">
        <f>CW26*I26</f>
        <v>5.2000000000000011E-2</v>
      </c>
      <c r="W26">
        <f>ROUND(CX26*I26,2)</f>
        <v>0</v>
      </c>
      <c r="X26">
        <f t="shared" si="14"/>
        <v>3130.6</v>
      </c>
      <c r="Y26">
        <f t="shared" si="14"/>
        <v>1816.87</v>
      </c>
      <c r="AA26">
        <v>59552816</v>
      </c>
      <c r="AB26">
        <f>ROUND((AC26+AD26+AF26+AE26),2)</f>
        <v>4338.51</v>
      </c>
      <c r="AC26">
        <f>ROUND((0),2)</f>
        <v>0</v>
      </c>
      <c r="AD26">
        <f>ROUND((SUM(SmtRes!BR14:'SmtRes'!BR19)),2)</f>
        <v>38.229999999999997</v>
      </c>
      <c r="AE26">
        <f>ROUND((SUM(SmtRes!BS14:'SmtRes'!BS19)),2)</f>
        <v>21.37</v>
      </c>
      <c r="AF26">
        <f>ROUND((SUM(SmtRes!BT14:'SmtRes'!BT19)),2)</f>
        <v>4278.91</v>
      </c>
      <c r="AG26">
        <f>ROUND((AP26),2)</f>
        <v>0</v>
      </c>
      <c r="AH26">
        <f>(SUM(SmtRes!BU14:'SmtRes'!BU19))</f>
        <v>18.040000000000003</v>
      </c>
      <c r="AI26">
        <f>(SUM(SmtRes!BV14:'SmtRes'!BV19))</f>
        <v>8.0000000000000016E-2</v>
      </c>
      <c r="AJ26">
        <f>(AS26)</f>
        <v>0</v>
      </c>
      <c r="AK26">
        <v>6564.9360200000001</v>
      </c>
      <c r="AL26">
        <v>1141.80052</v>
      </c>
      <c r="AM26">
        <v>47.792000000000002</v>
      </c>
      <c r="AN26">
        <v>26.709</v>
      </c>
      <c r="AO26">
        <v>5348.6345000000001</v>
      </c>
      <c r="AP26">
        <v>0</v>
      </c>
      <c r="AQ26">
        <v>22.55</v>
      </c>
      <c r="AR26">
        <v>0.1</v>
      </c>
      <c r="AS26">
        <v>0</v>
      </c>
      <c r="AT26">
        <v>112</v>
      </c>
      <c r="AU26">
        <v>65</v>
      </c>
      <c r="AV26">
        <v>1</v>
      </c>
      <c r="AW26">
        <v>1</v>
      </c>
      <c r="AZ26">
        <v>1</v>
      </c>
      <c r="BA26">
        <v>1</v>
      </c>
      <c r="BB26">
        <v>1</v>
      </c>
      <c r="BC26">
        <v>1</v>
      </c>
      <c r="BD26" t="s">
        <v>3</v>
      </c>
      <c r="BE26" t="s">
        <v>3</v>
      </c>
      <c r="BF26" t="s">
        <v>3</v>
      </c>
      <c r="BG26" t="s">
        <v>3</v>
      </c>
      <c r="BH26">
        <v>0</v>
      </c>
      <c r="BI26">
        <v>1</v>
      </c>
      <c r="BJ26" t="s">
        <v>40</v>
      </c>
      <c r="BM26">
        <v>11001</v>
      </c>
      <c r="BN26">
        <v>0</v>
      </c>
      <c r="BO26" t="s">
        <v>3</v>
      </c>
      <c r="BP26">
        <v>0</v>
      </c>
      <c r="BQ26">
        <v>2</v>
      </c>
      <c r="BR26">
        <v>0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 t="s">
        <v>3</v>
      </c>
      <c r="BZ26">
        <v>112</v>
      </c>
      <c r="CA26">
        <v>65</v>
      </c>
      <c r="CB26" t="s">
        <v>3</v>
      </c>
      <c r="CE26">
        <v>0</v>
      </c>
      <c r="CF26">
        <v>0</v>
      </c>
      <c r="CG26">
        <v>0</v>
      </c>
      <c r="CM26">
        <v>0</v>
      </c>
      <c r="CN26" t="s">
        <v>3</v>
      </c>
      <c r="CO26">
        <v>0</v>
      </c>
      <c r="CP26">
        <f>(P26+Q26+S26+R26)</f>
        <v>2823.2599999999998</v>
      </c>
      <c r="CQ26">
        <f>SUMIF(SmtRes!AQ14:'SmtRes'!AQ19,"=1",SmtRes!AA14:'SmtRes'!AA19)</f>
        <v>123.95</v>
      </c>
      <c r="CR26">
        <f>SUMIF(SmtRes!AQ14:'SmtRes'!AQ19,"=1",SmtRes!AB14:'SmtRes'!AB19)</f>
        <v>540.04999999999995</v>
      </c>
      <c r="CS26">
        <f>SUMIF(SmtRes!AQ14:'SmtRes'!AQ19,"=1",SmtRes!AC14:'SmtRes'!AC19)</f>
        <v>267.08999999999997</v>
      </c>
      <c r="CT26">
        <f>SUMIF(SmtRes!AQ14:'SmtRes'!AQ19,"=1",SmtRes!AD14:'SmtRes'!AD19)</f>
        <v>237.19</v>
      </c>
      <c r="CU26">
        <f t="shared" si="15"/>
        <v>0</v>
      </c>
      <c r="CV26">
        <f t="shared" si="15"/>
        <v>18.040000000000003</v>
      </c>
      <c r="CW26">
        <f t="shared" si="15"/>
        <v>8.0000000000000016E-2</v>
      </c>
      <c r="CX26">
        <f t="shared" si="15"/>
        <v>0</v>
      </c>
      <c r="CY26">
        <f>(((S26+R26)*AT26)/100)</f>
        <v>3130.6016</v>
      </c>
      <c r="CZ26">
        <f>(((S26+R26)*AU26)/100)</f>
        <v>1816.8669999999997</v>
      </c>
      <c r="DC26" t="s">
        <v>3</v>
      </c>
      <c r="DD26" t="s">
        <v>41</v>
      </c>
      <c r="DE26" t="s">
        <v>42</v>
      </c>
      <c r="DF26" t="s">
        <v>42</v>
      </c>
      <c r="DG26" t="s">
        <v>42</v>
      </c>
      <c r="DH26" t="s">
        <v>3</v>
      </c>
      <c r="DI26" t="s">
        <v>42</v>
      </c>
      <c r="DJ26" t="s">
        <v>42</v>
      </c>
      <c r="DK26" t="s">
        <v>3</v>
      </c>
      <c r="DL26" t="s">
        <v>3</v>
      </c>
      <c r="DM26" t="s">
        <v>3</v>
      </c>
      <c r="DN26">
        <v>0</v>
      </c>
      <c r="DO26">
        <v>0</v>
      </c>
      <c r="DP26">
        <v>1</v>
      </c>
      <c r="DQ26">
        <v>1</v>
      </c>
      <c r="DU26">
        <v>1005</v>
      </c>
      <c r="DV26" t="s">
        <v>39</v>
      </c>
      <c r="DW26" t="s">
        <v>39</v>
      </c>
      <c r="DX26">
        <v>100</v>
      </c>
      <c r="DZ26" t="s">
        <v>3</v>
      </c>
      <c r="EA26" t="s">
        <v>3</v>
      </c>
      <c r="EB26" t="s">
        <v>3</v>
      </c>
      <c r="EC26" t="s">
        <v>3</v>
      </c>
      <c r="EE26">
        <v>57922176</v>
      </c>
      <c r="EF26">
        <v>2</v>
      </c>
      <c r="EG26" t="s">
        <v>32</v>
      </c>
      <c r="EH26">
        <v>11</v>
      </c>
      <c r="EI26" t="s">
        <v>20</v>
      </c>
      <c r="EJ26">
        <v>1</v>
      </c>
      <c r="EK26">
        <v>11001</v>
      </c>
      <c r="EL26" t="s">
        <v>20</v>
      </c>
      <c r="EM26" t="s">
        <v>33</v>
      </c>
      <c r="EO26" t="s">
        <v>3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22.55</v>
      </c>
      <c r="EX26">
        <v>0.1</v>
      </c>
      <c r="EY26">
        <v>0</v>
      </c>
      <c r="FQ26">
        <v>0</v>
      </c>
      <c r="FR26">
        <f>ROUND(IF(BI26=3,GM26,0),2)</f>
        <v>0</v>
      </c>
      <c r="FS26">
        <v>0</v>
      </c>
      <c r="FX26">
        <v>112</v>
      </c>
      <c r="FY26">
        <v>65</v>
      </c>
      <c r="GA26" t="s">
        <v>3</v>
      </c>
      <c r="GD26">
        <v>1</v>
      </c>
      <c r="GF26">
        <v>-1951316997</v>
      </c>
      <c r="GG26">
        <v>2</v>
      </c>
      <c r="GH26">
        <v>1</v>
      </c>
      <c r="GI26">
        <v>-2</v>
      </c>
      <c r="GJ26">
        <v>0</v>
      </c>
      <c r="GK26">
        <v>0</v>
      </c>
      <c r="GL26">
        <f>ROUND(IF(AND(BH26=3,BI26=3,FS26&lt;&gt;0),P26,0),2)</f>
        <v>0</v>
      </c>
      <c r="GM26">
        <f>ROUND(O26+X26+Y26,2)+GX26</f>
        <v>7770.73</v>
      </c>
      <c r="GN26">
        <f>IF(OR(BI26=0,BI26=1),GM26,0)</f>
        <v>7770.73</v>
      </c>
      <c r="GO26">
        <f>IF(BI26=2,GM26,0)</f>
        <v>0</v>
      </c>
      <c r="GP26">
        <f>IF(BI26=4,GM26+GX26,0)</f>
        <v>0</v>
      </c>
      <c r="GR26">
        <v>0</v>
      </c>
      <c r="GS26">
        <v>3</v>
      </c>
      <c r="GT26">
        <v>0</v>
      </c>
      <c r="GU26" t="s">
        <v>3</v>
      </c>
      <c r="GV26">
        <f>ROUND((GT26),2)</f>
        <v>0</v>
      </c>
      <c r="GW26">
        <v>1</v>
      </c>
      <c r="GX26">
        <f>ROUND(HC26*I26,2)</f>
        <v>0</v>
      </c>
      <c r="HA26">
        <v>0</v>
      </c>
      <c r="HB26">
        <v>0</v>
      </c>
      <c r="HC26">
        <f>GV26*GW26</f>
        <v>0</v>
      </c>
      <c r="HE26" t="s">
        <v>3</v>
      </c>
      <c r="HF26" t="s">
        <v>3</v>
      </c>
      <c r="HM26" t="s">
        <v>3</v>
      </c>
      <c r="HN26" t="s">
        <v>34</v>
      </c>
      <c r="HO26" t="s">
        <v>35</v>
      </c>
      <c r="HP26" t="s">
        <v>20</v>
      </c>
      <c r="HQ26" t="s">
        <v>20</v>
      </c>
      <c r="IK26">
        <v>0</v>
      </c>
    </row>
    <row r="27" spans="1:245" x14ac:dyDescent="0.2">
      <c r="A27">
        <v>17</v>
      </c>
      <c r="B27">
        <v>1</v>
      </c>
      <c r="C27">
        <f>ROW(SmtRes!A25)</f>
        <v>25</v>
      </c>
      <c r="D27">
        <f>ROW(EtalonRes!A25)</f>
        <v>25</v>
      </c>
      <c r="E27" t="s">
        <v>43</v>
      </c>
      <c r="F27" t="s">
        <v>37</v>
      </c>
      <c r="G27" t="s">
        <v>44</v>
      </c>
      <c r="H27" t="s">
        <v>39</v>
      </c>
      <c r="I27">
        <v>0.65</v>
      </c>
      <c r="J27">
        <v>0</v>
      </c>
      <c r="K27">
        <v>0.65</v>
      </c>
      <c r="O27">
        <f>ROUND(CP27,2)</f>
        <v>72218.789999999994</v>
      </c>
      <c r="P27">
        <f>SUMIF(SmtRes!AQ20:'SmtRes'!AQ25,"=1",SmtRes!DF20:'SmtRes'!DF25)</f>
        <v>68155.11</v>
      </c>
      <c r="Q27">
        <f>SUMIF(SmtRes!AQ20:'SmtRes'!AQ25,"=1",SmtRes!DG20:'SmtRes'!DG25)</f>
        <v>43.88</v>
      </c>
      <c r="R27">
        <f>SUMIF(SmtRes!AQ20:'SmtRes'!AQ25,"=1",SmtRes!DH20:'SmtRes'!DH25)</f>
        <v>21.7</v>
      </c>
      <c r="S27">
        <f>SUMIF(SmtRes!AQ20:'SmtRes'!AQ25,"=1",SmtRes!DI20:'SmtRes'!DI25)</f>
        <v>3998.1</v>
      </c>
      <c r="T27">
        <f>ROUND(CU27*I27,2)</f>
        <v>0</v>
      </c>
      <c r="U27">
        <f>CV27*I27</f>
        <v>16.856124999999999</v>
      </c>
      <c r="V27">
        <f>CW27*I27</f>
        <v>8.1250000000000003E-2</v>
      </c>
      <c r="W27">
        <f>ROUND(CX27*I27,2)</f>
        <v>0</v>
      </c>
      <c r="X27">
        <f t="shared" si="14"/>
        <v>4051.96</v>
      </c>
      <c r="Y27">
        <f t="shared" si="14"/>
        <v>2220.94</v>
      </c>
      <c r="AA27">
        <v>59552816</v>
      </c>
      <c r="AB27">
        <f>ROUND((AC27+AD27+AF27+AE27),2)</f>
        <v>111098.08</v>
      </c>
      <c r="AC27">
        <f>ROUND((SUM(SmtRes!BQ20:'SmtRes'!BQ25)),2)</f>
        <v>104854.02</v>
      </c>
      <c r="AD27">
        <f>ROUND((SUM(SmtRes!BR20:'SmtRes'!BR25)),2)</f>
        <v>59.74</v>
      </c>
      <c r="AE27">
        <f>ROUND((SUM(SmtRes!BS20:'SmtRes'!BS25)),2)</f>
        <v>33.39</v>
      </c>
      <c r="AF27">
        <f>ROUND((SUM(SmtRes!BT20:'SmtRes'!BT25)),2)</f>
        <v>6150.93</v>
      </c>
      <c r="AG27">
        <f>ROUND((AP27),2)</f>
        <v>0</v>
      </c>
      <c r="AH27">
        <f>(SUM(SmtRes!BU20:'SmtRes'!BU25))</f>
        <v>25.932499999999997</v>
      </c>
      <c r="AI27">
        <f>(SUM(SmtRes!BV20:'SmtRes'!BV25))</f>
        <v>0.125</v>
      </c>
      <c r="AJ27">
        <f>(AS27)</f>
        <v>0</v>
      </c>
      <c r="AK27">
        <v>110277.15602000001</v>
      </c>
      <c r="AL27">
        <v>104854.02052000001</v>
      </c>
      <c r="AM27">
        <v>47.792000000000002</v>
      </c>
      <c r="AN27">
        <v>26.709</v>
      </c>
      <c r="AO27">
        <v>5348.6345000000001</v>
      </c>
      <c r="AP27">
        <v>0</v>
      </c>
      <c r="AQ27">
        <v>22.55</v>
      </c>
      <c r="AR27">
        <v>0.1</v>
      </c>
      <c r="AS27">
        <v>0</v>
      </c>
      <c r="AT27">
        <v>100.8</v>
      </c>
      <c r="AU27">
        <v>55.25</v>
      </c>
      <c r="AV27">
        <v>1</v>
      </c>
      <c r="AW27">
        <v>1</v>
      </c>
      <c r="AZ27">
        <v>1</v>
      </c>
      <c r="BA27">
        <v>1</v>
      </c>
      <c r="BB27">
        <v>1</v>
      </c>
      <c r="BC27">
        <v>1</v>
      </c>
      <c r="BD27" t="s">
        <v>3</v>
      </c>
      <c r="BE27" t="s">
        <v>3</v>
      </c>
      <c r="BF27" t="s">
        <v>3</v>
      </c>
      <c r="BG27" t="s">
        <v>3</v>
      </c>
      <c r="BH27">
        <v>0</v>
      </c>
      <c r="BI27">
        <v>1</v>
      </c>
      <c r="BJ27" t="s">
        <v>40</v>
      </c>
      <c r="BM27">
        <v>11001</v>
      </c>
      <c r="BN27">
        <v>0</v>
      </c>
      <c r="BO27" t="s">
        <v>3</v>
      </c>
      <c r="BP27">
        <v>0</v>
      </c>
      <c r="BQ27">
        <v>2</v>
      </c>
      <c r="BR27">
        <v>0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 t="s">
        <v>3</v>
      </c>
      <c r="BZ27">
        <v>112</v>
      </c>
      <c r="CA27">
        <v>65</v>
      </c>
      <c r="CB27" t="s">
        <v>3</v>
      </c>
      <c r="CE27">
        <v>0</v>
      </c>
      <c r="CF27">
        <v>0</v>
      </c>
      <c r="CG27">
        <v>0</v>
      </c>
      <c r="CM27">
        <v>0</v>
      </c>
      <c r="CN27" t="s">
        <v>3</v>
      </c>
      <c r="CO27">
        <v>0</v>
      </c>
      <c r="CP27">
        <f>(P27+Q27+S27+R27)</f>
        <v>72218.790000000008</v>
      </c>
      <c r="CQ27">
        <f>SUMIF(SmtRes!AQ20:'SmtRes'!AQ25,"=1",SmtRes!AA20:'SmtRes'!AA25)</f>
        <v>1026.92</v>
      </c>
      <c r="CR27">
        <f>SUMIF(SmtRes!AQ20:'SmtRes'!AQ25,"=1",SmtRes!AB20:'SmtRes'!AB25)</f>
        <v>540.04999999999995</v>
      </c>
      <c r="CS27">
        <f>SUMIF(SmtRes!AQ20:'SmtRes'!AQ25,"=1",SmtRes!AC20:'SmtRes'!AC25)</f>
        <v>267.08999999999997</v>
      </c>
      <c r="CT27">
        <f>SUMIF(SmtRes!AQ20:'SmtRes'!AQ25,"=1",SmtRes!AD20:'SmtRes'!AD25)</f>
        <v>237.19</v>
      </c>
      <c r="CU27">
        <f t="shared" si="15"/>
        <v>0</v>
      </c>
      <c r="CV27">
        <f t="shared" si="15"/>
        <v>25.932499999999997</v>
      </c>
      <c r="CW27">
        <f t="shared" si="15"/>
        <v>0.125</v>
      </c>
      <c r="CX27">
        <f t="shared" si="15"/>
        <v>0</v>
      </c>
      <c r="CY27">
        <f>(((S27+R27)*AT27)/100)</f>
        <v>4051.9583999999995</v>
      </c>
      <c r="CZ27">
        <f>(((S27+R27)*AU27)/100)</f>
        <v>2220.9395</v>
      </c>
      <c r="DC27" t="s">
        <v>3</v>
      </c>
      <c r="DD27" t="s">
        <v>3</v>
      </c>
      <c r="DE27" t="s">
        <v>28</v>
      </c>
      <c r="DF27" t="s">
        <v>28</v>
      </c>
      <c r="DG27" t="s">
        <v>29</v>
      </c>
      <c r="DH27" t="s">
        <v>3</v>
      </c>
      <c r="DI27" t="s">
        <v>29</v>
      </c>
      <c r="DJ27" t="s">
        <v>28</v>
      </c>
      <c r="DK27" t="s">
        <v>3</v>
      </c>
      <c r="DL27" t="s">
        <v>30</v>
      </c>
      <c r="DM27" t="s">
        <v>31</v>
      </c>
      <c r="DN27">
        <v>0</v>
      </c>
      <c r="DO27">
        <v>0</v>
      </c>
      <c r="DP27">
        <v>1</v>
      </c>
      <c r="DQ27">
        <v>1</v>
      </c>
      <c r="DU27">
        <v>1005</v>
      </c>
      <c r="DV27" t="s">
        <v>39</v>
      </c>
      <c r="DW27" t="s">
        <v>39</v>
      </c>
      <c r="DX27">
        <v>100</v>
      </c>
      <c r="DZ27" t="s">
        <v>3</v>
      </c>
      <c r="EA27" t="s">
        <v>3</v>
      </c>
      <c r="EB27" t="s">
        <v>3</v>
      </c>
      <c r="EC27" t="s">
        <v>3</v>
      </c>
      <c r="EE27">
        <v>57922176</v>
      </c>
      <c r="EF27">
        <v>2</v>
      </c>
      <c r="EG27" t="s">
        <v>32</v>
      </c>
      <c r="EH27">
        <v>11</v>
      </c>
      <c r="EI27" t="s">
        <v>20</v>
      </c>
      <c r="EJ27">
        <v>1</v>
      </c>
      <c r="EK27">
        <v>11001</v>
      </c>
      <c r="EL27" t="s">
        <v>20</v>
      </c>
      <c r="EM27" t="s">
        <v>33</v>
      </c>
      <c r="EO27" t="s">
        <v>3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22.55</v>
      </c>
      <c r="EX27">
        <v>0.1</v>
      </c>
      <c r="EY27">
        <v>0</v>
      </c>
      <c r="FQ27">
        <v>0</v>
      </c>
      <c r="FR27">
        <f>ROUND(IF(BI27=3,GM27,0),2)</f>
        <v>0</v>
      </c>
      <c r="FS27">
        <v>0</v>
      </c>
      <c r="FX27">
        <v>100.8</v>
      </c>
      <c r="FY27">
        <v>55.25</v>
      </c>
      <c r="GA27" t="s">
        <v>3</v>
      </c>
      <c r="GD27">
        <v>1</v>
      </c>
      <c r="GF27">
        <v>1910065679</v>
      </c>
      <c r="GG27">
        <v>2</v>
      </c>
      <c r="GH27">
        <v>1</v>
      </c>
      <c r="GI27">
        <v>-2</v>
      </c>
      <c r="GJ27">
        <v>0</v>
      </c>
      <c r="GK27">
        <v>0</v>
      </c>
      <c r="GL27">
        <f>ROUND(IF(AND(BH27=3,BI27=3,FS27&lt;&gt;0),P27,0),2)</f>
        <v>0</v>
      </c>
      <c r="GM27">
        <f>ROUND(O27+X27+Y27,2)+GX27</f>
        <v>78491.69</v>
      </c>
      <c r="GN27">
        <f>IF(OR(BI27=0,BI27=1),GM27,0)</f>
        <v>78491.69</v>
      </c>
      <c r="GO27">
        <f>IF(BI27=2,GM27,0)</f>
        <v>0</v>
      </c>
      <c r="GP27">
        <f>IF(BI27=4,GM27+GX27,0)</f>
        <v>0</v>
      </c>
      <c r="GR27">
        <v>0</v>
      </c>
      <c r="GS27">
        <v>3</v>
      </c>
      <c r="GT27">
        <v>0</v>
      </c>
      <c r="GU27" t="s">
        <v>3</v>
      </c>
      <c r="GV27">
        <f>ROUND((GT27),2)</f>
        <v>0</v>
      </c>
      <c r="GW27">
        <v>1</v>
      </c>
      <c r="GX27">
        <f>ROUND(HC27*I27,2)</f>
        <v>0</v>
      </c>
      <c r="HA27">
        <v>0</v>
      </c>
      <c r="HB27">
        <v>0</v>
      </c>
      <c r="HC27">
        <f>GV27*GW27</f>
        <v>0</v>
      </c>
      <c r="HE27" t="s">
        <v>3</v>
      </c>
      <c r="HF27" t="s">
        <v>3</v>
      </c>
      <c r="HM27" t="s">
        <v>3</v>
      </c>
      <c r="HN27" t="s">
        <v>34</v>
      </c>
      <c r="HO27" t="s">
        <v>35</v>
      </c>
      <c r="HP27" t="s">
        <v>20</v>
      </c>
      <c r="HQ27" t="s">
        <v>20</v>
      </c>
      <c r="IK27">
        <v>0</v>
      </c>
    </row>
    <row r="29" spans="1:245" x14ac:dyDescent="0.2">
      <c r="A29" s="1">
        <v>4</v>
      </c>
      <c r="B29" s="1">
        <v>1</v>
      </c>
      <c r="C29" s="1"/>
      <c r="D29" s="1">
        <f>ROW(A45)</f>
        <v>45</v>
      </c>
      <c r="E29" s="1"/>
      <c r="F29" s="1" t="s">
        <v>45</v>
      </c>
      <c r="G29" s="1" t="s">
        <v>46</v>
      </c>
      <c r="H29" s="1" t="s">
        <v>3</v>
      </c>
      <c r="I29" s="1">
        <v>0</v>
      </c>
      <c r="J29" s="1"/>
      <c r="K29" s="1">
        <v>0</v>
      </c>
      <c r="L29" s="1"/>
      <c r="M29" s="1" t="s">
        <v>3</v>
      </c>
      <c r="N29" s="1"/>
      <c r="O29" s="1"/>
      <c r="P29" s="1"/>
      <c r="Q29" s="1"/>
      <c r="R29" s="1"/>
      <c r="S29" s="1">
        <v>0</v>
      </c>
      <c r="T29" s="1"/>
      <c r="U29" s="1" t="s">
        <v>3</v>
      </c>
      <c r="V29" s="1">
        <v>0</v>
      </c>
      <c r="W29" s="1"/>
      <c r="X29" s="1"/>
      <c r="Y29" s="1"/>
      <c r="Z29" s="1"/>
      <c r="AA29" s="1"/>
      <c r="AB29" s="1" t="s">
        <v>3</v>
      </c>
      <c r="AC29" s="1" t="s">
        <v>3</v>
      </c>
      <c r="AD29" s="1" t="s">
        <v>3</v>
      </c>
      <c r="AE29" s="1" t="s">
        <v>3</v>
      </c>
      <c r="AF29" s="1" t="s">
        <v>3</v>
      </c>
      <c r="AG29" s="1" t="s">
        <v>3</v>
      </c>
      <c r="AH29" s="1"/>
      <c r="AI29" s="1"/>
      <c r="AJ29" s="1"/>
      <c r="AK29" s="1"/>
      <c r="AL29" s="1"/>
      <c r="AM29" s="1"/>
      <c r="AN29" s="1"/>
      <c r="AO29" s="1"/>
      <c r="AP29" s="1" t="s">
        <v>3</v>
      </c>
      <c r="AQ29" s="1" t="s">
        <v>3</v>
      </c>
      <c r="AR29" s="1" t="s">
        <v>3</v>
      </c>
      <c r="AS29" s="1"/>
      <c r="AT29" s="1"/>
      <c r="AU29" s="1"/>
      <c r="AV29" s="1"/>
      <c r="AW29" s="1"/>
      <c r="AX29" s="1"/>
      <c r="AY29" s="1"/>
      <c r="AZ29" s="1" t="s">
        <v>3</v>
      </c>
      <c r="BA29" s="1"/>
      <c r="BB29" s="1" t="s">
        <v>3</v>
      </c>
      <c r="BC29" s="1" t="s">
        <v>3</v>
      </c>
      <c r="BD29" s="1" t="s">
        <v>3</v>
      </c>
      <c r="BE29" s="1" t="s">
        <v>3</v>
      </c>
      <c r="BF29" s="1" t="s">
        <v>3</v>
      </c>
      <c r="BG29" s="1" t="s">
        <v>3</v>
      </c>
      <c r="BH29" s="1" t="s">
        <v>3</v>
      </c>
      <c r="BI29" s="1" t="s">
        <v>3</v>
      </c>
      <c r="BJ29" s="1" t="s">
        <v>3</v>
      </c>
      <c r="BK29" s="1" t="s">
        <v>3</v>
      </c>
      <c r="BL29" s="1" t="s">
        <v>3</v>
      </c>
      <c r="BM29" s="1" t="s">
        <v>3</v>
      </c>
      <c r="BN29" s="1" t="s">
        <v>3</v>
      </c>
      <c r="BO29" s="1" t="s">
        <v>3</v>
      </c>
      <c r="BP29" s="1" t="s">
        <v>3</v>
      </c>
      <c r="BQ29" s="1"/>
      <c r="BR29" s="1"/>
      <c r="BS29" s="1"/>
      <c r="BT29" s="1"/>
      <c r="BU29" s="1"/>
      <c r="BV29" s="1"/>
      <c r="BW29" s="1"/>
      <c r="BX29" s="1">
        <v>0</v>
      </c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>
        <v>0</v>
      </c>
    </row>
    <row r="31" spans="1:245" x14ac:dyDescent="0.2">
      <c r="A31" s="2">
        <v>52</v>
      </c>
      <c r="B31" s="2">
        <f t="shared" ref="B31:G31" si="16">B45</f>
        <v>1</v>
      </c>
      <c r="C31" s="2">
        <f t="shared" si="16"/>
        <v>4</v>
      </c>
      <c r="D31" s="2">
        <f t="shared" si="16"/>
        <v>29</v>
      </c>
      <c r="E31" s="2">
        <f t="shared" si="16"/>
        <v>0</v>
      </c>
      <c r="F31" s="2" t="str">
        <f t="shared" si="16"/>
        <v>Новый раздел</v>
      </c>
      <c r="G31" s="2" t="str">
        <f t="shared" si="16"/>
        <v>Отделочные работы - Стены</v>
      </c>
      <c r="H31" s="2"/>
      <c r="I31" s="2"/>
      <c r="J31" s="2"/>
      <c r="K31" s="2"/>
      <c r="L31" s="2"/>
      <c r="M31" s="2"/>
      <c r="N31" s="2"/>
      <c r="O31" s="2">
        <f t="shared" ref="O31:AT31" si="17">O45</f>
        <v>98857.279999999999</v>
      </c>
      <c r="P31" s="2">
        <f t="shared" si="17"/>
        <v>37845.230000000003</v>
      </c>
      <c r="Q31" s="2">
        <f t="shared" si="17"/>
        <v>285.62</v>
      </c>
      <c r="R31" s="2">
        <f t="shared" si="17"/>
        <v>157.29</v>
      </c>
      <c r="S31" s="2">
        <f t="shared" si="17"/>
        <v>60569.14</v>
      </c>
      <c r="T31" s="2">
        <f t="shared" si="17"/>
        <v>0</v>
      </c>
      <c r="U31" s="2">
        <f t="shared" si="17"/>
        <v>258.54817794999997</v>
      </c>
      <c r="V31" s="2">
        <f t="shared" si="17"/>
        <v>0.59723625000000002</v>
      </c>
      <c r="W31" s="2">
        <f t="shared" si="17"/>
        <v>0</v>
      </c>
      <c r="X31" s="2">
        <f t="shared" si="17"/>
        <v>55789.52</v>
      </c>
      <c r="Y31" s="2">
        <f t="shared" si="17"/>
        <v>28220.74</v>
      </c>
      <c r="Z31" s="2">
        <f t="shared" si="17"/>
        <v>0</v>
      </c>
      <c r="AA31" s="2">
        <f t="shared" si="17"/>
        <v>0</v>
      </c>
      <c r="AB31" s="2">
        <f t="shared" si="17"/>
        <v>98857.279999999999</v>
      </c>
      <c r="AC31" s="2">
        <f t="shared" si="17"/>
        <v>37845.230000000003</v>
      </c>
      <c r="AD31" s="2">
        <f t="shared" si="17"/>
        <v>285.62</v>
      </c>
      <c r="AE31" s="2">
        <f t="shared" si="17"/>
        <v>157.29</v>
      </c>
      <c r="AF31" s="2">
        <f t="shared" si="17"/>
        <v>60569.14</v>
      </c>
      <c r="AG31" s="2">
        <f t="shared" si="17"/>
        <v>0</v>
      </c>
      <c r="AH31" s="2">
        <f t="shared" si="17"/>
        <v>258.54817794999997</v>
      </c>
      <c r="AI31" s="2">
        <f t="shared" si="17"/>
        <v>0.59723625000000002</v>
      </c>
      <c r="AJ31" s="2">
        <f t="shared" si="17"/>
        <v>0</v>
      </c>
      <c r="AK31" s="2">
        <f t="shared" si="17"/>
        <v>55789.52</v>
      </c>
      <c r="AL31" s="2">
        <f t="shared" si="17"/>
        <v>28220.74</v>
      </c>
      <c r="AM31" s="2">
        <f t="shared" si="17"/>
        <v>0</v>
      </c>
      <c r="AN31" s="2">
        <f t="shared" si="17"/>
        <v>0</v>
      </c>
      <c r="AO31" s="2">
        <f t="shared" si="17"/>
        <v>0</v>
      </c>
      <c r="AP31" s="2">
        <f t="shared" si="17"/>
        <v>0</v>
      </c>
      <c r="AQ31" s="2">
        <f t="shared" si="17"/>
        <v>0</v>
      </c>
      <c r="AR31" s="2">
        <f t="shared" si="17"/>
        <v>182867.54</v>
      </c>
      <c r="AS31" s="2">
        <f t="shared" si="17"/>
        <v>182867.54</v>
      </c>
      <c r="AT31" s="2">
        <f t="shared" si="17"/>
        <v>0</v>
      </c>
      <c r="AU31" s="2">
        <f t="shared" ref="AU31:BZ31" si="18">AU45</f>
        <v>0</v>
      </c>
      <c r="AV31" s="2">
        <f t="shared" si="18"/>
        <v>37845.230000000003</v>
      </c>
      <c r="AW31" s="2">
        <f t="shared" si="18"/>
        <v>37845.230000000003</v>
      </c>
      <c r="AX31" s="2">
        <f t="shared" si="18"/>
        <v>0</v>
      </c>
      <c r="AY31" s="2">
        <f t="shared" si="18"/>
        <v>37845.230000000003</v>
      </c>
      <c r="AZ31" s="2">
        <f t="shared" si="18"/>
        <v>0</v>
      </c>
      <c r="BA31" s="2">
        <f t="shared" si="18"/>
        <v>0</v>
      </c>
      <c r="BB31" s="2">
        <f t="shared" si="18"/>
        <v>0</v>
      </c>
      <c r="BC31" s="2">
        <f t="shared" si="18"/>
        <v>0</v>
      </c>
      <c r="BD31" s="2">
        <f t="shared" si="18"/>
        <v>0</v>
      </c>
      <c r="BE31" s="2">
        <f t="shared" si="18"/>
        <v>0</v>
      </c>
      <c r="BF31" s="2">
        <f t="shared" si="18"/>
        <v>0</v>
      </c>
      <c r="BG31" s="2">
        <f t="shared" si="18"/>
        <v>0</v>
      </c>
      <c r="BH31" s="2">
        <f t="shared" si="18"/>
        <v>0</v>
      </c>
      <c r="BI31" s="2">
        <f t="shared" si="18"/>
        <v>0</v>
      </c>
      <c r="BJ31" s="2">
        <f t="shared" si="18"/>
        <v>0</v>
      </c>
      <c r="BK31" s="2">
        <f t="shared" si="18"/>
        <v>0</v>
      </c>
      <c r="BL31" s="2">
        <f t="shared" si="18"/>
        <v>0</v>
      </c>
      <c r="BM31" s="2">
        <f t="shared" si="18"/>
        <v>0</v>
      </c>
      <c r="BN31" s="2">
        <f t="shared" si="18"/>
        <v>0</v>
      </c>
      <c r="BO31" s="2">
        <f t="shared" si="18"/>
        <v>0</v>
      </c>
      <c r="BP31" s="2">
        <f t="shared" si="18"/>
        <v>0</v>
      </c>
      <c r="BQ31" s="2">
        <f t="shared" si="18"/>
        <v>0</v>
      </c>
      <c r="BR31" s="2">
        <f t="shared" si="18"/>
        <v>0</v>
      </c>
      <c r="BS31" s="2">
        <f t="shared" si="18"/>
        <v>0</v>
      </c>
      <c r="BT31" s="2">
        <f t="shared" si="18"/>
        <v>0</v>
      </c>
      <c r="BU31" s="2">
        <f t="shared" si="18"/>
        <v>0</v>
      </c>
      <c r="BV31" s="2">
        <f t="shared" si="18"/>
        <v>0</v>
      </c>
      <c r="BW31" s="2">
        <f t="shared" si="18"/>
        <v>0</v>
      </c>
      <c r="BX31" s="2">
        <f t="shared" si="18"/>
        <v>0</v>
      </c>
      <c r="BY31" s="2">
        <f t="shared" si="18"/>
        <v>0</v>
      </c>
      <c r="BZ31" s="2">
        <f t="shared" si="18"/>
        <v>0</v>
      </c>
      <c r="CA31" s="2">
        <f t="shared" ref="CA31:DF31" si="19">CA45</f>
        <v>182867.54</v>
      </c>
      <c r="CB31" s="2">
        <f t="shared" si="19"/>
        <v>182867.54</v>
      </c>
      <c r="CC31" s="2">
        <f t="shared" si="19"/>
        <v>0</v>
      </c>
      <c r="CD31" s="2">
        <f t="shared" si="19"/>
        <v>0</v>
      </c>
      <c r="CE31" s="2">
        <f t="shared" si="19"/>
        <v>37845.230000000003</v>
      </c>
      <c r="CF31" s="2">
        <f t="shared" si="19"/>
        <v>37845.230000000003</v>
      </c>
      <c r="CG31" s="2">
        <f t="shared" si="19"/>
        <v>0</v>
      </c>
      <c r="CH31" s="2">
        <f t="shared" si="19"/>
        <v>37845.230000000003</v>
      </c>
      <c r="CI31" s="2">
        <f t="shared" si="19"/>
        <v>0</v>
      </c>
      <c r="CJ31" s="2">
        <f t="shared" si="19"/>
        <v>0</v>
      </c>
      <c r="CK31" s="2">
        <f t="shared" si="19"/>
        <v>0</v>
      </c>
      <c r="CL31" s="2">
        <f t="shared" si="19"/>
        <v>0</v>
      </c>
      <c r="CM31" s="2">
        <f t="shared" si="19"/>
        <v>0</v>
      </c>
      <c r="CN31" s="2">
        <f t="shared" si="19"/>
        <v>0</v>
      </c>
      <c r="CO31" s="2">
        <f t="shared" si="19"/>
        <v>0</v>
      </c>
      <c r="CP31" s="2">
        <f t="shared" si="19"/>
        <v>0</v>
      </c>
      <c r="CQ31" s="2">
        <f t="shared" si="19"/>
        <v>0</v>
      </c>
      <c r="CR31" s="2">
        <f t="shared" si="19"/>
        <v>0</v>
      </c>
      <c r="CS31" s="2">
        <f t="shared" si="19"/>
        <v>0</v>
      </c>
      <c r="CT31" s="2">
        <f t="shared" si="19"/>
        <v>0</v>
      </c>
      <c r="CU31" s="2">
        <f t="shared" si="19"/>
        <v>0</v>
      </c>
      <c r="CV31" s="2">
        <f t="shared" si="19"/>
        <v>0</v>
      </c>
      <c r="CW31" s="2">
        <f t="shared" si="19"/>
        <v>0</v>
      </c>
      <c r="CX31" s="2">
        <f t="shared" si="19"/>
        <v>0</v>
      </c>
      <c r="CY31" s="2">
        <f t="shared" si="19"/>
        <v>0</v>
      </c>
      <c r="CZ31" s="2">
        <f t="shared" si="19"/>
        <v>0</v>
      </c>
      <c r="DA31" s="2">
        <f t="shared" si="19"/>
        <v>0</v>
      </c>
      <c r="DB31" s="2">
        <f t="shared" si="19"/>
        <v>0</v>
      </c>
      <c r="DC31" s="2">
        <f t="shared" si="19"/>
        <v>0</v>
      </c>
      <c r="DD31" s="2">
        <f t="shared" si="19"/>
        <v>0</v>
      </c>
      <c r="DE31" s="2">
        <f t="shared" si="19"/>
        <v>0</v>
      </c>
      <c r="DF31" s="2">
        <f t="shared" si="19"/>
        <v>0</v>
      </c>
      <c r="DG31" s="3">
        <f t="shared" ref="DG31:EL31" si="20">DG45</f>
        <v>0</v>
      </c>
      <c r="DH31" s="3">
        <f t="shared" si="20"/>
        <v>0</v>
      </c>
      <c r="DI31" s="3">
        <f t="shared" si="20"/>
        <v>0</v>
      </c>
      <c r="DJ31" s="3">
        <f t="shared" si="20"/>
        <v>0</v>
      </c>
      <c r="DK31" s="3">
        <f t="shared" si="20"/>
        <v>0</v>
      </c>
      <c r="DL31" s="3">
        <f t="shared" si="20"/>
        <v>0</v>
      </c>
      <c r="DM31" s="3">
        <f t="shared" si="20"/>
        <v>0</v>
      </c>
      <c r="DN31" s="3">
        <f t="shared" si="20"/>
        <v>0</v>
      </c>
      <c r="DO31" s="3">
        <f t="shared" si="20"/>
        <v>0</v>
      </c>
      <c r="DP31" s="3">
        <f t="shared" si="20"/>
        <v>0</v>
      </c>
      <c r="DQ31" s="3">
        <f t="shared" si="20"/>
        <v>0</v>
      </c>
      <c r="DR31" s="3">
        <f t="shared" si="20"/>
        <v>0</v>
      </c>
      <c r="DS31" s="3">
        <f t="shared" si="20"/>
        <v>0</v>
      </c>
      <c r="DT31" s="3">
        <f t="shared" si="20"/>
        <v>0</v>
      </c>
      <c r="DU31" s="3">
        <f t="shared" si="20"/>
        <v>0</v>
      </c>
      <c r="DV31" s="3">
        <f t="shared" si="20"/>
        <v>0</v>
      </c>
      <c r="DW31" s="3">
        <f t="shared" si="20"/>
        <v>0</v>
      </c>
      <c r="DX31" s="3">
        <f t="shared" si="20"/>
        <v>0</v>
      </c>
      <c r="DY31" s="3">
        <f t="shared" si="20"/>
        <v>0</v>
      </c>
      <c r="DZ31" s="3">
        <f t="shared" si="20"/>
        <v>0</v>
      </c>
      <c r="EA31" s="3">
        <f t="shared" si="20"/>
        <v>0</v>
      </c>
      <c r="EB31" s="3">
        <f t="shared" si="20"/>
        <v>0</v>
      </c>
      <c r="EC31" s="3">
        <f t="shared" si="20"/>
        <v>0</v>
      </c>
      <c r="ED31" s="3">
        <f t="shared" si="20"/>
        <v>0</v>
      </c>
      <c r="EE31" s="3">
        <f t="shared" si="20"/>
        <v>0</v>
      </c>
      <c r="EF31" s="3">
        <f t="shared" si="20"/>
        <v>0</v>
      </c>
      <c r="EG31" s="3">
        <f t="shared" si="20"/>
        <v>0</v>
      </c>
      <c r="EH31" s="3">
        <f t="shared" si="20"/>
        <v>0</v>
      </c>
      <c r="EI31" s="3">
        <f t="shared" si="20"/>
        <v>0</v>
      </c>
      <c r="EJ31" s="3">
        <f t="shared" si="20"/>
        <v>0</v>
      </c>
      <c r="EK31" s="3">
        <f t="shared" si="20"/>
        <v>0</v>
      </c>
      <c r="EL31" s="3">
        <f t="shared" si="20"/>
        <v>0</v>
      </c>
      <c r="EM31" s="3">
        <f t="shared" ref="EM31:FR31" si="21">EM45</f>
        <v>0</v>
      </c>
      <c r="EN31" s="3">
        <f t="shared" si="21"/>
        <v>0</v>
      </c>
      <c r="EO31" s="3">
        <f t="shared" si="21"/>
        <v>0</v>
      </c>
      <c r="EP31" s="3">
        <f t="shared" si="21"/>
        <v>0</v>
      </c>
      <c r="EQ31" s="3">
        <f t="shared" si="21"/>
        <v>0</v>
      </c>
      <c r="ER31" s="3">
        <f t="shared" si="21"/>
        <v>0</v>
      </c>
      <c r="ES31" s="3">
        <f t="shared" si="21"/>
        <v>0</v>
      </c>
      <c r="ET31" s="3">
        <f t="shared" si="21"/>
        <v>0</v>
      </c>
      <c r="EU31" s="3">
        <f t="shared" si="21"/>
        <v>0</v>
      </c>
      <c r="EV31" s="3">
        <f t="shared" si="21"/>
        <v>0</v>
      </c>
      <c r="EW31" s="3">
        <f t="shared" si="21"/>
        <v>0</v>
      </c>
      <c r="EX31" s="3">
        <f t="shared" si="21"/>
        <v>0</v>
      </c>
      <c r="EY31" s="3">
        <f t="shared" si="21"/>
        <v>0</v>
      </c>
      <c r="EZ31" s="3">
        <f t="shared" si="21"/>
        <v>0</v>
      </c>
      <c r="FA31" s="3">
        <f t="shared" si="21"/>
        <v>0</v>
      </c>
      <c r="FB31" s="3">
        <f t="shared" si="21"/>
        <v>0</v>
      </c>
      <c r="FC31" s="3">
        <f t="shared" si="21"/>
        <v>0</v>
      </c>
      <c r="FD31" s="3">
        <f t="shared" si="21"/>
        <v>0</v>
      </c>
      <c r="FE31" s="3">
        <f t="shared" si="21"/>
        <v>0</v>
      </c>
      <c r="FF31" s="3">
        <f t="shared" si="21"/>
        <v>0</v>
      </c>
      <c r="FG31" s="3">
        <f t="shared" si="21"/>
        <v>0</v>
      </c>
      <c r="FH31" s="3">
        <f t="shared" si="21"/>
        <v>0</v>
      </c>
      <c r="FI31" s="3">
        <f t="shared" si="21"/>
        <v>0</v>
      </c>
      <c r="FJ31" s="3">
        <f t="shared" si="21"/>
        <v>0</v>
      </c>
      <c r="FK31" s="3">
        <f t="shared" si="21"/>
        <v>0</v>
      </c>
      <c r="FL31" s="3">
        <f t="shared" si="21"/>
        <v>0</v>
      </c>
      <c r="FM31" s="3">
        <f t="shared" si="21"/>
        <v>0</v>
      </c>
      <c r="FN31" s="3">
        <f t="shared" si="21"/>
        <v>0</v>
      </c>
      <c r="FO31" s="3">
        <f t="shared" si="21"/>
        <v>0</v>
      </c>
      <c r="FP31" s="3">
        <f t="shared" si="21"/>
        <v>0</v>
      </c>
      <c r="FQ31" s="3">
        <f t="shared" si="21"/>
        <v>0</v>
      </c>
      <c r="FR31" s="3">
        <f t="shared" si="21"/>
        <v>0</v>
      </c>
      <c r="FS31" s="3">
        <f t="shared" ref="FS31:GX31" si="22">FS45</f>
        <v>0</v>
      </c>
      <c r="FT31" s="3">
        <f t="shared" si="22"/>
        <v>0</v>
      </c>
      <c r="FU31" s="3">
        <f t="shared" si="22"/>
        <v>0</v>
      </c>
      <c r="FV31" s="3">
        <f t="shared" si="22"/>
        <v>0</v>
      </c>
      <c r="FW31" s="3">
        <f t="shared" si="22"/>
        <v>0</v>
      </c>
      <c r="FX31" s="3">
        <f t="shared" si="22"/>
        <v>0</v>
      </c>
      <c r="FY31" s="3">
        <f t="shared" si="22"/>
        <v>0</v>
      </c>
      <c r="FZ31" s="3">
        <f t="shared" si="22"/>
        <v>0</v>
      </c>
      <c r="GA31" s="3">
        <f t="shared" si="22"/>
        <v>0</v>
      </c>
      <c r="GB31" s="3">
        <f t="shared" si="22"/>
        <v>0</v>
      </c>
      <c r="GC31" s="3">
        <f t="shared" si="22"/>
        <v>0</v>
      </c>
      <c r="GD31" s="3">
        <f t="shared" si="22"/>
        <v>0</v>
      </c>
      <c r="GE31" s="3">
        <f t="shared" si="22"/>
        <v>0</v>
      </c>
      <c r="GF31" s="3">
        <f t="shared" si="22"/>
        <v>0</v>
      </c>
      <c r="GG31" s="3">
        <f t="shared" si="22"/>
        <v>0</v>
      </c>
      <c r="GH31" s="3">
        <f t="shared" si="22"/>
        <v>0</v>
      </c>
      <c r="GI31" s="3">
        <f t="shared" si="22"/>
        <v>0</v>
      </c>
      <c r="GJ31" s="3">
        <f t="shared" si="22"/>
        <v>0</v>
      </c>
      <c r="GK31" s="3">
        <f t="shared" si="22"/>
        <v>0</v>
      </c>
      <c r="GL31" s="3">
        <f t="shared" si="22"/>
        <v>0</v>
      </c>
      <c r="GM31" s="3">
        <f t="shared" si="22"/>
        <v>0</v>
      </c>
      <c r="GN31" s="3">
        <f t="shared" si="22"/>
        <v>0</v>
      </c>
      <c r="GO31" s="3">
        <f t="shared" si="22"/>
        <v>0</v>
      </c>
      <c r="GP31" s="3">
        <f t="shared" si="22"/>
        <v>0</v>
      </c>
      <c r="GQ31" s="3">
        <f t="shared" si="22"/>
        <v>0</v>
      </c>
      <c r="GR31" s="3">
        <f t="shared" si="22"/>
        <v>0</v>
      </c>
      <c r="GS31" s="3">
        <f t="shared" si="22"/>
        <v>0</v>
      </c>
      <c r="GT31" s="3">
        <f t="shared" si="22"/>
        <v>0</v>
      </c>
      <c r="GU31" s="3">
        <f t="shared" si="22"/>
        <v>0</v>
      </c>
      <c r="GV31" s="3">
        <f t="shared" si="22"/>
        <v>0</v>
      </c>
      <c r="GW31" s="3">
        <f t="shared" si="22"/>
        <v>0</v>
      </c>
      <c r="GX31" s="3">
        <f t="shared" si="22"/>
        <v>0</v>
      </c>
    </row>
    <row r="33" spans="1:245" x14ac:dyDescent="0.2">
      <c r="A33">
        <v>17</v>
      </c>
      <c r="B33">
        <v>1</v>
      </c>
      <c r="C33">
        <f>ROW(SmtRes!A26)</f>
        <v>26</v>
      </c>
      <c r="D33">
        <f>ROW(EtalonRes!A26)</f>
        <v>26</v>
      </c>
      <c r="E33" t="s">
        <v>14</v>
      </c>
      <c r="F33" t="s">
        <v>47</v>
      </c>
      <c r="G33" t="s">
        <v>48</v>
      </c>
      <c r="H33" t="s">
        <v>49</v>
      </c>
      <c r="I33">
        <v>81.03</v>
      </c>
      <c r="J33">
        <v>0</v>
      </c>
      <c r="K33">
        <v>81.03</v>
      </c>
      <c r="O33">
        <f t="shared" ref="O33:O43" si="23">ROUND(CP33,2)</f>
        <v>9873.2099999999991</v>
      </c>
      <c r="P33">
        <f>SUMIF(SmtRes!AQ26:'SmtRes'!AQ26,"=1",SmtRes!DF26:'SmtRes'!DF26)</f>
        <v>0</v>
      </c>
      <c r="Q33">
        <f>SUMIF(SmtRes!AQ26:'SmtRes'!AQ26,"=1",SmtRes!DG26:'SmtRes'!DG26)</f>
        <v>0</v>
      </c>
      <c r="R33">
        <f>SUMIF(SmtRes!AQ26:'SmtRes'!AQ26,"=1",SmtRes!DH26:'SmtRes'!DH26)</f>
        <v>0</v>
      </c>
      <c r="S33">
        <f>SUMIF(SmtRes!AQ26:'SmtRes'!AQ26,"=1",SmtRes!DI26:'SmtRes'!DI26)</f>
        <v>9873.2099999999991</v>
      </c>
      <c r="T33">
        <f t="shared" ref="T33:T43" si="24">ROUND(CU33*I33,2)</f>
        <v>0</v>
      </c>
      <c r="U33">
        <f t="shared" ref="U33:U43" si="25">CV33*I33</f>
        <v>46.997399999999999</v>
      </c>
      <c r="V33">
        <f t="shared" ref="V33:V43" si="26">CW33*I33</f>
        <v>0</v>
      </c>
      <c r="W33">
        <f t="shared" ref="W33:W43" si="27">ROUND(CX33*I33,2)</f>
        <v>0</v>
      </c>
      <c r="X33">
        <f t="shared" ref="X33:X43" si="28">ROUND(CY33,2)</f>
        <v>8885.89</v>
      </c>
      <c r="Y33">
        <f t="shared" ref="Y33:Y43" si="29">ROUND(CZ33,2)</f>
        <v>4541.68</v>
      </c>
      <c r="AA33">
        <v>59552816</v>
      </c>
      <c r="AB33">
        <f t="shared" ref="AB33:AB43" si="30">ROUND((AC33+AD33+AF33+AE33),2)</f>
        <v>121.85</v>
      </c>
      <c r="AC33">
        <f t="shared" ref="AC33:AE34" si="31">ROUND((0),2)</f>
        <v>0</v>
      </c>
      <c r="AD33">
        <f t="shared" si="31"/>
        <v>0</v>
      </c>
      <c r="AE33">
        <f t="shared" si="31"/>
        <v>0</v>
      </c>
      <c r="AF33">
        <f>ROUND((SUM(SmtRes!BT26:'SmtRes'!BT26)),2)</f>
        <v>121.85</v>
      </c>
      <c r="AG33">
        <f t="shared" ref="AG33:AG43" si="32">ROUND((AP33),2)</f>
        <v>0</v>
      </c>
      <c r="AH33">
        <f>(SUM(SmtRes!BU26:'SmtRes'!BU26))</f>
        <v>0.57999999999999996</v>
      </c>
      <c r="AI33">
        <f>(0)</f>
        <v>0</v>
      </c>
      <c r="AJ33">
        <f t="shared" ref="AJ33:AJ43" si="33">(AS33)</f>
        <v>0</v>
      </c>
      <c r="AK33">
        <v>121.8464</v>
      </c>
      <c r="AL33">
        <v>0</v>
      </c>
      <c r="AM33">
        <v>0</v>
      </c>
      <c r="AN33">
        <v>0</v>
      </c>
      <c r="AO33">
        <v>121.8464</v>
      </c>
      <c r="AP33">
        <v>0</v>
      </c>
      <c r="AQ33">
        <v>0.57999999999999996</v>
      </c>
      <c r="AR33">
        <v>0</v>
      </c>
      <c r="AS33">
        <v>0</v>
      </c>
      <c r="AT33">
        <v>90</v>
      </c>
      <c r="AU33">
        <v>46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1</v>
      </c>
      <c r="BJ33" t="s">
        <v>50</v>
      </c>
      <c r="BM33">
        <v>62001</v>
      </c>
      <c r="BN33">
        <v>0</v>
      </c>
      <c r="BO33" t="s">
        <v>3</v>
      </c>
      <c r="BP33">
        <v>0</v>
      </c>
      <c r="BQ33">
        <v>6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90</v>
      </c>
      <c r="CA33">
        <v>46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</v>
      </c>
      <c r="CO33">
        <v>0</v>
      </c>
      <c r="CP33">
        <f t="shared" ref="CP33:CP43" si="34">(P33+Q33+S33+R33)</f>
        <v>9873.2099999999991</v>
      </c>
      <c r="CQ33">
        <f>SUMIF(SmtRes!AQ26:'SmtRes'!AQ26,"=1",SmtRes!AA26:'SmtRes'!AA26)</f>
        <v>0</v>
      </c>
      <c r="CR33">
        <f>SUMIF(SmtRes!AQ26:'SmtRes'!AQ26,"=1",SmtRes!AB26:'SmtRes'!AB26)</f>
        <v>0</v>
      </c>
      <c r="CS33">
        <f>SUMIF(SmtRes!AQ26:'SmtRes'!AQ26,"=1",SmtRes!AC26:'SmtRes'!AC26)</f>
        <v>0</v>
      </c>
      <c r="CT33">
        <f>SUMIF(SmtRes!AQ26:'SmtRes'!AQ26,"=1",SmtRes!AD26:'SmtRes'!AD26)</f>
        <v>210.08</v>
      </c>
      <c r="CU33">
        <f t="shared" ref="CU33:CU43" si="35">AG33</f>
        <v>0</v>
      </c>
      <c r="CV33">
        <f t="shared" ref="CV33:CV43" si="36">AH33</f>
        <v>0.57999999999999996</v>
      </c>
      <c r="CW33">
        <f t="shared" ref="CW33:CW43" si="37">AI33</f>
        <v>0</v>
      </c>
      <c r="CX33">
        <f t="shared" ref="CX33:CX43" si="38">AJ33</f>
        <v>0</v>
      </c>
      <c r="CY33">
        <f t="shared" ref="CY33:CY43" si="39">(((S33+R33)*AT33)/100)</f>
        <v>8885.8889999999992</v>
      </c>
      <c r="CZ33">
        <f t="shared" ref="CZ33:CZ43" si="40">(((S33+R33)*AU33)/100)</f>
        <v>4541.6765999999998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1005</v>
      </c>
      <c r="DV33" t="s">
        <v>49</v>
      </c>
      <c r="DW33" t="s">
        <v>49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57922258</v>
      </c>
      <c r="EF33">
        <v>6</v>
      </c>
      <c r="EG33" t="s">
        <v>19</v>
      </c>
      <c r="EH33">
        <v>96</v>
      </c>
      <c r="EI33" t="s">
        <v>51</v>
      </c>
      <c r="EJ33">
        <v>1</v>
      </c>
      <c r="EK33">
        <v>62001</v>
      </c>
      <c r="EL33" t="s">
        <v>51</v>
      </c>
      <c r="EM33" t="s">
        <v>52</v>
      </c>
      <c r="EO33" t="s">
        <v>3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0.57999999999999996</v>
      </c>
      <c r="EX33">
        <v>0</v>
      </c>
      <c r="EY33">
        <v>0</v>
      </c>
      <c r="FQ33">
        <v>0</v>
      </c>
      <c r="FR33">
        <f t="shared" ref="FR33:FR43" si="41">ROUND(IF(BI33=3,GM33,0),2)</f>
        <v>0</v>
      </c>
      <c r="FS33">
        <v>0</v>
      </c>
      <c r="FX33">
        <v>90</v>
      </c>
      <c r="FY33">
        <v>46</v>
      </c>
      <c r="GA33" t="s">
        <v>3</v>
      </c>
      <c r="GD33">
        <v>1</v>
      </c>
      <c r="GF33">
        <v>1125847483</v>
      </c>
      <c r="GG33">
        <v>2</v>
      </c>
      <c r="GH33">
        <v>1</v>
      </c>
      <c r="GI33">
        <v>-2</v>
      </c>
      <c r="GJ33">
        <v>0</v>
      </c>
      <c r="GK33">
        <v>0</v>
      </c>
      <c r="GL33">
        <f t="shared" ref="GL33:GL43" si="42">ROUND(IF(AND(BH33=3,BI33=3,FS33&lt;&gt;0),P33,0),2)</f>
        <v>0</v>
      </c>
      <c r="GM33">
        <f t="shared" ref="GM33:GM43" si="43">ROUND(O33+X33+Y33,2)+GX33</f>
        <v>23300.78</v>
      </c>
      <c r="GN33">
        <f t="shared" ref="GN33:GN43" si="44">IF(OR(BI33=0,BI33=1),GM33,0)</f>
        <v>23300.78</v>
      </c>
      <c r="GO33">
        <f t="shared" ref="GO33:GO43" si="45">IF(BI33=2,GM33,0)</f>
        <v>0</v>
      </c>
      <c r="GP33">
        <f t="shared" ref="GP33:GP43" si="46">IF(BI33=4,GM33+GX33,0)</f>
        <v>0</v>
      </c>
      <c r="GR33">
        <v>0</v>
      </c>
      <c r="GS33">
        <v>3</v>
      </c>
      <c r="GT33">
        <v>0</v>
      </c>
      <c r="GU33" t="s">
        <v>3</v>
      </c>
      <c r="GV33">
        <f t="shared" ref="GV33:GV43" si="47">ROUND((GT33),2)</f>
        <v>0</v>
      </c>
      <c r="GW33">
        <v>1</v>
      </c>
      <c r="GX33">
        <f t="shared" ref="GX33:GX43" si="48">ROUND(HC33*I33,2)</f>
        <v>0</v>
      </c>
      <c r="HA33">
        <v>0</v>
      </c>
      <c r="HB33">
        <v>0</v>
      </c>
      <c r="HC33">
        <f t="shared" ref="HC33:HC43" si="49">GV33*GW33</f>
        <v>0</v>
      </c>
      <c r="HE33" t="s">
        <v>3</v>
      </c>
      <c r="HF33" t="s">
        <v>3</v>
      </c>
      <c r="HM33" t="s">
        <v>3</v>
      </c>
      <c r="HN33" t="s">
        <v>53</v>
      </c>
      <c r="HO33" t="s">
        <v>54</v>
      </c>
      <c r="HP33" t="s">
        <v>51</v>
      </c>
      <c r="HQ33" t="s">
        <v>51</v>
      </c>
      <c r="IK33">
        <v>0</v>
      </c>
    </row>
    <row r="34" spans="1:245" x14ac:dyDescent="0.2">
      <c r="A34">
        <v>17</v>
      </c>
      <c r="B34">
        <v>1</v>
      </c>
      <c r="C34">
        <f>ROW(SmtRes!A27)</f>
        <v>27</v>
      </c>
      <c r="D34">
        <f>ROW(EtalonRes!A27)</f>
        <v>27</v>
      </c>
      <c r="E34" t="s">
        <v>24</v>
      </c>
      <c r="F34" t="s">
        <v>47</v>
      </c>
      <c r="G34" t="s">
        <v>55</v>
      </c>
      <c r="H34" t="s">
        <v>49</v>
      </c>
      <c r="I34">
        <v>65</v>
      </c>
      <c r="J34">
        <v>0</v>
      </c>
      <c r="K34">
        <v>65</v>
      </c>
      <c r="O34">
        <f t="shared" si="23"/>
        <v>7920.02</v>
      </c>
      <c r="P34">
        <f>SUMIF(SmtRes!AQ27:'SmtRes'!AQ27,"=1",SmtRes!DF27:'SmtRes'!DF27)</f>
        <v>0</v>
      </c>
      <c r="Q34">
        <f>SUMIF(SmtRes!AQ27:'SmtRes'!AQ27,"=1",SmtRes!DG27:'SmtRes'!DG27)</f>
        <v>0</v>
      </c>
      <c r="R34">
        <f>SUMIF(SmtRes!AQ27:'SmtRes'!AQ27,"=1",SmtRes!DH27:'SmtRes'!DH27)</f>
        <v>0</v>
      </c>
      <c r="S34">
        <f>SUMIF(SmtRes!AQ27:'SmtRes'!AQ27,"=1",SmtRes!DI27:'SmtRes'!DI27)</f>
        <v>7920.02</v>
      </c>
      <c r="T34">
        <f t="shared" si="24"/>
        <v>0</v>
      </c>
      <c r="U34">
        <f t="shared" si="25"/>
        <v>37.699999999999996</v>
      </c>
      <c r="V34">
        <f t="shared" si="26"/>
        <v>0</v>
      </c>
      <c r="W34">
        <f t="shared" si="27"/>
        <v>0</v>
      </c>
      <c r="X34">
        <f t="shared" si="28"/>
        <v>7128.02</v>
      </c>
      <c r="Y34">
        <f t="shared" si="29"/>
        <v>3643.21</v>
      </c>
      <c r="AA34">
        <v>59552816</v>
      </c>
      <c r="AB34">
        <f t="shared" si="30"/>
        <v>121.85</v>
      </c>
      <c r="AC34">
        <f t="shared" si="31"/>
        <v>0</v>
      </c>
      <c r="AD34">
        <f t="shared" si="31"/>
        <v>0</v>
      </c>
      <c r="AE34">
        <f t="shared" si="31"/>
        <v>0</v>
      </c>
      <c r="AF34">
        <f>ROUND((SUM(SmtRes!BT27:'SmtRes'!BT27)),2)</f>
        <v>121.85</v>
      </c>
      <c r="AG34">
        <f t="shared" si="32"/>
        <v>0</v>
      </c>
      <c r="AH34">
        <f>(SUM(SmtRes!BU27:'SmtRes'!BU27))</f>
        <v>0.57999999999999996</v>
      </c>
      <c r="AI34">
        <f>(0)</f>
        <v>0</v>
      </c>
      <c r="AJ34">
        <f t="shared" si="33"/>
        <v>0</v>
      </c>
      <c r="AK34">
        <v>121.8464</v>
      </c>
      <c r="AL34">
        <v>0</v>
      </c>
      <c r="AM34">
        <v>0</v>
      </c>
      <c r="AN34">
        <v>0</v>
      </c>
      <c r="AO34">
        <v>121.8464</v>
      </c>
      <c r="AP34">
        <v>0</v>
      </c>
      <c r="AQ34">
        <v>0.57999999999999996</v>
      </c>
      <c r="AR34">
        <v>0</v>
      </c>
      <c r="AS34">
        <v>0</v>
      </c>
      <c r="AT34">
        <v>90</v>
      </c>
      <c r="AU34">
        <v>46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1</v>
      </c>
      <c r="BJ34" t="s">
        <v>50</v>
      </c>
      <c r="BM34">
        <v>62001</v>
      </c>
      <c r="BN34">
        <v>0</v>
      </c>
      <c r="BO34" t="s">
        <v>3</v>
      </c>
      <c r="BP34">
        <v>0</v>
      </c>
      <c r="BQ34">
        <v>6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90</v>
      </c>
      <c r="CA34">
        <v>46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34"/>
        <v>7920.02</v>
      </c>
      <c r="CQ34">
        <f>SUMIF(SmtRes!AQ27:'SmtRes'!AQ27,"=1",SmtRes!AA27:'SmtRes'!AA27)</f>
        <v>0</v>
      </c>
      <c r="CR34">
        <f>SUMIF(SmtRes!AQ27:'SmtRes'!AQ27,"=1",SmtRes!AB27:'SmtRes'!AB27)</f>
        <v>0</v>
      </c>
      <c r="CS34">
        <f>SUMIF(SmtRes!AQ27:'SmtRes'!AQ27,"=1",SmtRes!AC27:'SmtRes'!AC27)</f>
        <v>0</v>
      </c>
      <c r="CT34">
        <f>SUMIF(SmtRes!AQ27:'SmtRes'!AQ27,"=1",SmtRes!AD27:'SmtRes'!AD27)</f>
        <v>210.08</v>
      </c>
      <c r="CU34">
        <f t="shared" si="35"/>
        <v>0</v>
      </c>
      <c r="CV34">
        <f t="shared" si="36"/>
        <v>0.57999999999999996</v>
      </c>
      <c r="CW34">
        <f t="shared" si="37"/>
        <v>0</v>
      </c>
      <c r="CX34">
        <f t="shared" si="38"/>
        <v>0</v>
      </c>
      <c r="CY34">
        <f t="shared" si="39"/>
        <v>7128.018</v>
      </c>
      <c r="CZ34">
        <f t="shared" si="40"/>
        <v>3643.2092000000002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1005</v>
      </c>
      <c r="DV34" t="s">
        <v>49</v>
      </c>
      <c r="DW34" t="s">
        <v>49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57922258</v>
      </c>
      <c r="EF34">
        <v>6</v>
      </c>
      <c r="EG34" t="s">
        <v>19</v>
      </c>
      <c r="EH34">
        <v>96</v>
      </c>
      <c r="EI34" t="s">
        <v>51</v>
      </c>
      <c r="EJ34">
        <v>1</v>
      </c>
      <c r="EK34">
        <v>62001</v>
      </c>
      <c r="EL34" t="s">
        <v>51</v>
      </c>
      <c r="EM34" t="s">
        <v>52</v>
      </c>
      <c r="EO34" t="s">
        <v>3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0.57999999999999996</v>
      </c>
      <c r="EX34">
        <v>0</v>
      </c>
      <c r="EY34">
        <v>0</v>
      </c>
      <c r="FQ34">
        <v>0</v>
      </c>
      <c r="FR34">
        <f t="shared" si="41"/>
        <v>0</v>
      </c>
      <c r="FS34">
        <v>0</v>
      </c>
      <c r="FX34">
        <v>90</v>
      </c>
      <c r="FY34">
        <v>46</v>
      </c>
      <c r="GA34" t="s">
        <v>3</v>
      </c>
      <c r="GD34">
        <v>1</v>
      </c>
      <c r="GF34">
        <v>-2018652095</v>
      </c>
      <c r="GG34">
        <v>2</v>
      </c>
      <c r="GH34">
        <v>1</v>
      </c>
      <c r="GI34">
        <v>-2</v>
      </c>
      <c r="GJ34">
        <v>0</v>
      </c>
      <c r="GK34">
        <v>0</v>
      </c>
      <c r="GL34">
        <f t="shared" si="42"/>
        <v>0</v>
      </c>
      <c r="GM34">
        <f t="shared" si="43"/>
        <v>18691.25</v>
      </c>
      <c r="GN34">
        <f t="shared" si="44"/>
        <v>18691.25</v>
      </c>
      <c r="GO34">
        <f t="shared" si="45"/>
        <v>0</v>
      </c>
      <c r="GP34">
        <f t="shared" si="46"/>
        <v>0</v>
      </c>
      <c r="GR34">
        <v>0</v>
      </c>
      <c r="GS34">
        <v>3</v>
      </c>
      <c r="GT34">
        <v>0</v>
      </c>
      <c r="GU34" t="s">
        <v>3</v>
      </c>
      <c r="GV34">
        <f t="shared" si="47"/>
        <v>0</v>
      </c>
      <c r="GW34">
        <v>1</v>
      </c>
      <c r="GX34">
        <f t="shared" si="48"/>
        <v>0</v>
      </c>
      <c r="HA34">
        <v>0</v>
      </c>
      <c r="HB34">
        <v>0</v>
      </c>
      <c r="HC34">
        <f t="shared" si="49"/>
        <v>0</v>
      </c>
      <c r="HE34" t="s">
        <v>3</v>
      </c>
      <c r="HF34" t="s">
        <v>3</v>
      </c>
      <c r="HM34" t="s">
        <v>3</v>
      </c>
      <c r="HN34" t="s">
        <v>53</v>
      </c>
      <c r="HO34" t="s">
        <v>54</v>
      </c>
      <c r="HP34" t="s">
        <v>51</v>
      </c>
      <c r="HQ34" t="s">
        <v>51</v>
      </c>
      <c r="IK34">
        <v>0</v>
      </c>
    </row>
    <row r="35" spans="1:245" x14ac:dyDescent="0.2">
      <c r="A35">
        <v>17</v>
      </c>
      <c r="B35">
        <v>1</v>
      </c>
      <c r="C35">
        <f>ROW(SmtRes!A33)</f>
        <v>33</v>
      </c>
      <c r="D35">
        <f>ROW(EtalonRes!A33)</f>
        <v>33</v>
      </c>
      <c r="E35" t="s">
        <v>56</v>
      </c>
      <c r="F35" t="s">
        <v>57</v>
      </c>
      <c r="G35" t="s">
        <v>58</v>
      </c>
      <c r="H35" t="s">
        <v>39</v>
      </c>
      <c r="I35">
        <v>0.81030000000000002</v>
      </c>
      <c r="J35">
        <v>0</v>
      </c>
      <c r="K35">
        <v>0.81030000000000002</v>
      </c>
      <c r="O35">
        <f t="shared" si="23"/>
        <v>2153.5</v>
      </c>
      <c r="P35">
        <f>SUMIF(SmtRes!AQ28:'SmtRes'!AQ33,"=1",SmtRes!DF28:'SmtRes'!DF33)</f>
        <v>985.1</v>
      </c>
      <c r="Q35">
        <f>SUMIF(SmtRes!AQ28:'SmtRes'!AQ33,"=1",SmtRes!DG28:'SmtRes'!DG33)</f>
        <v>5.97</v>
      </c>
      <c r="R35">
        <f>SUMIF(SmtRes!AQ28:'SmtRes'!AQ33,"=1",SmtRes!DH28:'SmtRes'!DH33)</f>
        <v>5.1099999999999994</v>
      </c>
      <c r="S35">
        <f>SUMIF(SmtRes!AQ28:'SmtRes'!AQ33,"=1",SmtRes!DI28:'SmtRes'!DI33)</f>
        <v>1157.32</v>
      </c>
      <c r="T35">
        <f t="shared" si="24"/>
        <v>0</v>
      </c>
      <c r="U35">
        <f t="shared" si="25"/>
        <v>4.3330792499999999</v>
      </c>
      <c r="V35">
        <f t="shared" si="26"/>
        <v>2.0257500000000001E-2</v>
      </c>
      <c r="W35">
        <f t="shared" si="27"/>
        <v>0</v>
      </c>
      <c r="X35">
        <f t="shared" si="28"/>
        <v>1046.19</v>
      </c>
      <c r="Y35">
        <f t="shared" si="29"/>
        <v>484.15</v>
      </c>
      <c r="AA35">
        <v>59552816</v>
      </c>
      <c r="AB35">
        <f t="shared" si="30"/>
        <v>2651.78</v>
      </c>
      <c r="AC35">
        <f>ROUND((SUM(SmtRes!BQ28:'SmtRes'!BQ33)),2)</f>
        <v>1210.78</v>
      </c>
      <c r="AD35">
        <f>ROUND((SUM(SmtRes!BR28:'SmtRes'!BR33)),2)</f>
        <v>6.44</v>
      </c>
      <c r="AE35">
        <f>ROUND((SUM(SmtRes!BS28:'SmtRes'!BS33)),2)</f>
        <v>6.3</v>
      </c>
      <c r="AF35">
        <f>ROUND((SUM(SmtRes!BT28:'SmtRes'!BT33)),2)</f>
        <v>1428.26</v>
      </c>
      <c r="AG35">
        <f t="shared" si="32"/>
        <v>0</v>
      </c>
      <c r="AH35">
        <f>(SUM(SmtRes!BU28:'SmtRes'!BU33))</f>
        <v>5.3475000000000001</v>
      </c>
      <c r="AI35">
        <f>(SUM(SmtRes!BV28:'SmtRes'!BV33))</f>
        <v>2.5000000000000001E-2</v>
      </c>
      <c r="AJ35">
        <f t="shared" si="33"/>
        <v>0</v>
      </c>
      <c r="AK35">
        <v>2462.9461439096631</v>
      </c>
      <c r="AL35">
        <v>1210.782443909663</v>
      </c>
      <c r="AM35">
        <v>5.1524000000000001</v>
      </c>
      <c r="AN35">
        <v>5.0427999999999997</v>
      </c>
      <c r="AO35">
        <v>1241.9684999999999</v>
      </c>
      <c r="AP35">
        <v>0</v>
      </c>
      <c r="AQ35">
        <v>4.6500000000000004</v>
      </c>
      <c r="AR35">
        <v>0.02</v>
      </c>
      <c r="AS35">
        <v>0</v>
      </c>
      <c r="AT35">
        <v>90</v>
      </c>
      <c r="AU35">
        <v>41.65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1</v>
      </c>
      <c r="BJ35" t="s">
        <v>59</v>
      </c>
      <c r="BM35">
        <v>15001</v>
      </c>
      <c r="BN35">
        <v>0</v>
      </c>
      <c r="BO35" t="s">
        <v>3</v>
      </c>
      <c r="BP35">
        <v>0</v>
      </c>
      <c r="BQ35">
        <v>2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100</v>
      </c>
      <c r="CA35">
        <v>49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 t="shared" si="34"/>
        <v>2153.5</v>
      </c>
      <c r="CQ35">
        <f>SUMIF(SmtRes!AQ28:'SmtRes'!AQ33,"=1",SmtRes!AA28:'SmtRes'!AA33)</f>
        <v>117106.23</v>
      </c>
      <c r="CR35">
        <f>SUMIF(SmtRes!AQ28:'SmtRes'!AQ33,"=1",SmtRes!AB28:'SmtRes'!AB33)</f>
        <v>588.93999999999994</v>
      </c>
      <c r="CS35">
        <f>SUMIF(SmtRes!AQ28:'SmtRes'!AQ33,"=1",SmtRes!AC28:'SmtRes'!AC33)</f>
        <v>504.28</v>
      </c>
      <c r="CT35">
        <f>SUMIF(SmtRes!AQ28:'SmtRes'!AQ33,"=1",SmtRes!AD28:'SmtRes'!AD33)</f>
        <v>267.08999999999997</v>
      </c>
      <c r="CU35">
        <f t="shared" si="35"/>
        <v>0</v>
      </c>
      <c r="CV35">
        <f t="shared" si="36"/>
        <v>5.3475000000000001</v>
      </c>
      <c r="CW35">
        <f t="shared" si="37"/>
        <v>2.5000000000000001E-2</v>
      </c>
      <c r="CX35">
        <f t="shared" si="38"/>
        <v>0</v>
      </c>
      <c r="CY35">
        <f t="shared" si="39"/>
        <v>1046.1869999999999</v>
      </c>
      <c r="CZ35">
        <f t="shared" si="40"/>
        <v>484.15209499999992</v>
      </c>
      <c r="DC35" t="s">
        <v>3</v>
      </c>
      <c r="DD35" t="s">
        <v>3</v>
      </c>
      <c r="DE35" t="s">
        <v>28</v>
      </c>
      <c r="DF35" t="s">
        <v>28</v>
      </c>
      <c r="DG35" t="s">
        <v>29</v>
      </c>
      <c r="DH35" t="s">
        <v>3</v>
      </c>
      <c r="DI35" t="s">
        <v>29</v>
      </c>
      <c r="DJ35" t="s">
        <v>28</v>
      </c>
      <c r="DK35" t="s">
        <v>3</v>
      </c>
      <c r="DL35" t="s">
        <v>30</v>
      </c>
      <c r="DM35" t="s">
        <v>31</v>
      </c>
      <c r="DN35">
        <v>0</v>
      </c>
      <c r="DO35">
        <v>0</v>
      </c>
      <c r="DP35">
        <v>1</v>
      </c>
      <c r="DQ35">
        <v>1</v>
      </c>
      <c r="DU35">
        <v>1005</v>
      </c>
      <c r="DV35" t="s">
        <v>39</v>
      </c>
      <c r="DW35" t="s">
        <v>39</v>
      </c>
      <c r="DX35">
        <v>100</v>
      </c>
      <c r="DZ35" t="s">
        <v>3</v>
      </c>
      <c r="EA35" t="s">
        <v>3</v>
      </c>
      <c r="EB35" t="s">
        <v>3</v>
      </c>
      <c r="EC35" t="s">
        <v>3</v>
      </c>
      <c r="EE35">
        <v>57922201</v>
      </c>
      <c r="EF35">
        <v>2</v>
      </c>
      <c r="EG35" t="s">
        <v>32</v>
      </c>
      <c r="EH35">
        <v>15</v>
      </c>
      <c r="EI35" t="s">
        <v>60</v>
      </c>
      <c r="EJ35">
        <v>1</v>
      </c>
      <c r="EK35">
        <v>15001</v>
      </c>
      <c r="EL35" t="s">
        <v>60</v>
      </c>
      <c r="EM35" t="s">
        <v>61</v>
      </c>
      <c r="EO35" t="s">
        <v>3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4.6500000000000004</v>
      </c>
      <c r="EX35">
        <v>0.02</v>
      </c>
      <c r="EY35">
        <v>0</v>
      </c>
      <c r="FQ35">
        <v>0</v>
      </c>
      <c r="FR35">
        <f t="shared" si="41"/>
        <v>0</v>
      </c>
      <c r="FS35">
        <v>0</v>
      </c>
      <c r="FX35">
        <v>90</v>
      </c>
      <c r="FY35">
        <v>41.65</v>
      </c>
      <c r="GA35" t="s">
        <v>3</v>
      </c>
      <c r="GD35">
        <v>1</v>
      </c>
      <c r="GF35">
        <v>-1545048729</v>
      </c>
      <c r="GG35">
        <v>2</v>
      </c>
      <c r="GH35">
        <v>1</v>
      </c>
      <c r="GI35">
        <v>-2</v>
      </c>
      <c r="GJ35">
        <v>0</v>
      </c>
      <c r="GK35">
        <v>0</v>
      </c>
      <c r="GL35">
        <f t="shared" si="42"/>
        <v>0</v>
      </c>
      <c r="GM35">
        <f t="shared" si="43"/>
        <v>3683.84</v>
      </c>
      <c r="GN35">
        <f t="shared" si="44"/>
        <v>3683.84</v>
      </c>
      <c r="GO35">
        <f t="shared" si="45"/>
        <v>0</v>
      </c>
      <c r="GP35">
        <f t="shared" si="46"/>
        <v>0</v>
      </c>
      <c r="GR35">
        <v>0</v>
      </c>
      <c r="GS35">
        <v>3</v>
      </c>
      <c r="GT35">
        <v>0</v>
      </c>
      <c r="GU35" t="s">
        <v>3</v>
      </c>
      <c r="GV35">
        <f t="shared" si="47"/>
        <v>0</v>
      </c>
      <c r="GW35">
        <v>1</v>
      </c>
      <c r="GX35">
        <f t="shared" si="48"/>
        <v>0</v>
      </c>
      <c r="HA35">
        <v>0</v>
      </c>
      <c r="HB35">
        <v>0</v>
      </c>
      <c r="HC35">
        <f t="shared" si="49"/>
        <v>0</v>
      </c>
      <c r="HE35" t="s">
        <v>3</v>
      </c>
      <c r="HF35" t="s">
        <v>3</v>
      </c>
      <c r="HM35" t="s">
        <v>3</v>
      </c>
      <c r="HN35" t="s">
        <v>62</v>
      </c>
      <c r="HO35" t="s">
        <v>63</v>
      </c>
      <c r="HP35" t="s">
        <v>60</v>
      </c>
      <c r="HQ35" t="s">
        <v>60</v>
      </c>
      <c r="IK35">
        <v>0</v>
      </c>
    </row>
    <row r="36" spans="1:245" x14ac:dyDescent="0.2">
      <c r="A36">
        <v>17</v>
      </c>
      <c r="B36">
        <v>1</v>
      </c>
      <c r="C36">
        <f>ROW(SmtRes!A39)</f>
        <v>39</v>
      </c>
      <c r="D36">
        <f>ROW(EtalonRes!A39)</f>
        <v>39</v>
      </c>
      <c r="E36" t="s">
        <v>43</v>
      </c>
      <c r="F36" t="s">
        <v>64</v>
      </c>
      <c r="G36" t="s">
        <v>65</v>
      </c>
      <c r="H36" t="s">
        <v>39</v>
      </c>
      <c r="I36">
        <v>0.04</v>
      </c>
      <c r="J36">
        <v>0</v>
      </c>
      <c r="K36">
        <v>0.04</v>
      </c>
      <c r="O36">
        <f t="shared" si="23"/>
        <v>405.15</v>
      </c>
      <c r="P36">
        <f>SUMIF(SmtRes!AQ34:'SmtRes'!AQ39,"=1",SmtRes!DF34:'SmtRes'!DF39)</f>
        <v>192.63</v>
      </c>
      <c r="Q36">
        <f>SUMIF(SmtRes!AQ34:'SmtRes'!AQ39,"=1",SmtRes!DG34:'SmtRes'!DG39)</f>
        <v>1.3</v>
      </c>
      <c r="R36">
        <f>SUMIF(SmtRes!AQ34:'SmtRes'!AQ39,"=1",SmtRes!DH34:'SmtRes'!DH39)</f>
        <v>0.64</v>
      </c>
      <c r="S36">
        <f>SUMIF(SmtRes!AQ34:'SmtRes'!AQ39,"=1",SmtRes!DI34:'SmtRes'!DI39)</f>
        <v>210.58</v>
      </c>
      <c r="T36">
        <f t="shared" si="24"/>
        <v>0</v>
      </c>
      <c r="U36">
        <f t="shared" si="25"/>
        <v>0.84519999999999995</v>
      </c>
      <c r="V36">
        <f t="shared" si="26"/>
        <v>2.3999999999999998E-3</v>
      </c>
      <c r="W36">
        <f t="shared" si="27"/>
        <v>0</v>
      </c>
      <c r="X36">
        <f t="shared" si="28"/>
        <v>187.99</v>
      </c>
      <c r="Y36">
        <f t="shared" si="29"/>
        <v>92.94</v>
      </c>
      <c r="AA36">
        <v>59552816</v>
      </c>
      <c r="AB36">
        <f t="shared" si="30"/>
        <v>9400.4699999999993</v>
      </c>
      <c r="AC36">
        <f>ROUND((SUM(SmtRes!BQ34:'SmtRes'!BQ39)),2)</f>
        <v>4091.22</v>
      </c>
      <c r="AD36">
        <f>ROUND((SUM(SmtRes!BR34:'SmtRes'!BR39)),2)</f>
        <v>28.68</v>
      </c>
      <c r="AE36">
        <f>ROUND((SUM(SmtRes!BS34:'SmtRes'!BS39)),2)</f>
        <v>16.03</v>
      </c>
      <c r="AF36">
        <f>ROUND((SUM(SmtRes!BT34:'SmtRes'!BT39)),2)</f>
        <v>5264.54</v>
      </c>
      <c r="AG36">
        <f t="shared" si="32"/>
        <v>0</v>
      </c>
      <c r="AH36">
        <f>(SUM(SmtRes!BU34:'SmtRes'!BU39))</f>
        <v>21.13</v>
      </c>
      <c r="AI36">
        <f>(SUM(SmtRes!BV34:'SmtRes'!BV39))</f>
        <v>0.06</v>
      </c>
      <c r="AJ36">
        <f t="shared" si="33"/>
        <v>0</v>
      </c>
      <c r="AK36">
        <v>9400.4591</v>
      </c>
      <c r="AL36">
        <v>4091.2190000000001</v>
      </c>
      <c r="AM36">
        <v>28.6752</v>
      </c>
      <c r="AN36">
        <v>16.025399999999998</v>
      </c>
      <c r="AO36">
        <v>5264.5394999999999</v>
      </c>
      <c r="AP36">
        <v>0</v>
      </c>
      <c r="AQ36">
        <v>21.13</v>
      </c>
      <c r="AR36">
        <v>0.06</v>
      </c>
      <c r="AS36">
        <v>0</v>
      </c>
      <c r="AT36">
        <v>89</v>
      </c>
      <c r="AU36">
        <v>44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0</v>
      </c>
      <c r="BI36">
        <v>1</v>
      </c>
      <c r="BJ36" t="s">
        <v>66</v>
      </c>
      <c r="BM36">
        <v>61001</v>
      </c>
      <c r="BN36">
        <v>0</v>
      </c>
      <c r="BO36" t="s">
        <v>3</v>
      </c>
      <c r="BP36">
        <v>0</v>
      </c>
      <c r="BQ36">
        <v>6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89</v>
      </c>
      <c r="CA36">
        <v>44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34"/>
        <v>405.15</v>
      </c>
      <c r="CQ36">
        <f>SUMIF(SmtRes!AQ34:'SmtRes'!AQ39,"=1",SmtRes!AA34:'SmtRes'!AA39)</f>
        <v>261.73</v>
      </c>
      <c r="CR36">
        <f>SUMIF(SmtRes!AQ34:'SmtRes'!AQ39,"=1",SmtRes!AB34:'SmtRes'!AB39)</f>
        <v>540.04999999999995</v>
      </c>
      <c r="CS36">
        <f>SUMIF(SmtRes!AQ34:'SmtRes'!AQ39,"=1",SmtRes!AC34:'SmtRes'!AC39)</f>
        <v>267.08999999999997</v>
      </c>
      <c r="CT36">
        <f>SUMIF(SmtRes!AQ34:'SmtRes'!AQ39,"=1",SmtRes!AD34:'SmtRes'!AD39)</f>
        <v>249.15</v>
      </c>
      <c r="CU36">
        <f t="shared" si="35"/>
        <v>0</v>
      </c>
      <c r="CV36">
        <f t="shared" si="36"/>
        <v>21.13</v>
      </c>
      <c r="CW36">
        <f t="shared" si="37"/>
        <v>0.06</v>
      </c>
      <c r="CX36">
        <f t="shared" si="38"/>
        <v>0</v>
      </c>
      <c r="CY36">
        <f t="shared" si="39"/>
        <v>187.98579999999998</v>
      </c>
      <c r="CZ36">
        <f t="shared" si="40"/>
        <v>92.936800000000005</v>
      </c>
      <c r="DC36" t="s">
        <v>3</v>
      </c>
      <c r="DD36" t="s">
        <v>3</v>
      </c>
      <c r="DE36" t="s">
        <v>3</v>
      </c>
      <c r="DF36" t="s">
        <v>3</v>
      </c>
      <c r="DG36" t="s">
        <v>3</v>
      </c>
      <c r="DH36" t="s">
        <v>3</v>
      </c>
      <c r="DI36" t="s">
        <v>3</v>
      </c>
      <c r="DJ36" t="s">
        <v>3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1005</v>
      </c>
      <c r="DV36" t="s">
        <v>39</v>
      </c>
      <c r="DW36" t="s">
        <v>39</v>
      </c>
      <c r="DX36">
        <v>100</v>
      </c>
      <c r="DZ36" t="s">
        <v>3</v>
      </c>
      <c r="EA36" t="s">
        <v>3</v>
      </c>
      <c r="EB36" t="s">
        <v>3</v>
      </c>
      <c r="EC36" t="s">
        <v>3</v>
      </c>
      <c r="EE36">
        <v>57922257</v>
      </c>
      <c r="EF36">
        <v>6</v>
      </c>
      <c r="EG36" t="s">
        <v>19</v>
      </c>
      <c r="EH36">
        <v>95</v>
      </c>
      <c r="EI36" t="s">
        <v>67</v>
      </c>
      <c r="EJ36">
        <v>1</v>
      </c>
      <c r="EK36">
        <v>61001</v>
      </c>
      <c r="EL36" t="s">
        <v>67</v>
      </c>
      <c r="EM36" t="s">
        <v>68</v>
      </c>
      <c r="EO36" t="s">
        <v>3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21.13</v>
      </c>
      <c r="EX36">
        <v>0.06</v>
      </c>
      <c r="EY36">
        <v>0</v>
      </c>
      <c r="FQ36">
        <v>0</v>
      </c>
      <c r="FR36">
        <f t="shared" si="41"/>
        <v>0</v>
      </c>
      <c r="FS36">
        <v>0</v>
      </c>
      <c r="FX36">
        <v>89</v>
      </c>
      <c r="FY36">
        <v>44</v>
      </c>
      <c r="GA36" t="s">
        <v>3</v>
      </c>
      <c r="GD36">
        <v>1</v>
      </c>
      <c r="GF36">
        <v>765240901</v>
      </c>
      <c r="GG36">
        <v>2</v>
      </c>
      <c r="GH36">
        <v>1</v>
      </c>
      <c r="GI36">
        <v>-2</v>
      </c>
      <c r="GJ36">
        <v>0</v>
      </c>
      <c r="GK36">
        <v>0</v>
      </c>
      <c r="GL36">
        <f t="shared" si="42"/>
        <v>0</v>
      </c>
      <c r="GM36">
        <f t="shared" si="43"/>
        <v>686.08</v>
      </c>
      <c r="GN36">
        <f t="shared" si="44"/>
        <v>686.08</v>
      </c>
      <c r="GO36">
        <f t="shared" si="45"/>
        <v>0</v>
      </c>
      <c r="GP36">
        <f t="shared" si="46"/>
        <v>0</v>
      </c>
      <c r="GR36">
        <v>0</v>
      </c>
      <c r="GS36">
        <v>3</v>
      </c>
      <c r="GT36">
        <v>0</v>
      </c>
      <c r="GU36" t="s">
        <v>3</v>
      </c>
      <c r="GV36">
        <f t="shared" si="47"/>
        <v>0</v>
      </c>
      <c r="GW36">
        <v>1</v>
      </c>
      <c r="GX36">
        <f t="shared" si="48"/>
        <v>0</v>
      </c>
      <c r="HA36">
        <v>0</v>
      </c>
      <c r="HB36">
        <v>0</v>
      </c>
      <c r="HC36">
        <f t="shared" si="49"/>
        <v>0</v>
      </c>
      <c r="HE36" t="s">
        <v>3</v>
      </c>
      <c r="HF36" t="s">
        <v>3</v>
      </c>
      <c r="HM36" t="s">
        <v>3</v>
      </c>
      <c r="HN36" t="s">
        <v>69</v>
      </c>
      <c r="HO36" t="s">
        <v>70</v>
      </c>
      <c r="HP36" t="s">
        <v>67</v>
      </c>
      <c r="HQ36" t="s">
        <v>67</v>
      </c>
      <c r="IK36">
        <v>0</v>
      </c>
    </row>
    <row r="37" spans="1:245" x14ac:dyDescent="0.2">
      <c r="A37">
        <v>17</v>
      </c>
      <c r="B37">
        <v>1</v>
      </c>
      <c r="C37">
        <f>ROW(SmtRes!A48)</f>
        <v>48</v>
      </c>
      <c r="D37">
        <f>ROW(EtalonRes!A48)</f>
        <v>48</v>
      </c>
      <c r="E37" t="s">
        <v>71</v>
      </c>
      <c r="F37" t="s">
        <v>72</v>
      </c>
      <c r="G37" t="s">
        <v>73</v>
      </c>
      <c r="H37" t="s">
        <v>39</v>
      </c>
      <c r="I37">
        <v>0.04</v>
      </c>
      <c r="J37">
        <v>0</v>
      </c>
      <c r="K37">
        <v>0.04</v>
      </c>
      <c r="O37">
        <f t="shared" si="23"/>
        <v>1582.77</v>
      </c>
      <c r="P37">
        <f>SUMIF(SmtRes!AQ40:'SmtRes'!AQ48,"=1",SmtRes!DF40:'SmtRes'!DF48)</f>
        <v>868.54</v>
      </c>
      <c r="Q37">
        <f>SUMIF(SmtRes!AQ40:'SmtRes'!AQ48,"=1",SmtRes!DG40:'SmtRes'!DG48)</f>
        <v>6</v>
      </c>
      <c r="R37">
        <f>SUMIF(SmtRes!AQ40:'SmtRes'!AQ48,"=1",SmtRes!DH40:'SmtRes'!DH48)</f>
        <v>3.3</v>
      </c>
      <c r="S37">
        <f>SUMIF(SmtRes!AQ40:'SmtRes'!AQ48,"=1",SmtRes!DI40:'SmtRes'!DI48)</f>
        <v>704.93</v>
      </c>
      <c r="T37">
        <f t="shared" si="24"/>
        <v>0</v>
      </c>
      <c r="U37">
        <f t="shared" si="25"/>
        <v>2.8989199999999999</v>
      </c>
      <c r="V37">
        <f t="shared" si="26"/>
        <v>1.2500000000000001E-2</v>
      </c>
      <c r="W37">
        <f t="shared" si="27"/>
        <v>0</v>
      </c>
      <c r="X37">
        <f t="shared" si="28"/>
        <v>637.41</v>
      </c>
      <c r="Y37">
        <f t="shared" si="29"/>
        <v>294.98</v>
      </c>
      <c r="AA37">
        <v>59552816</v>
      </c>
      <c r="AB37">
        <f t="shared" si="30"/>
        <v>39524.43</v>
      </c>
      <c r="AC37">
        <f>ROUND((SUM(SmtRes!BQ40:'SmtRes'!BQ48)),2)</f>
        <v>21686.25</v>
      </c>
      <c r="AD37">
        <f>ROUND((SUM(SmtRes!BR40:'SmtRes'!BR48)),2)</f>
        <v>132.58000000000001</v>
      </c>
      <c r="AE37">
        <f>ROUND((SUM(SmtRes!BS40:'SmtRes'!BS48)),2)</f>
        <v>82.34</v>
      </c>
      <c r="AF37">
        <f>ROUND((SUM(SmtRes!BT40:'SmtRes'!BT48)),2)</f>
        <v>17623.259999999998</v>
      </c>
      <c r="AG37">
        <f t="shared" si="32"/>
        <v>0</v>
      </c>
      <c r="AH37">
        <f>(SUM(SmtRes!BU40:'SmtRes'!BU48))</f>
        <v>72.472999999999999</v>
      </c>
      <c r="AI37">
        <f>(SUM(SmtRes!BV40:'SmtRes'!BV48))</f>
        <v>0.3125</v>
      </c>
      <c r="AJ37">
        <f t="shared" si="33"/>
        <v>0</v>
      </c>
      <c r="AK37">
        <v>37182.763400000003</v>
      </c>
      <c r="AL37">
        <v>21686.253799999999</v>
      </c>
      <c r="AM37">
        <v>106.06070000000001</v>
      </c>
      <c r="AN37">
        <v>65.875499999999988</v>
      </c>
      <c r="AO37">
        <v>15324.573399999999</v>
      </c>
      <c r="AP37">
        <v>0</v>
      </c>
      <c r="AQ37">
        <v>63.02</v>
      </c>
      <c r="AR37">
        <v>0.25</v>
      </c>
      <c r="AS37">
        <v>0</v>
      </c>
      <c r="AT37">
        <v>90</v>
      </c>
      <c r="AU37">
        <v>41.65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1</v>
      </c>
      <c r="BJ37" t="s">
        <v>74</v>
      </c>
      <c r="BM37">
        <v>15001</v>
      </c>
      <c r="BN37">
        <v>0</v>
      </c>
      <c r="BO37" t="s">
        <v>3</v>
      </c>
      <c r="BP37">
        <v>0</v>
      </c>
      <c r="BQ37">
        <v>2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100</v>
      </c>
      <c r="CA37">
        <v>49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</v>
      </c>
      <c r="CO37">
        <v>0</v>
      </c>
      <c r="CP37">
        <f t="shared" si="34"/>
        <v>1582.7699999999998</v>
      </c>
      <c r="CQ37">
        <f>SUMIF(SmtRes!AQ40:'SmtRes'!AQ48,"=1",SmtRes!AA40:'SmtRes'!AA48)</f>
        <v>516333.3</v>
      </c>
      <c r="CR37">
        <f>SUMIF(SmtRes!AQ40:'SmtRes'!AQ48,"=1",SmtRes!AB40:'SmtRes'!AB48)</f>
        <v>580.15</v>
      </c>
      <c r="CS37">
        <f>SUMIF(SmtRes!AQ40:'SmtRes'!AQ48,"=1",SmtRes!AC40:'SmtRes'!AC48)</f>
        <v>504.28</v>
      </c>
      <c r="CT37">
        <f>SUMIF(SmtRes!AQ40:'SmtRes'!AQ48,"=1",SmtRes!AD40:'SmtRes'!AD48)</f>
        <v>243.17</v>
      </c>
      <c r="CU37">
        <f t="shared" si="35"/>
        <v>0</v>
      </c>
      <c r="CV37">
        <f t="shared" si="36"/>
        <v>72.472999999999999</v>
      </c>
      <c r="CW37">
        <f t="shared" si="37"/>
        <v>0.3125</v>
      </c>
      <c r="CX37">
        <f t="shared" si="38"/>
        <v>0</v>
      </c>
      <c r="CY37">
        <f t="shared" si="39"/>
        <v>637.40699999999993</v>
      </c>
      <c r="CZ37">
        <f t="shared" si="40"/>
        <v>294.97779499999996</v>
      </c>
      <c r="DC37" t="s">
        <v>3</v>
      </c>
      <c r="DD37" t="s">
        <v>3</v>
      </c>
      <c r="DE37" t="s">
        <v>28</v>
      </c>
      <c r="DF37" t="s">
        <v>28</v>
      </c>
      <c r="DG37" t="s">
        <v>29</v>
      </c>
      <c r="DH37" t="s">
        <v>3</v>
      </c>
      <c r="DI37" t="s">
        <v>29</v>
      </c>
      <c r="DJ37" t="s">
        <v>28</v>
      </c>
      <c r="DK37" t="s">
        <v>3</v>
      </c>
      <c r="DL37" t="s">
        <v>30</v>
      </c>
      <c r="DM37" t="s">
        <v>31</v>
      </c>
      <c r="DN37">
        <v>0</v>
      </c>
      <c r="DO37">
        <v>0</v>
      </c>
      <c r="DP37">
        <v>1</v>
      </c>
      <c r="DQ37">
        <v>1</v>
      </c>
      <c r="DU37">
        <v>1005</v>
      </c>
      <c r="DV37" t="s">
        <v>39</v>
      </c>
      <c r="DW37" t="s">
        <v>39</v>
      </c>
      <c r="DX37">
        <v>100</v>
      </c>
      <c r="DZ37" t="s">
        <v>3</v>
      </c>
      <c r="EA37" t="s">
        <v>3</v>
      </c>
      <c r="EB37" t="s">
        <v>3</v>
      </c>
      <c r="EC37" t="s">
        <v>3</v>
      </c>
      <c r="EE37">
        <v>57922201</v>
      </c>
      <c r="EF37">
        <v>2</v>
      </c>
      <c r="EG37" t="s">
        <v>32</v>
      </c>
      <c r="EH37">
        <v>15</v>
      </c>
      <c r="EI37" t="s">
        <v>60</v>
      </c>
      <c r="EJ37">
        <v>1</v>
      </c>
      <c r="EK37">
        <v>15001</v>
      </c>
      <c r="EL37" t="s">
        <v>60</v>
      </c>
      <c r="EM37" t="s">
        <v>61</v>
      </c>
      <c r="EO37" t="s">
        <v>3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63.02</v>
      </c>
      <c r="EX37">
        <v>0.25</v>
      </c>
      <c r="EY37">
        <v>0</v>
      </c>
      <c r="FQ37">
        <v>0</v>
      </c>
      <c r="FR37">
        <f t="shared" si="41"/>
        <v>0</v>
      </c>
      <c r="FS37">
        <v>0</v>
      </c>
      <c r="FX37">
        <v>90</v>
      </c>
      <c r="FY37">
        <v>41.65</v>
      </c>
      <c r="GA37" t="s">
        <v>3</v>
      </c>
      <c r="GD37">
        <v>1</v>
      </c>
      <c r="GF37">
        <v>1174067881</v>
      </c>
      <c r="GG37">
        <v>2</v>
      </c>
      <c r="GH37">
        <v>1</v>
      </c>
      <c r="GI37">
        <v>-2</v>
      </c>
      <c r="GJ37">
        <v>0</v>
      </c>
      <c r="GK37">
        <v>0</v>
      </c>
      <c r="GL37">
        <f t="shared" si="42"/>
        <v>0</v>
      </c>
      <c r="GM37">
        <f t="shared" si="43"/>
        <v>2515.16</v>
      </c>
      <c r="GN37">
        <f t="shared" si="44"/>
        <v>2515.16</v>
      </c>
      <c r="GO37">
        <f t="shared" si="45"/>
        <v>0</v>
      </c>
      <c r="GP37">
        <f t="shared" si="46"/>
        <v>0</v>
      </c>
      <c r="GR37">
        <v>0</v>
      </c>
      <c r="GS37">
        <v>3</v>
      </c>
      <c r="GT37">
        <v>0</v>
      </c>
      <c r="GU37" t="s">
        <v>3</v>
      </c>
      <c r="GV37">
        <f t="shared" si="47"/>
        <v>0</v>
      </c>
      <c r="GW37">
        <v>1</v>
      </c>
      <c r="GX37">
        <f t="shared" si="48"/>
        <v>0</v>
      </c>
      <c r="HA37">
        <v>0</v>
      </c>
      <c r="HB37">
        <v>0</v>
      </c>
      <c r="HC37">
        <f t="shared" si="49"/>
        <v>0</v>
      </c>
      <c r="HE37" t="s">
        <v>3</v>
      </c>
      <c r="HF37" t="s">
        <v>3</v>
      </c>
      <c r="HM37" t="s">
        <v>3</v>
      </c>
      <c r="HN37" t="s">
        <v>62</v>
      </c>
      <c r="HO37" t="s">
        <v>63</v>
      </c>
      <c r="HP37" t="s">
        <v>60</v>
      </c>
      <c r="HQ37" t="s">
        <v>60</v>
      </c>
      <c r="IK37">
        <v>0</v>
      </c>
    </row>
    <row r="38" spans="1:245" x14ac:dyDescent="0.2">
      <c r="A38">
        <v>17</v>
      </c>
      <c r="B38">
        <v>1</v>
      </c>
      <c r="C38">
        <f>ROW(SmtRes!A54)</f>
        <v>54</v>
      </c>
      <c r="D38">
        <f>ROW(EtalonRes!A54)</f>
        <v>54</v>
      </c>
      <c r="E38" t="s">
        <v>75</v>
      </c>
      <c r="F38" t="s">
        <v>76</v>
      </c>
      <c r="G38" t="s">
        <v>77</v>
      </c>
      <c r="H38" t="s">
        <v>39</v>
      </c>
      <c r="I38">
        <v>0.65</v>
      </c>
      <c r="J38">
        <v>0</v>
      </c>
      <c r="K38">
        <v>0.65</v>
      </c>
      <c r="O38">
        <f t="shared" si="23"/>
        <v>1933.12</v>
      </c>
      <c r="P38">
        <f>SUMIF(SmtRes!AQ49:'SmtRes'!AQ54,"=1",SmtRes!DF49:'SmtRes'!DF54)</f>
        <v>790.22</v>
      </c>
      <c r="Q38">
        <f>SUMIF(SmtRes!AQ49:'SmtRes'!AQ54,"=1",SmtRes!DG49:'SmtRes'!DG54)</f>
        <v>4.79</v>
      </c>
      <c r="R38">
        <f>SUMIF(SmtRes!AQ49:'SmtRes'!AQ54,"=1",SmtRes!DH49:'SmtRes'!DH54)</f>
        <v>4.0999999999999996</v>
      </c>
      <c r="S38">
        <f>SUMIF(SmtRes!AQ49:'SmtRes'!AQ54,"=1",SmtRes!DI49:'SmtRes'!DI54)</f>
        <v>1134.01</v>
      </c>
      <c r="T38">
        <f t="shared" si="24"/>
        <v>0</v>
      </c>
      <c r="U38">
        <f t="shared" si="25"/>
        <v>4.2458</v>
      </c>
      <c r="V38">
        <f t="shared" si="26"/>
        <v>1.6250000000000001E-2</v>
      </c>
      <c r="W38">
        <f t="shared" si="27"/>
        <v>0</v>
      </c>
      <c r="X38">
        <f t="shared" si="28"/>
        <v>1024.3</v>
      </c>
      <c r="Y38">
        <f t="shared" si="29"/>
        <v>474.02</v>
      </c>
      <c r="AA38">
        <v>59552816</v>
      </c>
      <c r="AB38">
        <f t="shared" si="30"/>
        <v>2968.15</v>
      </c>
      <c r="AC38">
        <f>ROUND((SUM(SmtRes!BQ49:'SmtRes'!BQ54)),2)</f>
        <v>1210.78</v>
      </c>
      <c r="AD38">
        <f>ROUND((SUM(SmtRes!BR49:'SmtRes'!BR54)),2)</f>
        <v>6.44</v>
      </c>
      <c r="AE38">
        <f>ROUND((SUM(SmtRes!BS49:'SmtRes'!BS54)),2)</f>
        <v>6.3</v>
      </c>
      <c r="AF38">
        <f>ROUND((SUM(SmtRes!BT49:'SmtRes'!BT54)),2)</f>
        <v>1744.63</v>
      </c>
      <c r="AG38">
        <f t="shared" si="32"/>
        <v>0</v>
      </c>
      <c r="AH38">
        <f>(SUM(SmtRes!BU49:'SmtRes'!BU54))</f>
        <v>6.5319999999999991</v>
      </c>
      <c r="AI38">
        <f>(SUM(SmtRes!BV49:'SmtRes'!BV54))</f>
        <v>2.5000000000000001E-2</v>
      </c>
      <c r="AJ38">
        <f t="shared" si="33"/>
        <v>0</v>
      </c>
      <c r="AK38">
        <v>2738.0473999999999</v>
      </c>
      <c r="AL38">
        <v>1210.7809999999999</v>
      </c>
      <c r="AM38">
        <v>5.1524000000000001</v>
      </c>
      <c r="AN38">
        <v>5.0427999999999997</v>
      </c>
      <c r="AO38">
        <v>1517.0711999999999</v>
      </c>
      <c r="AP38">
        <v>0</v>
      </c>
      <c r="AQ38">
        <v>5.68</v>
      </c>
      <c r="AR38">
        <v>0.02</v>
      </c>
      <c r="AS38">
        <v>0</v>
      </c>
      <c r="AT38">
        <v>90</v>
      </c>
      <c r="AU38">
        <v>41.65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0</v>
      </c>
      <c r="BI38">
        <v>1</v>
      </c>
      <c r="BJ38" t="s">
        <v>78</v>
      </c>
      <c r="BM38">
        <v>15001</v>
      </c>
      <c r="BN38">
        <v>0</v>
      </c>
      <c r="BO38" t="s">
        <v>3</v>
      </c>
      <c r="BP38">
        <v>0</v>
      </c>
      <c r="BQ38">
        <v>2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100</v>
      </c>
      <c r="CA38">
        <v>49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4"/>
        <v>1933.12</v>
      </c>
      <c r="CQ38">
        <f>SUMIF(SmtRes!AQ49:'SmtRes'!AQ54,"=1",SmtRes!AA49:'SmtRes'!AA54)</f>
        <v>117106.23</v>
      </c>
      <c r="CR38">
        <f>SUMIF(SmtRes!AQ49:'SmtRes'!AQ54,"=1",SmtRes!AB49:'SmtRes'!AB54)</f>
        <v>588.93999999999994</v>
      </c>
      <c r="CS38">
        <f>SUMIF(SmtRes!AQ49:'SmtRes'!AQ54,"=1",SmtRes!AC49:'SmtRes'!AC54)</f>
        <v>504.28</v>
      </c>
      <c r="CT38">
        <f>SUMIF(SmtRes!AQ49:'SmtRes'!AQ54,"=1",SmtRes!AD49:'SmtRes'!AD54)</f>
        <v>267.08999999999997</v>
      </c>
      <c r="CU38">
        <f t="shared" si="35"/>
        <v>0</v>
      </c>
      <c r="CV38">
        <f t="shared" si="36"/>
        <v>6.5319999999999991</v>
      </c>
      <c r="CW38">
        <f t="shared" si="37"/>
        <v>2.5000000000000001E-2</v>
      </c>
      <c r="CX38">
        <f t="shared" si="38"/>
        <v>0</v>
      </c>
      <c r="CY38">
        <f t="shared" si="39"/>
        <v>1024.299</v>
      </c>
      <c r="CZ38">
        <f t="shared" si="40"/>
        <v>474.02281499999998</v>
      </c>
      <c r="DC38" t="s">
        <v>3</v>
      </c>
      <c r="DD38" t="s">
        <v>3</v>
      </c>
      <c r="DE38" t="s">
        <v>28</v>
      </c>
      <c r="DF38" t="s">
        <v>28</v>
      </c>
      <c r="DG38" t="s">
        <v>29</v>
      </c>
      <c r="DH38" t="s">
        <v>3</v>
      </c>
      <c r="DI38" t="s">
        <v>29</v>
      </c>
      <c r="DJ38" t="s">
        <v>28</v>
      </c>
      <c r="DK38" t="s">
        <v>3</v>
      </c>
      <c r="DL38" t="s">
        <v>30</v>
      </c>
      <c r="DM38" t="s">
        <v>31</v>
      </c>
      <c r="DN38">
        <v>0</v>
      </c>
      <c r="DO38">
        <v>0</v>
      </c>
      <c r="DP38">
        <v>1</v>
      </c>
      <c r="DQ38">
        <v>1</v>
      </c>
      <c r="DU38">
        <v>1005</v>
      </c>
      <c r="DV38" t="s">
        <v>39</v>
      </c>
      <c r="DW38" t="s">
        <v>39</v>
      </c>
      <c r="DX38">
        <v>100</v>
      </c>
      <c r="DZ38" t="s">
        <v>3</v>
      </c>
      <c r="EA38" t="s">
        <v>3</v>
      </c>
      <c r="EB38" t="s">
        <v>3</v>
      </c>
      <c r="EC38" t="s">
        <v>3</v>
      </c>
      <c r="EE38">
        <v>57922201</v>
      </c>
      <c r="EF38">
        <v>2</v>
      </c>
      <c r="EG38" t="s">
        <v>32</v>
      </c>
      <c r="EH38">
        <v>15</v>
      </c>
      <c r="EI38" t="s">
        <v>60</v>
      </c>
      <c r="EJ38">
        <v>1</v>
      </c>
      <c r="EK38">
        <v>15001</v>
      </c>
      <c r="EL38" t="s">
        <v>60</v>
      </c>
      <c r="EM38" t="s">
        <v>61</v>
      </c>
      <c r="EO38" t="s">
        <v>3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5.68</v>
      </c>
      <c r="EX38">
        <v>0.02</v>
      </c>
      <c r="EY38">
        <v>0</v>
      </c>
      <c r="FQ38">
        <v>0</v>
      </c>
      <c r="FR38">
        <f t="shared" si="41"/>
        <v>0</v>
      </c>
      <c r="FS38">
        <v>0</v>
      </c>
      <c r="FX38">
        <v>90</v>
      </c>
      <c r="FY38">
        <v>41.65</v>
      </c>
      <c r="GA38" t="s">
        <v>3</v>
      </c>
      <c r="GD38">
        <v>1</v>
      </c>
      <c r="GF38">
        <v>1447682791</v>
      </c>
      <c r="GG38">
        <v>2</v>
      </c>
      <c r="GH38">
        <v>1</v>
      </c>
      <c r="GI38">
        <v>-2</v>
      </c>
      <c r="GJ38">
        <v>0</v>
      </c>
      <c r="GK38">
        <v>0</v>
      </c>
      <c r="GL38">
        <f t="shared" si="42"/>
        <v>0</v>
      </c>
      <c r="GM38">
        <f t="shared" si="43"/>
        <v>3431.44</v>
      </c>
      <c r="GN38">
        <f t="shared" si="44"/>
        <v>3431.44</v>
      </c>
      <c r="GO38">
        <f t="shared" si="45"/>
        <v>0</v>
      </c>
      <c r="GP38">
        <f t="shared" si="46"/>
        <v>0</v>
      </c>
      <c r="GR38">
        <v>0</v>
      </c>
      <c r="GS38">
        <v>3</v>
      </c>
      <c r="GT38">
        <v>0</v>
      </c>
      <c r="GU38" t="s">
        <v>3</v>
      </c>
      <c r="GV38">
        <f t="shared" si="47"/>
        <v>0</v>
      </c>
      <c r="GW38">
        <v>1</v>
      </c>
      <c r="GX38">
        <f t="shared" si="48"/>
        <v>0</v>
      </c>
      <c r="HA38">
        <v>0</v>
      </c>
      <c r="HB38">
        <v>0</v>
      </c>
      <c r="HC38">
        <f t="shared" si="49"/>
        <v>0</v>
      </c>
      <c r="HE38" t="s">
        <v>3</v>
      </c>
      <c r="HF38" t="s">
        <v>3</v>
      </c>
      <c r="HM38" t="s">
        <v>3</v>
      </c>
      <c r="HN38" t="s">
        <v>62</v>
      </c>
      <c r="HO38" t="s">
        <v>63</v>
      </c>
      <c r="HP38" t="s">
        <v>60</v>
      </c>
      <c r="HQ38" t="s">
        <v>60</v>
      </c>
      <c r="IK38">
        <v>0</v>
      </c>
    </row>
    <row r="39" spans="1:245" x14ac:dyDescent="0.2">
      <c r="A39">
        <v>17</v>
      </c>
      <c r="B39">
        <v>1</v>
      </c>
      <c r="C39">
        <f>ROW(SmtRes!A61)</f>
        <v>61</v>
      </c>
      <c r="D39">
        <f>ROW(EtalonRes!A61)</f>
        <v>61</v>
      </c>
      <c r="E39" t="s">
        <v>79</v>
      </c>
      <c r="F39" t="s">
        <v>80</v>
      </c>
      <c r="G39" t="s">
        <v>81</v>
      </c>
      <c r="H39" t="s">
        <v>39</v>
      </c>
      <c r="I39">
        <v>0.81030000000000002</v>
      </c>
      <c r="J39">
        <v>0</v>
      </c>
      <c r="K39">
        <v>0.81030000000000002</v>
      </c>
      <c r="O39">
        <f t="shared" si="23"/>
        <v>6833.1</v>
      </c>
      <c r="P39">
        <f>SUMIF(SmtRes!AQ55:'SmtRes'!AQ61,"=1",SmtRes!DF55:'SmtRes'!DF61)</f>
        <v>4123.18</v>
      </c>
      <c r="Q39">
        <f>SUMIF(SmtRes!AQ55:'SmtRes'!AQ61,"=1",SmtRes!DG55:'SmtRes'!DG61)</f>
        <v>16.91</v>
      </c>
      <c r="R39">
        <f>SUMIF(SmtRes!AQ55:'SmtRes'!AQ61,"=1",SmtRes!DH55:'SmtRes'!DH61)</f>
        <v>10.52</v>
      </c>
      <c r="S39">
        <f>SUMIF(SmtRes!AQ55:'SmtRes'!AQ61,"=1",SmtRes!DI55:'SmtRes'!DI61)</f>
        <v>2682.49</v>
      </c>
      <c r="T39">
        <f t="shared" si="24"/>
        <v>0</v>
      </c>
      <c r="U39">
        <f t="shared" si="25"/>
        <v>10.1571105</v>
      </c>
      <c r="V39">
        <f t="shared" si="26"/>
        <v>4.0515000000000002E-2</v>
      </c>
      <c r="W39">
        <f t="shared" si="27"/>
        <v>0</v>
      </c>
      <c r="X39">
        <f t="shared" si="28"/>
        <v>2423.71</v>
      </c>
      <c r="Y39">
        <f t="shared" si="29"/>
        <v>1121.6400000000001</v>
      </c>
      <c r="AA39">
        <v>59552816</v>
      </c>
      <c r="AB39">
        <f t="shared" si="30"/>
        <v>8376.15</v>
      </c>
      <c r="AC39">
        <f>ROUND((SUM(SmtRes!BQ55:'SmtRes'!BQ61)),2)</f>
        <v>5034.29</v>
      </c>
      <c r="AD39">
        <f>ROUND((SUM(SmtRes!BR55:'SmtRes'!BR61)),2)</f>
        <v>18.39</v>
      </c>
      <c r="AE39">
        <f>ROUND((SUM(SmtRes!BS55:'SmtRes'!BS61)),2)</f>
        <v>12.98</v>
      </c>
      <c r="AF39">
        <f>ROUND((SUM(SmtRes!BT55:'SmtRes'!BT61)),2)</f>
        <v>3310.49</v>
      </c>
      <c r="AG39">
        <f t="shared" si="32"/>
        <v>0</v>
      </c>
      <c r="AH39">
        <f>(SUM(SmtRes!BU55:'SmtRes'!BU61))</f>
        <v>12.535</v>
      </c>
      <c r="AI39">
        <f>(SUM(SmtRes!BV55:'SmtRes'!BV61))</f>
        <v>0.05</v>
      </c>
      <c r="AJ39">
        <f t="shared" si="33"/>
        <v>0</v>
      </c>
      <c r="AK39">
        <v>7938.072900000001</v>
      </c>
      <c r="AL39">
        <v>5034.2875000000004</v>
      </c>
      <c r="AM39">
        <v>14.710800000000001</v>
      </c>
      <c r="AN39">
        <v>10.384599999999999</v>
      </c>
      <c r="AO39">
        <v>2878.6900000000005</v>
      </c>
      <c r="AP39">
        <v>0</v>
      </c>
      <c r="AQ39">
        <v>10.9</v>
      </c>
      <c r="AR39">
        <v>0.04</v>
      </c>
      <c r="AS39">
        <v>0</v>
      </c>
      <c r="AT39">
        <v>90</v>
      </c>
      <c r="AU39">
        <v>41.65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1</v>
      </c>
      <c r="BJ39" t="s">
        <v>82</v>
      </c>
      <c r="BM39">
        <v>15001</v>
      </c>
      <c r="BN39">
        <v>0</v>
      </c>
      <c r="BO39" t="s">
        <v>3</v>
      </c>
      <c r="BP39">
        <v>0</v>
      </c>
      <c r="BQ39">
        <v>2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100</v>
      </c>
      <c r="CA39">
        <v>49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3</v>
      </c>
      <c r="CO39">
        <v>0</v>
      </c>
      <c r="CP39">
        <f t="shared" si="34"/>
        <v>6833.1</v>
      </c>
      <c r="CQ39">
        <f>SUMIF(SmtRes!AQ55:'SmtRes'!AQ61,"=1",SmtRes!AA55:'SmtRes'!AA61)</f>
        <v>93318.3</v>
      </c>
      <c r="CR39">
        <f>SUMIF(SmtRes!AQ55:'SmtRes'!AQ61,"=1",SmtRes!AB55:'SmtRes'!AB61)</f>
        <v>588.93999999999994</v>
      </c>
      <c r="CS39">
        <f>SUMIF(SmtRes!AQ55:'SmtRes'!AQ61,"=1",SmtRes!AC55:'SmtRes'!AC61)</f>
        <v>504.28</v>
      </c>
      <c r="CT39">
        <f>SUMIF(SmtRes!AQ55:'SmtRes'!AQ61,"=1",SmtRes!AD55:'SmtRes'!AD61)</f>
        <v>264.10000000000002</v>
      </c>
      <c r="CU39">
        <f t="shared" si="35"/>
        <v>0</v>
      </c>
      <c r="CV39">
        <f t="shared" si="36"/>
        <v>12.535</v>
      </c>
      <c r="CW39">
        <f t="shared" si="37"/>
        <v>0.05</v>
      </c>
      <c r="CX39">
        <f t="shared" si="38"/>
        <v>0</v>
      </c>
      <c r="CY39">
        <f t="shared" si="39"/>
        <v>2423.7089999999998</v>
      </c>
      <c r="CZ39">
        <f t="shared" si="40"/>
        <v>1121.6386649999999</v>
      </c>
      <c r="DC39" t="s">
        <v>3</v>
      </c>
      <c r="DD39" t="s">
        <v>3</v>
      </c>
      <c r="DE39" t="s">
        <v>28</v>
      </c>
      <c r="DF39" t="s">
        <v>28</v>
      </c>
      <c r="DG39" t="s">
        <v>29</v>
      </c>
      <c r="DH39" t="s">
        <v>3</v>
      </c>
      <c r="DI39" t="s">
        <v>29</v>
      </c>
      <c r="DJ39" t="s">
        <v>28</v>
      </c>
      <c r="DK39" t="s">
        <v>3</v>
      </c>
      <c r="DL39" t="s">
        <v>30</v>
      </c>
      <c r="DM39" t="s">
        <v>31</v>
      </c>
      <c r="DN39">
        <v>0</v>
      </c>
      <c r="DO39">
        <v>0</v>
      </c>
      <c r="DP39">
        <v>1</v>
      </c>
      <c r="DQ39">
        <v>1</v>
      </c>
      <c r="DU39">
        <v>1005</v>
      </c>
      <c r="DV39" t="s">
        <v>39</v>
      </c>
      <c r="DW39" t="s">
        <v>39</v>
      </c>
      <c r="DX39">
        <v>100</v>
      </c>
      <c r="DZ39" t="s">
        <v>3</v>
      </c>
      <c r="EA39" t="s">
        <v>3</v>
      </c>
      <c r="EB39" t="s">
        <v>3</v>
      </c>
      <c r="EC39" t="s">
        <v>3</v>
      </c>
      <c r="EE39">
        <v>57922201</v>
      </c>
      <c r="EF39">
        <v>2</v>
      </c>
      <c r="EG39" t="s">
        <v>32</v>
      </c>
      <c r="EH39">
        <v>15</v>
      </c>
      <c r="EI39" t="s">
        <v>60</v>
      </c>
      <c r="EJ39">
        <v>1</v>
      </c>
      <c r="EK39">
        <v>15001</v>
      </c>
      <c r="EL39" t="s">
        <v>60</v>
      </c>
      <c r="EM39" t="s">
        <v>61</v>
      </c>
      <c r="EO39" t="s">
        <v>3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10.9</v>
      </c>
      <c r="EX39">
        <v>0.04</v>
      </c>
      <c r="EY39">
        <v>0</v>
      </c>
      <c r="FQ39">
        <v>0</v>
      </c>
      <c r="FR39">
        <f t="shared" si="41"/>
        <v>0</v>
      </c>
      <c r="FS39">
        <v>0</v>
      </c>
      <c r="FX39">
        <v>90</v>
      </c>
      <c r="FY39">
        <v>41.65</v>
      </c>
      <c r="GA39" t="s">
        <v>3</v>
      </c>
      <c r="GD39">
        <v>1</v>
      </c>
      <c r="GF39">
        <v>-649932567</v>
      </c>
      <c r="GG39">
        <v>2</v>
      </c>
      <c r="GH39">
        <v>1</v>
      </c>
      <c r="GI39">
        <v>-2</v>
      </c>
      <c r="GJ39">
        <v>0</v>
      </c>
      <c r="GK39">
        <v>0</v>
      </c>
      <c r="GL39">
        <f t="shared" si="42"/>
        <v>0</v>
      </c>
      <c r="GM39">
        <f t="shared" si="43"/>
        <v>10378.450000000001</v>
      </c>
      <c r="GN39">
        <f t="shared" si="44"/>
        <v>10378.450000000001</v>
      </c>
      <c r="GO39">
        <f t="shared" si="45"/>
        <v>0</v>
      </c>
      <c r="GP39">
        <f t="shared" si="46"/>
        <v>0</v>
      </c>
      <c r="GR39">
        <v>0</v>
      </c>
      <c r="GS39">
        <v>3</v>
      </c>
      <c r="GT39">
        <v>0</v>
      </c>
      <c r="GU39" t="s">
        <v>3</v>
      </c>
      <c r="GV39">
        <f t="shared" si="47"/>
        <v>0</v>
      </c>
      <c r="GW39">
        <v>1</v>
      </c>
      <c r="GX39">
        <f t="shared" si="48"/>
        <v>0</v>
      </c>
      <c r="HA39">
        <v>0</v>
      </c>
      <c r="HB39">
        <v>0</v>
      </c>
      <c r="HC39">
        <f t="shared" si="49"/>
        <v>0</v>
      </c>
      <c r="HE39" t="s">
        <v>3</v>
      </c>
      <c r="HF39" t="s">
        <v>3</v>
      </c>
      <c r="HM39" t="s">
        <v>3</v>
      </c>
      <c r="HN39" t="s">
        <v>62</v>
      </c>
      <c r="HO39" t="s">
        <v>63</v>
      </c>
      <c r="HP39" t="s">
        <v>60</v>
      </c>
      <c r="HQ39" t="s">
        <v>60</v>
      </c>
      <c r="IK39">
        <v>0</v>
      </c>
    </row>
    <row r="40" spans="1:245" x14ac:dyDescent="0.2">
      <c r="A40">
        <v>17</v>
      </c>
      <c r="B40">
        <v>1</v>
      </c>
      <c r="C40">
        <f>ROW(SmtRes!A68)</f>
        <v>68</v>
      </c>
      <c r="D40">
        <f>ROW(EtalonRes!A68)</f>
        <v>68</v>
      </c>
      <c r="E40" t="s">
        <v>83</v>
      </c>
      <c r="F40" t="s">
        <v>84</v>
      </c>
      <c r="G40" t="s">
        <v>85</v>
      </c>
      <c r="H40" t="s">
        <v>39</v>
      </c>
      <c r="I40">
        <v>0.65</v>
      </c>
      <c r="J40">
        <v>0</v>
      </c>
      <c r="K40">
        <v>0.65</v>
      </c>
      <c r="O40">
        <f t="shared" si="23"/>
        <v>6478</v>
      </c>
      <c r="P40">
        <f>SUMIF(SmtRes!AQ62:'SmtRes'!AQ68,"=1",SmtRes!DF62:'SmtRes'!DF68)</f>
        <v>3488.22</v>
      </c>
      <c r="Q40">
        <f>SUMIF(SmtRes!AQ62:'SmtRes'!AQ68,"=1",SmtRes!DG62:'SmtRes'!DG68)</f>
        <v>17.95</v>
      </c>
      <c r="R40">
        <f>SUMIF(SmtRes!AQ62:'SmtRes'!AQ68,"=1",SmtRes!DH62:'SmtRes'!DH68)</f>
        <v>10.61</v>
      </c>
      <c r="S40">
        <f>SUMIF(SmtRes!AQ62:'SmtRes'!AQ68,"=1",SmtRes!DI62:'SmtRes'!DI68)</f>
        <v>2961.22</v>
      </c>
      <c r="T40">
        <f t="shared" si="24"/>
        <v>0</v>
      </c>
      <c r="U40">
        <f t="shared" si="25"/>
        <v>11.2125</v>
      </c>
      <c r="V40">
        <f t="shared" si="26"/>
        <v>4.0625000000000001E-2</v>
      </c>
      <c r="W40">
        <f t="shared" si="27"/>
        <v>0</v>
      </c>
      <c r="X40">
        <f t="shared" si="28"/>
        <v>2674.65</v>
      </c>
      <c r="Y40">
        <f t="shared" si="29"/>
        <v>1237.77</v>
      </c>
      <c r="AA40">
        <v>59552816</v>
      </c>
      <c r="AB40">
        <f t="shared" si="30"/>
        <v>9908.7099999999991</v>
      </c>
      <c r="AC40">
        <f>ROUND((SUM(SmtRes!BQ62:'SmtRes'!BQ68)),2)</f>
        <v>5312.3</v>
      </c>
      <c r="AD40">
        <f>ROUND((SUM(SmtRes!BR62:'SmtRes'!BR68)),2)</f>
        <v>24.36</v>
      </c>
      <c r="AE40">
        <f>ROUND((SUM(SmtRes!BS62:'SmtRes'!BS68)),2)</f>
        <v>16.32</v>
      </c>
      <c r="AF40">
        <f>ROUND((SUM(SmtRes!BT62:'SmtRes'!BT68)),2)</f>
        <v>4555.7299999999996</v>
      </c>
      <c r="AG40">
        <f t="shared" si="32"/>
        <v>0</v>
      </c>
      <c r="AH40">
        <f>(SUM(SmtRes!BU62:'SmtRes'!BU68))</f>
        <v>17.25</v>
      </c>
      <c r="AI40">
        <f>(SUM(SmtRes!BV62:'SmtRes'!BV68))</f>
        <v>6.25E-2</v>
      </c>
      <c r="AJ40">
        <f t="shared" si="33"/>
        <v>0</v>
      </c>
      <c r="AK40">
        <v>9306.3430000000008</v>
      </c>
      <c r="AL40">
        <v>5312.2975000000006</v>
      </c>
      <c r="AM40">
        <v>19.490000000000002</v>
      </c>
      <c r="AN40">
        <v>13.055499999999999</v>
      </c>
      <c r="AO40">
        <v>3961.5000000000005</v>
      </c>
      <c r="AP40">
        <v>0</v>
      </c>
      <c r="AQ40">
        <v>15</v>
      </c>
      <c r="AR40">
        <v>0.05</v>
      </c>
      <c r="AS40">
        <v>0</v>
      </c>
      <c r="AT40">
        <v>90</v>
      </c>
      <c r="AU40">
        <v>41.65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0</v>
      </c>
      <c r="BI40">
        <v>1</v>
      </c>
      <c r="BJ40" t="s">
        <v>86</v>
      </c>
      <c r="BM40">
        <v>15001</v>
      </c>
      <c r="BN40">
        <v>0</v>
      </c>
      <c r="BO40" t="s">
        <v>3</v>
      </c>
      <c r="BP40">
        <v>0</v>
      </c>
      <c r="BQ40">
        <v>2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100</v>
      </c>
      <c r="CA40">
        <v>49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3</v>
      </c>
      <c r="CO40">
        <v>0</v>
      </c>
      <c r="CP40">
        <f t="shared" si="34"/>
        <v>6477.9999999999991</v>
      </c>
      <c r="CQ40">
        <f>SUMIF(SmtRes!AQ62:'SmtRes'!AQ68,"=1",SmtRes!AA62:'SmtRes'!AA68)</f>
        <v>93318.3</v>
      </c>
      <c r="CR40">
        <f>SUMIF(SmtRes!AQ62:'SmtRes'!AQ68,"=1",SmtRes!AB62:'SmtRes'!AB68)</f>
        <v>588.93999999999994</v>
      </c>
      <c r="CS40">
        <f>SUMIF(SmtRes!AQ62:'SmtRes'!AQ68,"=1",SmtRes!AC62:'SmtRes'!AC68)</f>
        <v>504.28</v>
      </c>
      <c r="CT40">
        <f>SUMIF(SmtRes!AQ62:'SmtRes'!AQ68,"=1",SmtRes!AD62:'SmtRes'!AD68)</f>
        <v>264.10000000000002</v>
      </c>
      <c r="CU40">
        <f t="shared" si="35"/>
        <v>0</v>
      </c>
      <c r="CV40">
        <f t="shared" si="36"/>
        <v>17.25</v>
      </c>
      <c r="CW40">
        <f t="shared" si="37"/>
        <v>6.25E-2</v>
      </c>
      <c r="CX40">
        <f t="shared" si="38"/>
        <v>0</v>
      </c>
      <c r="CY40">
        <f t="shared" si="39"/>
        <v>2674.6469999999999</v>
      </c>
      <c r="CZ40">
        <f t="shared" si="40"/>
        <v>1237.7671949999999</v>
      </c>
      <c r="DC40" t="s">
        <v>3</v>
      </c>
      <c r="DD40" t="s">
        <v>3</v>
      </c>
      <c r="DE40" t="s">
        <v>28</v>
      </c>
      <c r="DF40" t="s">
        <v>28</v>
      </c>
      <c r="DG40" t="s">
        <v>29</v>
      </c>
      <c r="DH40" t="s">
        <v>3</v>
      </c>
      <c r="DI40" t="s">
        <v>29</v>
      </c>
      <c r="DJ40" t="s">
        <v>28</v>
      </c>
      <c r="DK40" t="s">
        <v>3</v>
      </c>
      <c r="DL40" t="s">
        <v>30</v>
      </c>
      <c r="DM40" t="s">
        <v>31</v>
      </c>
      <c r="DN40">
        <v>0</v>
      </c>
      <c r="DO40">
        <v>0</v>
      </c>
      <c r="DP40">
        <v>1</v>
      </c>
      <c r="DQ40">
        <v>1</v>
      </c>
      <c r="DU40">
        <v>1005</v>
      </c>
      <c r="DV40" t="s">
        <v>39</v>
      </c>
      <c r="DW40" t="s">
        <v>39</v>
      </c>
      <c r="DX40">
        <v>100</v>
      </c>
      <c r="DZ40" t="s">
        <v>3</v>
      </c>
      <c r="EA40" t="s">
        <v>3</v>
      </c>
      <c r="EB40" t="s">
        <v>3</v>
      </c>
      <c r="EC40" t="s">
        <v>3</v>
      </c>
      <c r="EE40">
        <v>57922201</v>
      </c>
      <c r="EF40">
        <v>2</v>
      </c>
      <c r="EG40" t="s">
        <v>32</v>
      </c>
      <c r="EH40">
        <v>15</v>
      </c>
      <c r="EI40" t="s">
        <v>60</v>
      </c>
      <c r="EJ40">
        <v>1</v>
      </c>
      <c r="EK40">
        <v>15001</v>
      </c>
      <c r="EL40" t="s">
        <v>60</v>
      </c>
      <c r="EM40" t="s">
        <v>61</v>
      </c>
      <c r="EO40" t="s">
        <v>3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15</v>
      </c>
      <c r="EX40">
        <v>0.05</v>
      </c>
      <c r="EY40">
        <v>0</v>
      </c>
      <c r="FQ40">
        <v>0</v>
      </c>
      <c r="FR40">
        <f t="shared" si="41"/>
        <v>0</v>
      </c>
      <c r="FS40">
        <v>0</v>
      </c>
      <c r="FX40">
        <v>90</v>
      </c>
      <c r="FY40">
        <v>41.65</v>
      </c>
      <c r="GA40" t="s">
        <v>3</v>
      </c>
      <c r="GD40">
        <v>1</v>
      </c>
      <c r="GF40">
        <v>-835603345</v>
      </c>
      <c r="GG40">
        <v>2</v>
      </c>
      <c r="GH40">
        <v>1</v>
      </c>
      <c r="GI40">
        <v>-2</v>
      </c>
      <c r="GJ40">
        <v>0</v>
      </c>
      <c r="GK40">
        <v>0</v>
      </c>
      <c r="GL40">
        <f t="shared" si="42"/>
        <v>0</v>
      </c>
      <c r="GM40">
        <f t="shared" si="43"/>
        <v>10390.42</v>
      </c>
      <c r="GN40">
        <f t="shared" si="44"/>
        <v>10390.42</v>
      </c>
      <c r="GO40">
        <f t="shared" si="45"/>
        <v>0</v>
      </c>
      <c r="GP40">
        <f t="shared" si="46"/>
        <v>0</v>
      </c>
      <c r="GR40">
        <v>0</v>
      </c>
      <c r="GS40">
        <v>3</v>
      </c>
      <c r="GT40">
        <v>0</v>
      </c>
      <c r="GU40" t="s">
        <v>3</v>
      </c>
      <c r="GV40">
        <f t="shared" si="47"/>
        <v>0</v>
      </c>
      <c r="GW40">
        <v>1</v>
      </c>
      <c r="GX40">
        <f t="shared" si="48"/>
        <v>0</v>
      </c>
      <c r="HA40">
        <v>0</v>
      </c>
      <c r="HB40">
        <v>0</v>
      </c>
      <c r="HC40">
        <f t="shared" si="49"/>
        <v>0</v>
      </c>
      <c r="HE40" t="s">
        <v>3</v>
      </c>
      <c r="HF40" t="s">
        <v>3</v>
      </c>
      <c r="HM40" t="s">
        <v>3</v>
      </c>
      <c r="HN40" t="s">
        <v>62</v>
      </c>
      <c r="HO40" t="s">
        <v>63</v>
      </c>
      <c r="HP40" t="s">
        <v>60</v>
      </c>
      <c r="HQ40" t="s">
        <v>60</v>
      </c>
      <c r="IK40">
        <v>0</v>
      </c>
    </row>
    <row r="41" spans="1:245" x14ac:dyDescent="0.2">
      <c r="A41">
        <v>17</v>
      </c>
      <c r="B41">
        <v>1</v>
      </c>
      <c r="C41">
        <f>ROW(SmtRes!A77)</f>
        <v>77</v>
      </c>
      <c r="D41">
        <f>ROW(EtalonRes!A77)</f>
        <v>77</v>
      </c>
      <c r="E41" t="s">
        <v>87</v>
      </c>
      <c r="F41" t="s">
        <v>88</v>
      </c>
      <c r="G41" t="s">
        <v>89</v>
      </c>
      <c r="H41" t="s">
        <v>39</v>
      </c>
      <c r="I41">
        <v>0.65</v>
      </c>
      <c r="J41">
        <v>0</v>
      </c>
      <c r="K41">
        <v>0.65</v>
      </c>
      <c r="O41">
        <f t="shared" si="23"/>
        <v>23428.36</v>
      </c>
      <c r="P41">
        <f>SUMIF(SmtRes!AQ69:'SmtRes'!AQ77,"=1",SmtRes!DF69:'SmtRes'!DF77)</f>
        <v>11867.45</v>
      </c>
      <c r="Q41">
        <f>SUMIF(SmtRes!AQ69:'SmtRes'!AQ77,"=1",SmtRes!DG69:'SmtRes'!DG77)</f>
        <v>70.86</v>
      </c>
      <c r="R41">
        <f>SUMIF(SmtRes!AQ69:'SmtRes'!AQ77,"=1",SmtRes!DH69:'SmtRes'!DH77)</f>
        <v>38.57</v>
      </c>
      <c r="S41">
        <f>SUMIF(SmtRes!AQ69:'SmtRes'!AQ77,"=1",SmtRes!DI69:'SmtRes'!DI77)</f>
        <v>11451.48</v>
      </c>
      <c r="T41">
        <f t="shared" si="24"/>
        <v>0</v>
      </c>
      <c r="U41">
        <f t="shared" si="25"/>
        <v>47.092499999999994</v>
      </c>
      <c r="V41">
        <f t="shared" si="26"/>
        <v>0.14624999999999999</v>
      </c>
      <c r="W41">
        <f t="shared" si="27"/>
        <v>0</v>
      </c>
      <c r="X41">
        <f t="shared" si="28"/>
        <v>10341.049999999999</v>
      </c>
      <c r="Y41">
        <f t="shared" si="29"/>
        <v>4785.6099999999997</v>
      </c>
      <c r="AA41">
        <v>59552816</v>
      </c>
      <c r="AB41">
        <f t="shared" si="30"/>
        <v>36006.74</v>
      </c>
      <c r="AC41">
        <f>ROUND((SUM(SmtRes!BQ69:'SmtRes'!BQ77)),2)</f>
        <v>18233.37</v>
      </c>
      <c r="AD41">
        <f>ROUND((SUM(SmtRes!BR69:'SmtRes'!BR77)),2)</f>
        <v>96.35</v>
      </c>
      <c r="AE41">
        <f>ROUND((SUM(SmtRes!BS69:'SmtRes'!BS77)),2)</f>
        <v>59.35</v>
      </c>
      <c r="AF41">
        <f>ROUND((SUM(SmtRes!BT69:'SmtRes'!BT77)),2)</f>
        <v>17617.669999999998</v>
      </c>
      <c r="AG41">
        <f t="shared" si="32"/>
        <v>0</v>
      </c>
      <c r="AH41">
        <f>(SUM(SmtRes!BU69:'SmtRes'!BU77))</f>
        <v>72.449999999999989</v>
      </c>
      <c r="AI41">
        <f>(SUM(SmtRes!BV69:'SmtRes'!BV77))</f>
        <v>0.22499999999999998</v>
      </c>
      <c r="AJ41">
        <f t="shared" si="33"/>
        <v>0</v>
      </c>
      <c r="AK41">
        <v>33677.633299999994</v>
      </c>
      <c r="AL41">
        <v>18233.365699999998</v>
      </c>
      <c r="AM41">
        <v>77.079400000000007</v>
      </c>
      <c r="AN41">
        <v>47.478199999999994</v>
      </c>
      <c r="AO41">
        <v>15319.71</v>
      </c>
      <c r="AP41">
        <v>0</v>
      </c>
      <c r="AQ41">
        <v>63</v>
      </c>
      <c r="AR41">
        <v>0.18</v>
      </c>
      <c r="AS41">
        <v>0</v>
      </c>
      <c r="AT41">
        <v>90</v>
      </c>
      <c r="AU41">
        <v>41.65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1</v>
      </c>
      <c r="BJ41" t="s">
        <v>90</v>
      </c>
      <c r="BM41">
        <v>15001</v>
      </c>
      <c r="BN41">
        <v>0</v>
      </c>
      <c r="BO41" t="s">
        <v>3</v>
      </c>
      <c r="BP41">
        <v>0</v>
      </c>
      <c r="BQ41">
        <v>2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100</v>
      </c>
      <c r="CA41">
        <v>49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3</v>
      </c>
      <c r="CO41">
        <v>0</v>
      </c>
      <c r="CP41">
        <f t="shared" si="34"/>
        <v>23428.36</v>
      </c>
      <c r="CQ41">
        <f>SUMIF(SmtRes!AQ69:'SmtRes'!AQ77,"=1",SmtRes!AA69:'SmtRes'!AA77)</f>
        <v>516333.3</v>
      </c>
      <c r="CR41">
        <f>SUMIF(SmtRes!AQ69:'SmtRes'!AQ77,"=1",SmtRes!AB69:'SmtRes'!AB77)</f>
        <v>580.15</v>
      </c>
      <c r="CS41">
        <f>SUMIF(SmtRes!AQ69:'SmtRes'!AQ77,"=1",SmtRes!AC69:'SmtRes'!AC77)</f>
        <v>504.28</v>
      </c>
      <c r="CT41">
        <f>SUMIF(SmtRes!AQ69:'SmtRes'!AQ77,"=1",SmtRes!AD69:'SmtRes'!AD77)</f>
        <v>243.17</v>
      </c>
      <c r="CU41">
        <f t="shared" si="35"/>
        <v>0</v>
      </c>
      <c r="CV41">
        <f t="shared" si="36"/>
        <v>72.449999999999989</v>
      </c>
      <c r="CW41">
        <f t="shared" si="37"/>
        <v>0.22499999999999998</v>
      </c>
      <c r="CX41">
        <f t="shared" si="38"/>
        <v>0</v>
      </c>
      <c r="CY41">
        <f t="shared" si="39"/>
        <v>10341.044999999998</v>
      </c>
      <c r="CZ41">
        <f t="shared" si="40"/>
        <v>4785.6058249999996</v>
      </c>
      <c r="DC41" t="s">
        <v>3</v>
      </c>
      <c r="DD41" t="s">
        <v>3</v>
      </c>
      <c r="DE41" t="s">
        <v>28</v>
      </c>
      <c r="DF41" t="s">
        <v>28</v>
      </c>
      <c r="DG41" t="s">
        <v>29</v>
      </c>
      <c r="DH41" t="s">
        <v>3</v>
      </c>
      <c r="DI41" t="s">
        <v>29</v>
      </c>
      <c r="DJ41" t="s">
        <v>28</v>
      </c>
      <c r="DK41" t="s">
        <v>3</v>
      </c>
      <c r="DL41" t="s">
        <v>30</v>
      </c>
      <c r="DM41" t="s">
        <v>31</v>
      </c>
      <c r="DN41">
        <v>0</v>
      </c>
      <c r="DO41">
        <v>0</v>
      </c>
      <c r="DP41">
        <v>1</v>
      </c>
      <c r="DQ41">
        <v>1</v>
      </c>
      <c r="DU41">
        <v>1005</v>
      </c>
      <c r="DV41" t="s">
        <v>39</v>
      </c>
      <c r="DW41" t="s">
        <v>39</v>
      </c>
      <c r="DX41">
        <v>100</v>
      </c>
      <c r="DZ41" t="s">
        <v>3</v>
      </c>
      <c r="EA41" t="s">
        <v>3</v>
      </c>
      <c r="EB41" t="s">
        <v>3</v>
      </c>
      <c r="EC41" t="s">
        <v>3</v>
      </c>
      <c r="EE41">
        <v>57922201</v>
      </c>
      <c r="EF41">
        <v>2</v>
      </c>
      <c r="EG41" t="s">
        <v>32</v>
      </c>
      <c r="EH41">
        <v>15</v>
      </c>
      <c r="EI41" t="s">
        <v>60</v>
      </c>
      <c r="EJ41">
        <v>1</v>
      </c>
      <c r="EK41">
        <v>15001</v>
      </c>
      <c r="EL41" t="s">
        <v>60</v>
      </c>
      <c r="EM41" t="s">
        <v>61</v>
      </c>
      <c r="EO41" t="s">
        <v>3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63</v>
      </c>
      <c r="EX41">
        <v>0.18</v>
      </c>
      <c r="EY41">
        <v>0</v>
      </c>
      <c r="FQ41">
        <v>0</v>
      </c>
      <c r="FR41">
        <f t="shared" si="41"/>
        <v>0</v>
      </c>
      <c r="FS41">
        <v>0</v>
      </c>
      <c r="FX41">
        <v>90</v>
      </c>
      <c r="FY41">
        <v>41.65</v>
      </c>
      <c r="GA41" t="s">
        <v>3</v>
      </c>
      <c r="GD41">
        <v>1</v>
      </c>
      <c r="GF41">
        <v>459309927</v>
      </c>
      <c r="GG41">
        <v>2</v>
      </c>
      <c r="GH41">
        <v>1</v>
      </c>
      <c r="GI41">
        <v>-2</v>
      </c>
      <c r="GJ41">
        <v>0</v>
      </c>
      <c r="GK41">
        <v>0</v>
      </c>
      <c r="GL41">
        <f t="shared" si="42"/>
        <v>0</v>
      </c>
      <c r="GM41">
        <f t="shared" si="43"/>
        <v>38555.019999999997</v>
      </c>
      <c r="GN41">
        <f t="shared" si="44"/>
        <v>38555.019999999997</v>
      </c>
      <c r="GO41">
        <f t="shared" si="45"/>
        <v>0</v>
      </c>
      <c r="GP41">
        <f t="shared" si="46"/>
        <v>0</v>
      </c>
      <c r="GR41">
        <v>0</v>
      </c>
      <c r="GS41">
        <v>3</v>
      </c>
      <c r="GT41">
        <v>0</v>
      </c>
      <c r="GU41" t="s">
        <v>3</v>
      </c>
      <c r="GV41">
        <f t="shared" si="47"/>
        <v>0</v>
      </c>
      <c r="GW41">
        <v>1</v>
      </c>
      <c r="GX41">
        <f t="shared" si="48"/>
        <v>0</v>
      </c>
      <c r="HA41">
        <v>0</v>
      </c>
      <c r="HB41">
        <v>0</v>
      </c>
      <c r="HC41">
        <f t="shared" si="49"/>
        <v>0</v>
      </c>
      <c r="HE41" t="s">
        <v>3</v>
      </c>
      <c r="HF41" t="s">
        <v>3</v>
      </c>
      <c r="HM41" t="s">
        <v>3</v>
      </c>
      <c r="HN41" t="s">
        <v>62</v>
      </c>
      <c r="HO41" t="s">
        <v>63</v>
      </c>
      <c r="HP41" t="s">
        <v>60</v>
      </c>
      <c r="HQ41" t="s">
        <v>60</v>
      </c>
      <c r="IK41">
        <v>0</v>
      </c>
    </row>
    <row r="42" spans="1:245" x14ac:dyDescent="0.2">
      <c r="A42">
        <v>17</v>
      </c>
      <c r="B42">
        <v>1</v>
      </c>
      <c r="C42">
        <f>ROW(SmtRes!A86)</f>
        <v>86</v>
      </c>
      <c r="D42">
        <f>ROW(EtalonRes!A86)</f>
        <v>86</v>
      </c>
      <c r="E42" t="s">
        <v>91</v>
      </c>
      <c r="F42" t="s">
        <v>92</v>
      </c>
      <c r="G42" t="s">
        <v>93</v>
      </c>
      <c r="H42" t="s">
        <v>39</v>
      </c>
      <c r="I42">
        <v>0.81030000000000002</v>
      </c>
      <c r="J42">
        <v>0</v>
      </c>
      <c r="K42">
        <v>0.81030000000000002</v>
      </c>
      <c r="O42">
        <f t="shared" si="23"/>
        <v>23559.07</v>
      </c>
      <c r="P42">
        <f>SUMIF(SmtRes!AQ78:'SmtRes'!AQ86,"=1",SmtRes!DF78:'SmtRes'!DF86)</f>
        <v>13560.279999999999</v>
      </c>
      <c r="Q42">
        <f>SUMIF(SmtRes!AQ78:'SmtRes'!AQ86,"=1",SmtRes!DG78:'SmtRes'!DG86)</f>
        <v>82.86</v>
      </c>
      <c r="R42">
        <f>SUMIF(SmtRes!AQ78:'SmtRes'!AQ86,"=1",SmtRes!DH78:'SmtRes'!DH86)</f>
        <v>45.379999999999995</v>
      </c>
      <c r="S42">
        <f>SUMIF(SmtRes!AQ78:'SmtRes'!AQ86,"=1",SmtRes!DI78:'SmtRes'!DI86)</f>
        <v>9870.5499999999993</v>
      </c>
      <c r="T42">
        <f t="shared" si="24"/>
        <v>0</v>
      </c>
      <c r="U42">
        <f t="shared" si="25"/>
        <v>40.591168199999998</v>
      </c>
      <c r="V42">
        <f t="shared" si="26"/>
        <v>0.17218875000000003</v>
      </c>
      <c r="W42">
        <f t="shared" si="27"/>
        <v>0</v>
      </c>
      <c r="X42">
        <f t="shared" si="28"/>
        <v>8924.34</v>
      </c>
      <c r="Y42">
        <f t="shared" si="29"/>
        <v>4129.9799999999996</v>
      </c>
      <c r="AA42">
        <v>59552816</v>
      </c>
      <c r="AB42">
        <f t="shared" si="30"/>
        <v>29038.39</v>
      </c>
      <c r="AC42">
        <f>ROUND((SUM(SmtRes!BQ78:'SmtRes'!BQ86)),2)</f>
        <v>16710.64</v>
      </c>
      <c r="AD42">
        <f>ROUND((SUM(SmtRes!BR78:'SmtRes'!BR86)),2)</f>
        <v>90.38</v>
      </c>
      <c r="AE42">
        <f>ROUND((SUM(SmtRes!BS78:'SmtRes'!BS86)),2)</f>
        <v>56.01</v>
      </c>
      <c r="AF42">
        <f>ROUND((SUM(SmtRes!BT78:'SmtRes'!BT86)),2)</f>
        <v>12181.36</v>
      </c>
      <c r="AG42">
        <f t="shared" si="32"/>
        <v>0</v>
      </c>
      <c r="AH42">
        <f>(SUM(SmtRes!BU78:'SmtRes'!BU86))</f>
        <v>50.094000000000001</v>
      </c>
      <c r="AI42">
        <f>(SUM(SmtRes!BV78:'SmtRes'!BV86))</f>
        <v>0.21250000000000002</v>
      </c>
      <c r="AJ42">
        <f t="shared" si="33"/>
        <v>0</v>
      </c>
      <c r="AK42">
        <v>27420.233399999997</v>
      </c>
      <c r="AL42">
        <v>16710.640699999996</v>
      </c>
      <c r="AM42">
        <v>72.300200000000004</v>
      </c>
      <c r="AN42">
        <v>44.807299999999998</v>
      </c>
      <c r="AO42">
        <v>10592.485199999999</v>
      </c>
      <c r="AP42">
        <v>0</v>
      </c>
      <c r="AQ42">
        <v>43.56</v>
      </c>
      <c r="AR42">
        <v>0.16999999999999998</v>
      </c>
      <c r="AS42">
        <v>0</v>
      </c>
      <c r="AT42">
        <v>90</v>
      </c>
      <c r="AU42">
        <v>41.65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</v>
      </c>
      <c r="BD42" t="s">
        <v>3</v>
      </c>
      <c r="BE42" t="s">
        <v>3</v>
      </c>
      <c r="BF42" t="s">
        <v>3</v>
      </c>
      <c r="BG42" t="s">
        <v>3</v>
      </c>
      <c r="BH42">
        <v>0</v>
      </c>
      <c r="BI42">
        <v>1</v>
      </c>
      <c r="BJ42" t="s">
        <v>94</v>
      </c>
      <c r="BM42">
        <v>15001</v>
      </c>
      <c r="BN42">
        <v>0</v>
      </c>
      <c r="BO42" t="s">
        <v>3</v>
      </c>
      <c r="BP42">
        <v>0</v>
      </c>
      <c r="BQ42">
        <v>2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100</v>
      </c>
      <c r="CA42">
        <v>49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3</v>
      </c>
      <c r="CO42">
        <v>0</v>
      </c>
      <c r="CP42">
        <f t="shared" si="34"/>
        <v>23559.07</v>
      </c>
      <c r="CQ42">
        <f>SUMIF(SmtRes!AQ78:'SmtRes'!AQ86,"=1",SmtRes!AA78:'SmtRes'!AA86)</f>
        <v>516333.3</v>
      </c>
      <c r="CR42">
        <f>SUMIF(SmtRes!AQ78:'SmtRes'!AQ86,"=1",SmtRes!AB78:'SmtRes'!AB86)</f>
        <v>580.15</v>
      </c>
      <c r="CS42">
        <f>SUMIF(SmtRes!AQ78:'SmtRes'!AQ86,"=1",SmtRes!AC78:'SmtRes'!AC86)</f>
        <v>504.28</v>
      </c>
      <c r="CT42">
        <f>SUMIF(SmtRes!AQ78:'SmtRes'!AQ86,"=1",SmtRes!AD78:'SmtRes'!AD86)</f>
        <v>243.17</v>
      </c>
      <c r="CU42">
        <f t="shared" si="35"/>
        <v>0</v>
      </c>
      <c r="CV42">
        <f t="shared" si="36"/>
        <v>50.094000000000001</v>
      </c>
      <c r="CW42">
        <f t="shared" si="37"/>
        <v>0.21250000000000002</v>
      </c>
      <c r="CX42">
        <f t="shared" si="38"/>
        <v>0</v>
      </c>
      <c r="CY42">
        <f t="shared" si="39"/>
        <v>8924.3369999999977</v>
      </c>
      <c r="CZ42">
        <f t="shared" si="40"/>
        <v>4129.984844999999</v>
      </c>
      <c r="DC42" t="s">
        <v>3</v>
      </c>
      <c r="DD42" t="s">
        <v>3</v>
      </c>
      <c r="DE42" t="s">
        <v>28</v>
      </c>
      <c r="DF42" t="s">
        <v>28</v>
      </c>
      <c r="DG42" t="s">
        <v>29</v>
      </c>
      <c r="DH42" t="s">
        <v>3</v>
      </c>
      <c r="DI42" t="s">
        <v>29</v>
      </c>
      <c r="DJ42" t="s">
        <v>28</v>
      </c>
      <c r="DK42" t="s">
        <v>3</v>
      </c>
      <c r="DL42" t="s">
        <v>30</v>
      </c>
      <c r="DM42" t="s">
        <v>31</v>
      </c>
      <c r="DN42">
        <v>0</v>
      </c>
      <c r="DO42">
        <v>0</v>
      </c>
      <c r="DP42">
        <v>1</v>
      </c>
      <c r="DQ42">
        <v>1</v>
      </c>
      <c r="DU42">
        <v>1005</v>
      </c>
      <c r="DV42" t="s">
        <v>39</v>
      </c>
      <c r="DW42" t="s">
        <v>39</v>
      </c>
      <c r="DX42">
        <v>100</v>
      </c>
      <c r="DZ42" t="s">
        <v>3</v>
      </c>
      <c r="EA42" t="s">
        <v>3</v>
      </c>
      <c r="EB42" t="s">
        <v>3</v>
      </c>
      <c r="EC42" t="s">
        <v>3</v>
      </c>
      <c r="EE42">
        <v>57922201</v>
      </c>
      <c r="EF42">
        <v>2</v>
      </c>
      <c r="EG42" t="s">
        <v>32</v>
      </c>
      <c r="EH42">
        <v>15</v>
      </c>
      <c r="EI42" t="s">
        <v>60</v>
      </c>
      <c r="EJ42">
        <v>1</v>
      </c>
      <c r="EK42">
        <v>15001</v>
      </c>
      <c r="EL42" t="s">
        <v>60</v>
      </c>
      <c r="EM42" t="s">
        <v>61</v>
      </c>
      <c r="EO42" t="s">
        <v>3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43.56</v>
      </c>
      <c r="EX42">
        <v>0.17</v>
      </c>
      <c r="EY42">
        <v>0</v>
      </c>
      <c r="FQ42">
        <v>0</v>
      </c>
      <c r="FR42">
        <f t="shared" si="41"/>
        <v>0</v>
      </c>
      <c r="FS42">
        <v>0</v>
      </c>
      <c r="FX42">
        <v>90</v>
      </c>
      <c r="FY42">
        <v>41.65</v>
      </c>
      <c r="GA42" t="s">
        <v>3</v>
      </c>
      <c r="GD42">
        <v>1</v>
      </c>
      <c r="GF42">
        <v>20871931</v>
      </c>
      <c r="GG42">
        <v>2</v>
      </c>
      <c r="GH42">
        <v>1</v>
      </c>
      <c r="GI42">
        <v>-2</v>
      </c>
      <c r="GJ42">
        <v>0</v>
      </c>
      <c r="GK42">
        <v>0</v>
      </c>
      <c r="GL42">
        <f t="shared" si="42"/>
        <v>0</v>
      </c>
      <c r="GM42">
        <f t="shared" si="43"/>
        <v>36613.39</v>
      </c>
      <c r="GN42">
        <f t="shared" si="44"/>
        <v>36613.39</v>
      </c>
      <c r="GO42">
        <f t="shared" si="45"/>
        <v>0</v>
      </c>
      <c r="GP42">
        <f t="shared" si="46"/>
        <v>0</v>
      </c>
      <c r="GR42">
        <v>0</v>
      </c>
      <c r="GS42">
        <v>3</v>
      </c>
      <c r="GT42">
        <v>0</v>
      </c>
      <c r="GU42" t="s">
        <v>3</v>
      </c>
      <c r="GV42">
        <f t="shared" si="47"/>
        <v>0</v>
      </c>
      <c r="GW42">
        <v>1</v>
      </c>
      <c r="GX42">
        <f t="shared" si="48"/>
        <v>0</v>
      </c>
      <c r="HA42">
        <v>0</v>
      </c>
      <c r="HB42">
        <v>0</v>
      </c>
      <c r="HC42">
        <f t="shared" si="49"/>
        <v>0</v>
      </c>
      <c r="HE42" t="s">
        <v>3</v>
      </c>
      <c r="HF42" t="s">
        <v>3</v>
      </c>
      <c r="HM42" t="s">
        <v>3</v>
      </c>
      <c r="HN42" t="s">
        <v>62</v>
      </c>
      <c r="HO42" t="s">
        <v>63</v>
      </c>
      <c r="HP42" t="s">
        <v>60</v>
      </c>
      <c r="HQ42" t="s">
        <v>60</v>
      </c>
      <c r="IK42">
        <v>0</v>
      </c>
    </row>
    <row r="43" spans="1:245" x14ac:dyDescent="0.2">
      <c r="A43">
        <v>17</v>
      </c>
      <c r="B43">
        <v>1</v>
      </c>
      <c r="C43">
        <f>ROW(SmtRes!A92)</f>
        <v>92</v>
      </c>
      <c r="D43">
        <f>ROW(EtalonRes!A92)</f>
        <v>92</v>
      </c>
      <c r="E43" t="s">
        <v>95</v>
      </c>
      <c r="F43" t="s">
        <v>96</v>
      </c>
      <c r="G43" t="s">
        <v>97</v>
      </c>
      <c r="H43" t="s">
        <v>98</v>
      </c>
      <c r="I43">
        <v>0.65</v>
      </c>
      <c r="J43">
        <v>0</v>
      </c>
      <c r="K43">
        <v>0.65</v>
      </c>
      <c r="O43">
        <f t="shared" si="23"/>
        <v>14690.98</v>
      </c>
      <c r="P43">
        <f>SUMIF(SmtRes!AQ87:'SmtRes'!AQ92,"=1",SmtRes!DF87:'SmtRes'!DF92)</f>
        <v>1969.61</v>
      </c>
      <c r="Q43">
        <f>SUMIF(SmtRes!AQ87:'SmtRes'!AQ92,"=1",SmtRes!DG87:'SmtRes'!DG92)</f>
        <v>78.98</v>
      </c>
      <c r="R43">
        <f>SUMIF(SmtRes!AQ87:'SmtRes'!AQ92,"=1",SmtRes!DH87:'SmtRes'!DH92)</f>
        <v>39.06</v>
      </c>
      <c r="S43">
        <f>SUMIF(SmtRes!AQ87:'SmtRes'!AQ92,"=1",SmtRes!DI87:'SmtRes'!DI92)</f>
        <v>12603.33</v>
      </c>
      <c r="T43">
        <f t="shared" si="24"/>
        <v>0</v>
      </c>
      <c r="U43">
        <f t="shared" si="25"/>
        <v>52.474500000000006</v>
      </c>
      <c r="V43">
        <f t="shared" si="26"/>
        <v>0.14624999999999999</v>
      </c>
      <c r="W43">
        <f t="shared" si="27"/>
        <v>0</v>
      </c>
      <c r="X43">
        <f t="shared" si="28"/>
        <v>12515.97</v>
      </c>
      <c r="Y43">
        <f t="shared" si="29"/>
        <v>7414.76</v>
      </c>
      <c r="AA43">
        <v>59552816</v>
      </c>
      <c r="AB43">
        <f t="shared" si="30"/>
        <v>22349.63</v>
      </c>
      <c r="AC43">
        <f>ROUND((SUM(SmtRes!BQ87:'SmtRes'!BQ92)),2)</f>
        <v>2792.27</v>
      </c>
      <c r="AD43">
        <f>ROUND((SUM(SmtRes!BR87:'SmtRes'!BR92)),2)</f>
        <v>107.53</v>
      </c>
      <c r="AE43">
        <f>ROUND((SUM(SmtRes!BS87:'SmtRes'!BS92)),2)</f>
        <v>60.1</v>
      </c>
      <c r="AF43">
        <f>ROUND((SUM(SmtRes!BT87:'SmtRes'!BT92)),2)</f>
        <v>19389.73</v>
      </c>
      <c r="AG43">
        <f t="shared" si="32"/>
        <v>0</v>
      </c>
      <c r="AH43">
        <f>(SUM(SmtRes!BU87:'SmtRes'!BU92))</f>
        <v>80.73</v>
      </c>
      <c r="AI43">
        <f>(SUM(SmtRes!BV87:'SmtRes'!BV92))</f>
        <v>0.22499999999999998</v>
      </c>
      <c r="AJ43">
        <f t="shared" si="33"/>
        <v>0</v>
      </c>
      <c r="AK43">
        <v>19787.007700000002</v>
      </c>
      <c r="AL43">
        <v>2792.2699000000002</v>
      </c>
      <c r="AM43">
        <v>86.025599999999997</v>
      </c>
      <c r="AN43">
        <v>48.076199999999993</v>
      </c>
      <c r="AO43">
        <v>16860.636000000002</v>
      </c>
      <c r="AP43">
        <v>0</v>
      </c>
      <c r="AQ43">
        <v>70.2</v>
      </c>
      <c r="AR43">
        <v>0.18</v>
      </c>
      <c r="AS43">
        <v>0</v>
      </c>
      <c r="AT43">
        <v>99</v>
      </c>
      <c r="AU43">
        <v>58.65</v>
      </c>
      <c r="AV43">
        <v>1</v>
      </c>
      <c r="AW43">
        <v>1</v>
      </c>
      <c r="AZ43">
        <v>1</v>
      </c>
      <c r="BA43">
        <v>1</v>
      </c>
      <c r="BB43">
        <v>1</v>
      </c>
      <c r="BC43">
        <v>1</v>
      </c>
      <c r="BD43" t="s">
        <v>3</v>
      </c>
      <c r="BE43" t="s">
        <v>3</v>
      </c>
      <c r="BF43" t="s">
        <v>3</v>
      </c>
      <c r="BG43" t="s">
        <v>3</v>
      </c>
      <c r="BH43">
        <v>0</v>
      </c>
      <c r="BI43">
        <v>1</v>
      </c>
      <c r="BJ43" t="s">
        <v>99</v>
      </c>
      <c r="BM43">
        <v>8001</v>
      </c>
      <c r="BN43">
        <v>0</v>
      </c>
      <c r="BO43" t="s">
        <v>3</v>
      </c>
      <c r="BP43">
        <v>0</v>
      </c>
      <c r="BQ43">
        <v>2</v>
      </c>
      <c r="BR43">
        <v>0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 t="s">
        <v>3</v>
      </c>
      <c r="BZ43">
        <v>110</v>
      </c>
      <c r="CA43">
        <v>69</v>
      </c>
      <c r="CB43" t="s">
        <v>3</v>
      </c>
      <c r="CE43">
        <v>0</v>
      </c>
      <c r="CF43">
        <v>0</v>
      </c>
      <c r="CG43">
        <v>0</v>
      </c>
      <c r="CM43">
        <v>0</v>
      </c>
      <c r="CN43" t="s">
        <v>3</v>
      </c>
      <c r="CO43">
        <v>0</v>
      </c>
      <c r="CP43">
        <f t="shared" si="34"/>
        <v>14690.98</v>
      </c>
      <c r="CQ43">
        <f>SUMIF(SmtRes!AQ87:'SmtRes'!AQ92,"=1",SmtRes!AA87:'SmtRes'!AA92)</f>
        <v>118703.58</v>
      </c>
      <c r="CR43">
        <f>SUMIF(SmtRes!AQ87:'SmtRes'!AQ92,"=1",SmtRes!AB87:'SmtRes'!AB92)</f>
        <v>540.04999999999995</v>
      </c>
      <c r="CS43">
        <f>SUMIF(SmtRes!AQ87:'SmtRes'!AQ92,"=1",SmtRes!AC87:'SmtRes'!AC92)</f>
        <v>267.08999999999997</v>
      </c>
      <c r="CT43">
        <f>SUMIF(SmtRes!AQ87:'SmtRes'!AQ92,"=1",SmtRes!AD87:'SmtRes'!AD92)</f>
        <v>240.18</v>
      </c>
      <c r="CU43">
        <f t="shared" si="35"/>
        <v>0</v>
      </c>
      <c r="CV43">
        <f t="shared" si="36"/>
        <v>80.73</v>
      </c>
      <c r="CW43">
        <f t="shared" si="37"/>
        <v>0.22499999999999998</v>
      </c>
      <c r="CX43">
        <f t="shared" si="38"/>
        <v>0</v>
      </c>
      <c r="CY43">
        <f t="shared" si="39"/>
        <v>12515.966099999998</v>
      </c>
      <c r="CZ43">
        <f t="shared" si="40"/>
        <v>7414.7617349999991</v>
      </c>
      <c r="DC43" t="s">
        <v>3</v>
      </c>
      <c r="DD43" t="s">
        <v>3</v>
      </c>
      <c r="DE43" t="s">
        <v>28</v>
      </c>
      <c r="DF43" t="s">
        <v>28</v>
      </c>
      <c r="DG43" t="s">
        <v>29</v>
      </c>
      <c r="DH43" t="s">
        <v>3</v>
      </c>
      <c r="DI43" t="s">
        <v>29</v>
      </c>
      <c r="DJ43" t="s">
        <v>28</v>
      </c>
      <c r="DK43" t="s">
        <v>3</v>
      </c>
      <c r="DL43" t="s">
        <v>30</v>
      </c>
      <c r="DM43" t="s">
        <v>31</v>
      </c>
      <c r="DN43">
        <v>0</v>
      </c>
      <c r="DO43">
        <v>0</v>
      </c>
      <c r="DP43">
        <v>1</v>
      </c>
      <c r="DQ43">
        <v>1</v>
      </c>
      <c r="DU43">
        <v>1013</v>
      </c>
      <c r="DV43" t="s">
        <v>98</v>
      </c>
      <c r="DW43" t="s">
        <v>98</v>
      </c>
      <c r="DX43">
        <v>1</v>
      </c>
      <c r="DZ43" t="s">
        <v>3</v>
      </c>
      <c r="EA43" t="s">
        <v>3</v>
      </c>
      <c r="EB43" t="s">
        <v>3</v>
      </c>
      <c r="EC43" t="s">
        <v>3</v>
      </c>
      <c r="EE43">
        <v>57922173</v>
      </c>
      <c r="EF43">
        <v>2</v>
      </c>
      <c r="EG43" t="s">
        <v>32</v>
      </c>
      <c r="EH43">
        <v>8</v>
      </c>
      <c r="EI43" t="s">
        <v>100</v>
      </c>
      <c r="EJ43">
        <v>1</v>
      </c>
      <c r="EK43">
        <v>8001</v>
      </c>
      <c r="EL43" t="s">
        <v>100</v>
      </c>
      <c r="EM43" t="s">
        <v>101</v>
      </c>
      <c r="EO43" t="s">
        <v>3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70.2</v>
      </c>
      <c r="EX43">
        <v>0.18</v>
      </c>
      <c r="EY43">
        <v>0</v>
      </c>
      <c r="FQ43">
        <v>0</v>
      </c>
      <c r="FR43">
        <f t="shared" si="41"/>
        <v>0</v>
      </c>
      <c r="FS43">
        <v>0</v>
      </c>
      <c r="FX43">
        <v>99</v>
      </c>
      <c r="FY43">
        <v>58.65</v>
      </c>
      <c r="GA43" t="s">
        <v>3</v>
      </c>
      <c r="GD43">
        <v>1</v>
      </c>
      <c r="GF43">
        <v>-1545250200</v>
      </c>
      <c r="GG43">
        <v>2</v>
      </c>
      <c r="GH43">
        <v>1</v>
      </c>
      <c r="GI43">
        <v>-2</v>
      </c>
      <c r="GJ43">
        <v>0</v>
      </c>
      <c r="GK43">
        <v>0</v>
      </c>
      <c r="GL43">
        <f t="shared" si="42"/>
        <v>0</v>
      </c>
      <c r="GM43">
        <f t="shared" si="43"/>
        <v>34621.71</v>
      </c>
      <c r="GN43">
        <f t="shared" si="44"/>
        <v>34621.71</v>
      </c>
      <c r="GO43">
        <f t="shared" si="45"/>
        <v>0</v>
      </c>
      <c r="GP43">
        <f t="shared" si="46"/>
        <v>0</v>
      </c>
      <c r="GR43">
        <v>0</v>
      </c>
      <c r="GS43">
        <v>3</v>
      </c>
      <c r="GT43">
        <v>0</v>
      </c>
      <c r="GU43" t="s">
        <v>3</v>
      </c>
      <c r="GV43">
        <f t="shared" si="47"/>
        <v>0</v>
      </c>
      <c r="GW43">
        <v>1</v>
      </c>
      <c r="GX43">
        <f t="shared" si="48"/>
        <v>0</v>
      </c>
      <c r="HA43">
        <v>0</v>
      </c>
      <c r="HB43">
        <v>0</v>
      </c>
      <c r="HC43">
        <f t="shared" si="49"/>
        <v>0</v>
      </c>
      <c r="HE43" t="s">
        <v>3</v>
      </c>
      <c r="HF43" t="s">
        <v>3</v>
      </c>
      <c r="HM43" t="s">
        <v>3</v>
      </c>
      <c r="HN43" t="s">
        <v>102</v>
      </c>
      <c r="HO43" t="s">
        <v>103</v>
      </c>
      <c r="HP43" t="s">
        <v>100</v>
      </c>
      <c r="HQ43" t="s">
        <v>100</v>
      </c>
      <c r="IK43">
        <v>0</v>
      </c>
    </row>
    <row r="45" spans="1:245" x14ac:dyDescent="0.2">
      <c r="A45" s="2">
        <v>51</v>
      </c>
      <c r="B45" s="2">
        <f>B29</f>
        <v>1</v>
      </c>
      <c r="C45" s="2">
        <f>A29</f>
        <v>4</v>
      </c>
      <c r="D45" s="2">
        <f>ROW(A29)</f>
        <v>29</v>
      </c>
      <c r="E45" s="2"/>
      <c r="F45" s="2" t="str">
        <f>IF(F29&lt;&gt;"",F29,"")</f>
        <v>Новый раздел</v>
      </c>
      <c r="G45" s="2" t="str">
        <f>IF(G29&lt;&gt;"",G29,"")</f>
        <v>Отделочные работы - Стены</v>
      </c>
      <c r="H45" s="2">
        <v>0</v>
      </c>
      <c r="I45" s="2"/>
      <c r="J45" s="2"/>
      <c r="K45" s="2"/>
      <c r="L45" s="2"/>
      <c r="M45" s="2"/>
      <c r="N45" s="2"/>
      <c r="O45" s="2">
        <f t="shared" ref="O45:T45" si="50">ROUND(AB45,2)</f>
        <v>98857.279999999999</v>
      </c>
      <c r="P45" s="2">
        <f t="shared" si="50"/>
        <v>37845.230000000003</v>
      </c>
      <c r="Q45" s="2">
        <f t="shared" si="50"/>
        <v>285.62</v>
      </c>
      <c r="R45" s="2">
        <f t="shared" si="50"/>
        <v>157.29</v>
      </c>
      <c r="S45" s="2">
        <f t="shared" si="50"/>
        <v>60569.14</v>
      </c>
      <c r="T45" s="2">
        <f t="shared" si="50"/>
        <v>0</v>
      </c>
      <c r="U45" s="2">
        <f>AH45</f>
        <v>258.54817794999997</v>
      </c>
      <c r="V45" s="2">
        <f>AI45</f>
        <v>0.59723625000000002</v>
      </c>
      <c r="W45" s="2">
        <f>ROUND(AJ45,2)</f>
        <v>0</v>
      </c>
      <c r="X45" s="2">
        <f>ROUND(AK45,2)</f>
        <v>55789.52</v>
      </c>
      <c r="Y45" s="2">
        <f>ROUND(AL45,2)</f>
        <v>28220.74</v>
      </c>
      <c r="Z45" s="2"/>
      <c r="AA45" s="2"/>
      <c r="AB45" s="2">
        <f>ROUND(SUMIF(AA33:AA43,"=59552816",O33:O43),2)</f>
        <v>98857.279999999999</v>
      </c>
      <c r="AC45" s="2">
        <f>ROUND(SUMIF(AA33:AA43,"=59552816",P33:P43),2)</f>
        <v>37845.230000000003</v>
      </c>
      <c r="AD45" s="2">
        <f>ROUND(SUMIF(AA33:AA43,"=59552816",Q33:Q43),2)</f>
        <v>285.62</v>
      </c>
      <c r="AE45" s="2">
        <f>ROUND(SUMIF(AA33:AA43,"=59552816",R33:R43),2)</f>
        <v>157.29</v>
      </c>
      <c r="AF45" s="2">
        <f>ROUND(SUMIF(AA33:AA43,"=59552816",S33:S43),2)</f>
        <v>60569.14</v>
      </c>
      <c r="AG45" s="2">
        <f>ROUND(SUMIF(AA33:AA43,"=59552816",T33:T43),2)</f>
        <v>0</v>
      </c>
      <c r="AH45" s="2">
        <f>SUMIF(AA33:AA43,"=59552816",U33:U43)</f>
        <v>258.54817794999997</v>
      </c>
      <c r="AI45" s="2">
        <f>SUMIF(AA33:AA43,"=59552816",V33:V43)</f>
        <v>0.59723625000000002</v>
      </c>
      <c r="AJ45" s="2">
        <f>ROUND(SUMIF(AA33:AA43,"=59552816",W33:W43),2)</f>
        <v>0</v>
      </c>
      <c r="AK45" s="2">
        <f>ROUND(SUMIF(AA33:AA43,"=59552816",X33:X43),2)</f>
        <v>55789.52</v>
      </c>
      <c r="AL45" s="2">
        <f>ROUND(SUMIF(AA33:AA43,"=59552816",Y33:Y43),2)</f>
        <v>28220.74</v>
      </c>
      <c r="AM45" s="2"/>
      <c r="AN45" s="2"/>
      <c r="AO45" s="2">
        <f t="shared" ref="AO45:BD45" si="51">ROUND(BX45,2)</f>
        <v>0</v>
      </c>
      <c r="AP45" s="2">
        <f t="shared" si="51"/>
        <v>0</v>
      </c>
      <c r="AQ45" s="2">
        <f t="shared" si="51"/>
        <v>0</v>
      </c>
      <c r="AR45" s="2">
        <f t="shared" si="51"/>
        <v>182867.54</v>
      </c>
      <c r="AS45" s="2">
        <f t="shared" si="51"/>
        <v>182867.54</v>
      </c>
      <c r="AT45" s="2">
        <f t="shared" si="51"/>
        <v>0</v>
      </c>
      <c r="AU45" s="2">
        <f t="shared" si="51"/>
        <v>0</v>
      </c>
      <c r="AV45" s="2">
        <f t="shared" si="51"/>
        <v>37845.230000000003</v>
      </c>
      <c r="AW45" s="2">
        <f t="shared" si="51"/>
        <v>37845.230000000003</v>
      </c>
      <c r="AX45" s="2">
        <f t="shared" si="51"/>
        <v>0</v>
      </c>
      <c r="AY45" s="2">
        <f t="shared" si="51"/>
        <v>37845.230000000003</v>
      </c>
      <c r="AZ45" s="2">
        <f t="shared" si="51"/>
        <v>0</v>
      </c>
      <c r="BA45" s="2">
        <f t="shared" si="51"/>
        <v>0</v>
      </c>
      <c r="BB45" s="2">
        <f t="shared" si="51"/>
        <v>0</v>
      </c>
      <c r="BC45" s="2">
        <f t="shared" si="51"/>
        <v>0</v>
      </c>
      <c r="BD45" s="2">
        <f t="shared" si="51"/>
        <v>0</v>
      </c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>
        <f>ROUND(SUMIF(AA33:AA43,"=59552816",FQ33:FQ43),2)</f>
        <v>0</v>
      </c>
      <c r="BY45" s="2">
        <f>ROUND(SUMIF(AA33:AA43,"=59552816",FR33:FR43),2)</f>
        <v>0</v>
      </c>
      <c r="BZ45" s="2">
        <f>ROUND(SUMIF(AA33:AA43,"=59552816",GL33:GL43),2)</f>
        <v>0</v>
      </c>
      <c r="CA45" s="2">
        <f>ROUND(SUMIF(AA33:AA43,"=59552816",GM33:GM43),2)</f>
        <v>182867.54</v>
      </c>
      <c r="CB45" s="2">
        <f>ROUND(SUMIF(AA33:AA43,"=59552816",GN33:GN43),2)</f>
        <v>182867.54</v>
      </c>
      <c r="CC45" s="2">
        <f>ROUND(SUMIF(AA33:AA43,"=59552816",GO33:GO43),2)</f>
        <v>0</v>
      </c>
      <c r="CD45" s="2">
        <f>ROUND(SUMIF(AA33:AA43,"=59552816",GP33:GP43),2)</f>
        <v>0</v>
      </c>
      <c r="CE45" s="2">
        <f>AC45-BX45</f>
        <v>37845.230000000003</v>
      </c>
      <c r="CF45" s="2">
        <f>AC45-BY45</f>
        <v>37845.230000000003</v>
      </c>
      <c r="CG45" s="2">
        <f>BX45-BZ45</f>
        <v>0</v>
      </c>
      <c r="CH45" s="2">
        <f>AC45-BX45-BY45+BZ45</f>
        <v>37845.230000000003</v>
      </c>
      <c r="CI45" s="2">
        <f>BY45-BZ45</f>
        <v>0</v>
      </c>
      <c r="CJ45" s="2">
        <f>ROUND(SUMIF(AA33:AA43,"=59552816",GX33:GX43),2)</f>
        <v>0</v>
      </c>
      <c r="CK45" s="2">
        <f>ROUND(SUMIF(AA33:AA43,"=59552816",GY33:GY43),2)</f>
        <v>0</v>
      </c>
      <c r="CL45" s="2">
        <f>ROUND(SUMIF(AA33:AA43,"=59552816",GZ33:GZ43),2)</f>
        <v>0</v>
      </c>
      <c r="CM45" s="2">
        <f>ROUND(SUMIF(AA33:AA43,"=59552816",HD33:HD43),2)</f>
        <v>0</v>
      </c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>
        <v>0</v>
      </c>
    </row>
    <row r="47" spans="1:245" x14ac:dyDescent="0.2">
      <c r="A47" s="4">
        <v>50</v>
      </c>
      <c r="B47" s="4">
        <v>0</v>
      </c>
      <c r="C47" s="4">
        <v>0</v>
      </c>
      <c r="D47" s="4">
        <v>1</v>
      </c>
      <c r="E47" s="4">
        <v>201</v>
      </c>
      <c r="F47" s="4">
        <f>ROUND(Source!O45,O47)</f>
        <v>98857.279999999999</v>
      </c>
      <c r="G47" s="4" t="s">
        <v>104</v>
      </c>
      <c r="H47" s="4" t="s">
        <v>105</v>
      </c>
      <c r="I47" s="4"/>
      <c r="J47" s="4"/>
      <c r="K47" s="4">
        <v>201</v>
      </c>
      <c r="L47" s="4">
        <v>1</v>
      </c>
      <c r="M47" s="4">
        <v>3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98857.279999999999</v>
      </c>
      <c r="X47" s="4">
        <v>1</v>
      </c>
      <c r="Y47" s="4">
        <v>98857.279999999999</v>
      </c>
      <c r="Z47" s="4"/>
      <c r="AA47" s="4"/>
      <c r="AB47" s="4"/>
    </row>
    <row r="48" spans="1:245" x14ac:dyDescent="0.2">
      <c r="A48" s="4">
        <v>50</v>
      </c>
      <c r="B48" s="4">
        <v>0</v>
      </c>
      <c r="C48" s="4">
        <v>0</v>
      </c>
      <c r="D48" s="4">
        <v>1</v>
      </c>
      <c r="E48" s="4">
        <v>202</v>
      </c>
      <c r="F48" s="4">
        <f>ROUND(Source!P45,O48)</f>
        <v>37845.230000000003</v>
      </c>
      <c r="G48" s="4" t="s">
        <v>106</v>
      </c>
      <c r="H48" s="4" t="s">
        <v>107</v>
      </c>
      <c r="I48" s="4"/>
      <c r="J48" s="4"/>
      <c r="K48" s="4">
        <v>202</v>
      </c>
      <c r="L48" s="4">
        <v>2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37845.230000000003</v>
      </c>
      <c r="X48" s="4">
        <v>1</v>
      </c>
      <c r="Y48" s="4">
        <v>37845.230000000003</v>
      </c>
      <c r="Z48" s="4"/>
      <c r="AA48" s="4"/>
      <c r="AB48" s="4"/>
    </row>
    <row r="49" spans="1:28" x14ac:dyDescent="0.2">
      <c r="A49" s="4">
        <v>50</v>
      </c>
      <c r="B49" s="4">
        <v>0</v>
      </c>
      <c r="C49" s="4">
        <v>0</v>
      </c>
      <c r="D49" s="4">
        <v>1</v>
      </c>
      <c r="E49" s="4">
        <v>222</v>
      </c>
      <c r="F49" s="4">
        <f>ROUND(Source!AO45,O49)</f>
        <v>0</v>
      </c>
      <c r="G49" s="4" t="s">
        <v>108</v>
      </c>
      <c r="H49" s="4" t="s">
        <v>109</v>
      </c>
      <c r="I49" s="4"/>
      <c r="J49" s="4"/>
      <c r="K49" s="4">
        <v>222</v>
      </c>
      <c r="L49" s="4">
        <v>3</v>
      </c>
      <c r="M49" s="4">
        <v>3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0</v>
      </c>
      <c r="X49" s="4">
        <v>1</v>
      </c>
      <c r="Y49" s="4">
        <v>0</v>
      </c>
      <c r="Z49" s="4"/>
      <c r="AA49" s="4"/>
      <c r="AB49" s="4"/>
    </row>
    <row r="50" spans="1:28" x14ac:dyDescent="0.2">
      <c r="A50" s="4">
        <v>50</v>
      </c>
      <c r="B50" s="4">
        <v>0</v>
      </c>
      <c r="C50" s="4">
        <v>0</v>
      </c>
      <c r="D50" s="4">
        <v>1</v>
      </c>
      <c r="E50" s="4">
        <v>225</v>
      </c>
      <c r="F50" s="4">
        <f>ROUND(Source!AV45,O50)</f>
        <v>37845.230000000003</v>
      </c>
      <c r="G50" s="4" t="s">
        <v>110</v>
      </c>
      <c r="H50" s="4" t="s">
        <v>111</v>
      </c>
      <c r="I50" s="4"/>
      <c r="J50" s="4"/>
      <c r="K50" s="4">
        <v>225</v>
      </c>
      <c r="L50" s="4">
        <v>4</v>
      </c>
      <c r="M50" s="4">
        <v>3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37845.230000000003</v>
      </c>
      <c r="X50" s="4">
        <v>1</v>
      </c>
      <c r="Y50" s="4">
        <v>37845.230000000003</v>
      </c>
      <c r="Z50" s="4"/>
      <c r="AA50" s="4"/>
      <c r="AB50" s="4"/>
    </row>
    <row r="51" spans="1:28" x14ac:dyDescent="0.2">
      <c r="A51" s="4">
        <v>50</v>
      </c>
      <c r="B51" s="4">
        <v>0</v>
      </c>
      <c r="C51" s="4">
        <v>0</v>
      </c>
      <c r="D51" s="4">
        <v>1</v>
      </c>
      <c r="E51" s="4">
        <v>226</v>
      </c>
      <c r="F51" s="4">
        <f>ROUND(Source!AW45,O51)</f>
        <v>37845.230000000003</v>
      </c>
      <c r="G51" s="4" t="s">
        <v>112</v>
      </c>
      <c r="H51" s="4" t="s">
        <v>113</v>
      </c>
      <c r="I51" s="4"/>
      <c r="J51" s="4"/>
      <c r="K51" s="4">
        <v>226</v>
      </c>
      <c r="L51" s="4">
        <v>5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37845.230000000003</v>
      </c>
      <c r="X51" s="4">
        <v>1</v>
      </c>
      <c r="Y51" s="4">
        <v>37845.230000000003</v>
      </c>
      <c r="Z51" s="4"/>
      <c r="AA51" s="4"/>
      <c r="AB51" s="4"/>
    </row>
    <row r="52" spans="1:28" x14ac:dyDescent="0.2">
      <c r="A52" s="4">
        <v>50</v>
      </c>
      <c r="B52" s="4">
        <v>0</v>
      </c>
      <c r="C52" s="4">
        <v>0</v>
      </c>
      <c r="D52" s="4">
        <v>1</v>
      </c>
      <c r="E52" s="4">
        <v>227</v>
      </c>
      <c r="F52" s="4">
        <f>ROUND(Source!AX45,O52)</f>
        <v>0</v>
      </c>
      <c r="G52" s="4" t="s">
        <v>114</v>
      </c>
      <c r="H52" s="4" t="s">
        <v>115</v>
      </c>
      <c r="I52" s="4"/>
      <c r="J52" s="4"/>
      <c r="K52" s="4">
        <v>227</v>
      </c>
      <c r="L52" s="4">
        <v>6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>
        <v>0</v>
      </c>
      <c r="X52" s="4">
        <v>1</v>
      </c>
      <c r="Y52" s="4">
        <v>0</v>
      </c>
      <c r="Z52" s="4"/>
      <c r="AA52" s="4"/>
      <c r="AB52" s="4"/>
    </row>
    <row r="53" spans="1:28" x14ac:dyDescent="0.2">
      <c r="A53" s="4">
        <v>50</v>
      </c>
      <c r="B53" s="4">
        <v>0</v>
      </c>
      <c r="C53" s="4">
        <v>0</v>
      </c>
      <c r="D53" s="4">
        <v>1</v>
      </c>
      <c r="E53" s="4">
        <v>228</v>
      </c>
      <c r="F53" s="4">
        <f>ROUND(Source!AY45,O53)</f>
        <v>37845.230000000003</v>
      </c>
      <c r="G53" s="4" t="s">
        <v>116</v>
      </c>
      <c r="H53" s="4" t="s">
        <v>117</v>
      </c>
      <c r="I53" s="4"/>
      <c r="J53" s="4"/>
      <c r="K53" s="4">
        <v>228</v>
      </c>
      <c r="L53" s="4">
        <v>7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>
        <v>37845.230000000003</v>
      </c>
      <c r="X53" s="4">
        <v>1</v>
      </c>
      <c r="Y53" s="4">
        <v>37845.230000000003</v>
      </c>
      <c r="Z53" s="4"/>
      <c r="AA53" s="4"/>
      <c r="AB53" s="4"/>
    </row>
    <row r="54" spans="1:28" x14ac:dyDescent="0.2">
      <c r="A54" s="4">
        <v>50</v>
      </c>
      <c r="B54" s="4">
        <v>0</v>
      </c>
      <c r="C54" s="4">
        <v>0</v>
      </c>
      <c r="D54" s="4">
        <v>1</v>
      </c>
      <c r="E54" s="4">
        <v>216</v>
      </c>
      <c r="F54" s="4">
        <f>ROUND(Source!AP45,O54)</f>
        <v>0</v>
      </c>
      <c r="G54" s="4" t="s">
        <v>118</v>
      </c>
      <c r="H54" s="4" t="s">
        <v>119</v>
      </c>
      <c r="I54" s="4"/>
      <c r="J54" s="4"/>
      <c r="K54" s="4">
        <v>216</v>
      </c>
      <c r="L54" s="4">
        <v>8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0</v>
      </c>
      <c r="X54" s="4">
        <v>1</v>
      </c>
      <c r="Y54" s="4">
        <v>0</v>
      </c>
      <c r="Z54" s="4"/>
      <c r="AA54" s="4"/>
      <c r="AB54" s="4"/>
    </row>
    <row r="55" spans="1:28" x14ac:dyDescent="0.2">
      <c r="A55" s="4">
        <v>50</v>
      </c>
      <c r="B55" s="4">
        <v>0</v>
      </c>
      <c r="C55" s="4">
        <v>0</v>
      </c>
      <c r="D55" s="4">
        <v>1</v>
      </c>
      <c r="E55" s="4">
        <v>223</v>
      </c>
      <c r="F55" s="4">
        <f>ROUND(Source!AQ45,O55)</f>
        <v>0</v>
      </c>
      <c r="G55" s="4" t="s">
        <v>120</v>
      </c>
      <c r="H55" s="4" t="s">
        <v>121</v>
      </c>
      <c r="I55" s="4"/>
      <c r="J55" s="4"/>
      <c r="K55" s="4">
        <v>223</v>
      </c>
      <c r="L55" s="4">
        <v>9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2">
      <c r="A56" s="4">
        <v>50</v>
      </c>
      <c r="B56" s="4">
        <v>0</v>
      </c>
      <c r="C56" s="4">
        <v>0</v>
      </c>
      <c r="D56" s="4">
        <v>1</v>
      </c>
      <c r="E56" s="4">
        <v>229</v>
      </c>
      <c r="F56" s="4">
        <f>ROUND(Source!AZ45,O56)</f>
        <v>0</v>
      </c>
      <c r="G56" s="4" t="s">
        <v>122</v>
      </c>
      <c r="H56" s="4" t="s">
        <v>123</v>
      </c>
      <c r="I56" s="4"/>
      <c r="J56" s="4"/>
      <c r="K56" s="4">
        <v>229</v>
      </c>
      <c r="L56" s="4">
        <v>10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2">
      <c r="A57" s="4">
        <v>50</v>
      </c>
      <c r="B57" s="4">
        <v>0</v>
      </c>
      <c r="C57" s="4">
        <v>0</v>
      </c>
      <c r="D57" s="4">
        <v>1</v>
      </c>
      <c r="E57" s="4">
        <v>203</v>
      </c>
      <c r="F57" s="4">
        <f>ROUND(Source!Q45,O57)</f>
        <v>285.62</v>
      </c>
      <c r="G57" s="4" t="s">
        <v>124</v>
      </c>
      <c r="H57" s="4" t="s">
        <v>125</v>
      </c>
      <c r="I57" s="4"/>
      <c r="J57" s="4"/>
      <c r="K57" s="4">
        <v>203</v>
      </c>
      <c r="L57" s="4">
        <v>11</v>
      </c>
      <c r="M57" s="4">
        <v>3</v>
      </c>
      <c r="N57" s="4" t="s">
        <v>3</v>
      </c>
      <c r="O57" s="4">
        <v>2</v>
      </c>
      <c r="P57" s="4"/>
      <c r="Q57" s="4"/>
      <c r="R57" s="4"/>
      <c r="S57" s="4"/>
      <c r="T57" s="4"/>
      <c r="U57" s="4"/>
      <c r="V57" s="4"/>
      <c r="W57" s="4">
        <v>285.62</v>
      </c>
      <c r="X57" s="4">
        <v>1</v>
      </c>
      <c r="Y57" s="4">
        <v>285.62</v>
      </c>
      <c r="Z57" s="4"/>
      <c r="AA57" s="4"/>
      <c r="AB57" s="4"/>
    </row>
    <row r="58" spans="1:28" x14ac:dyDescent="0.2">
      <c r="A58" s="4">
        <v>50</v>
      </c>
      <c r="B58" s="4">
        <v>0</v>
      </c>
      <c r="C58" s="4">
        <v>0</v>
      </c>
      <c r="D58" s="4">
        <v>1</v>
      </c>
      <c r="E58" s="4">
        <v>231</v>
      </c>
      <c r="F58" s="4">
        <f>ROUND(Source!BB45,O58)</f>
        <v>0</v>
      </c>
      <c r="G58" s="4" t="s">
        <v>126</v>
      </c>
      <c r="H58" s="4" t="s">
        <v>127</v>
      </c>
      <c r="I58" s="4"/>
      <c r="J58" s="4"/>
      <c r="K58" s="4">
        <v>231</v>
      </c>
      <c r="L58" s="4">
        <v>12</v>
      </c>
      <c r="M58" s="4">
        <v>3</v>
      </c>
      <c r="N58" s="4" t="s">
        <v>3</v>
      </c>
      <c r="O58" s="4">
        <v>2</v>
      </c>
      <c r="P58" s="4"/>
      <c r="Q58" s="4"/>
      <c r="R58" s="4"/>
      <c r="S58" s="4"/>
      <c r="T58" s="4"/>
      <c r="U58" s="4"/>
      <c r="V58" s="4"/>
      <c r="W58" s="4">
        <v>0</v>
      </c>
      <c r="X58" s="4">
        <v>1</v>
      </c>
      <c r="Y58" s="4">
        <v>0</v>
      </c>
      <c r="Z58" s="4"/>
      <c r="AA58" s="4"/>
      <c r="AB58" s="4"/>
    </row>
    <row r="59" spans="1:28" x14ac:dyDescent="0.2">
      <c r="A59" s="4">
        <v>50</v>
      </c>
      <c r="B59" s="4">
        <v>0</v>
      </c>
      <c r="C59" s="4">
        <v>0</v>
      </c>
      <c r="D59" s="4">
        <v>1</v>
      </c>
      <c r="E59" s="4">
        <v>204</v>
      </c>
      <c r="F59" s="4">
        <f>ROUND(Source!R45,O59)</f>
        <v>157.29</v>
      </c>
      <c r="G59" s="4" t="s">
        <v>128</v>
      </c>
      <c r="H59" s="4" t="s">
        <v>129</v>
      </c>
      <c r="I59" s="4"/>
      <c r="J59" s="4"/>
      <c r="K59" s="4">
        <v>204</v>
      </c>
      <c r="L59" s="4">
        <v>13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>
        <v>157.29</v>
      </c>
      <c r="X59" s="4">
        <v>1</v>
      </c>
      <c r="Y59" s="4">
        <v>157.29</v>
      </c>
      <c r="Z59" s="4"/>
      <c r="AA59" s="4"/>
      <c r="AB59" s="4"/>
    </row>
    <row r="60" spans="1:28" x14ac:dyDescent="0.2">
      <c r="A60" s="4">
        <v>50</v>
      </c>
      <c r="B60" s="4">
        <v>0</v>
      </c>
      <c r="C60" s="4">
        <v>0</v>
      </c>
      <c r="D60" s="4">
        <v>1</v>
      </c>
      <c r="E60" s="4">
        <v>205</v>
      </c>
      <c r="F60" s="4">
        <f>ROUND(Source!S45,O60)</f>
        <v>60569.14</v>
      </c>
      <c r="G60" s="4" t="s">
        <v>130</v>
      </c>
      <c r="H60" s="4" t="s">
        <v>131</v>
      </c>
      <c r="I60" s="4"/>
      <c r="J60" s="4"/>
      <c r="K60" s="4">
        <v>205</v>
      </c>
      <c r="L60" s="4">
        <v>14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>
        <v>60569.14</v>
      </c>
      <c r="X60" s="4">
        <v>1</v>
      </c>
      <c r="Y60" s="4">
        <v>60569.14</v>
      </c>
      <c r="Z60" s="4"/>
      <c r="AA60" s="4"/>
      <c r="AB60" s="4"/>
    </row>
    <row r="61" spans="1:28" x14ac:dyDescent="0.2">
      <c r="A61" s="4">
        <v>50</v>
      </c>
      <c r="B61" s="4">
        <v>0</v>
      </c>
      <c r="C61" s="4">
        <v>0</v>
      </c>
      <c r="D61" s="4">
        <v>1</v>
      </c>
      <c r="E61" s="4">
        <v>232</v>
      </c>
      <c r="F61" s="4">
        <f>ROUND(Source!BC45,O61)</f>
        <v>0</v>
      </c>
      <c r="G61" s="4" t="s">
        <v>132</v>
      </c>
      <c r="H61" s="4" t="s">
        <v>133</v>
      </c>
      <c r="I61" s="4"/>
      <c r="J61" s="4"/>
      <c r="K61" s="4">
        <v>232</v>
      </c>
      <c r="L61" s="4">
        <v>15</v>
      </c>
      <c r="M61" s="4">
        <v>3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>
        <v>0</v>
      </c>
      <c r="X61" s="4">
        <v>1</v>
      </c>
      <c r="Y61" s="4">
        <v>0</v>
      </c>
      <c r="Z61" s="4"/>
      <c r="AA61" s="4"/>
      <c r="AB61" s="4"/>
    </row>
    <row r="62" spans="1:28" x14ac:dyDescent="0.2">
      <c r="A62" s="4">
        <v>50</v>
      </c>
      <c r="B62" s="4">
        <v>0</v>
      </c>
      <c r="C62" s="4">
        <v>0</v>
      </c>
      <c r="D62" s="4">
        <v>1</v>
      </c>
      <c r="E62" s="4">
        <v>214</v>
      </c>
      <c r="F62" s="4">
        <f>ROUND(Source!AS45,O62)</f>
        <v>182867.54</v>
      </c>
      <c r="G62" s="4" t="s">
        <v>134</v>
      </c>
      <c r="H62" s="4" t="s">
        <v>135</v>
      </c>
      <c r="I62" s="4"/>
      <c r="J62" s="4"/>
      <c r="K62" s="4">
        <v>214</v>
      </c>
      <c r="L62" s="4">
        <v>16</v>
      </c>
      <c r="M62" s="4">
        <v>3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>
        <v>182867.54</v>
      </c>
      <c r="X62" s="4">
        <v>1</v>
      </c>
      <c r="Y62" s="4">
        <v>182867.54</v>
      </c>
      <c r="Z62" s="4"/>
      <c r="AA62" s="4"/>
      <c r="AB62" s="4"/>
    </row>
    <row r="63" spans="1:28" x14ac:dyDescent="0.2">
      <c r="A63" s="4">
        <v>50</v>
      </c>
      <c r="B63" s="4">
        <v>0</v>
      </c>
      <c r="C63" s="4">
        <v>0</v>
      </c>
      <c r="D63" s="4">
        <v>1</v>
      </c>
      <c r="E63" s="4">
        <v>215</v>
      </c>
      <c r="F63" s="4">
        <f>ROUND(Source!AT45,O63)</f>
        <v>0</v>
      </c>
      <c r="G63" s="4" t="s">
        <v>136</v>
      </c>
      <c r="H63" s="4" t="s">
        <v>137</v>
      </c>
      <c r="I63" s="4"/>
      <c r="J63" s="4"/>
      <c r="K63" s="4">
        <v>215</v>
      </c>
      <c r="L63" s="4">
        <v>17</v>
      </c>
      <c r="M63" s="4">
        <v>3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0</v>
      </c>
      <c r="X63" s="4">
        <v>1</v>
      </c>
      <c r="Y63" s="4">
        <v>0</v>
      </c>
      <c r="Z63" s="4"/>
      <c r="AA63" s="4"/>
      <c r="AB63" s="4"/>
    </row>
    <row r="64" spans="1:28" x14ac:dyDescent="0.2">
      <c r="A64" s="4">
        <v>50</v>
      </c>
      <c r="B64" s="4">
        <v>0</v>
      </c>
      <c r="C64" s="4">
        <v>0</v>
      </c>
      <c r="D64" s="4">
        <v>1</v>
      </c>
      <c r="E64" s="4">
        <v>217</v>
      </c>
      <c r="F64" s="4">
        <f>ROUND(Source!AU45,O64)</f>
        <v>0</v>
      </c>
      <c r="G64" s="4" t="s">
        <v>138</v>
      </c>
      <c r="H64" s="4" t="s">
        <v>139</v>
      </c>
      <c r="I64" s="4"/>
      <c r="J64" s="4"/>
      <c r="K64" s="4">
        <v>217</v>
      </c>
      <c r="L64" s="4">
        <v>18</v>
      </c>
      <c r="M64" s="4">
        <v>3</v>
      </c>
      <c r="N64" s="4" t="s">
        <v>3</v>
      </c>
      <c r="O64" s="4">
        <v>2</v>
      </c>
      <c r="P64" s="4"/>
      <c r="Q64" s="4"/>
      <c r="R64" s="4"/>
      <c r="S64" s="4"/>
      <c r="T64" s="4"/>
      <c r="U64" s="4"/>
      <c r="V64" s="4"/>
      <c r="W64" s="4">
        <v>0</v>
      </c>
      <c r="X64" s="4">
        <v>1</v>
      </c>
      <c r="Y64" s="4">
        <v>0</v>
      </c>
      <c r="Z64" s="4"/>
      <c r="AA64" s="4"/>
      <c r="AB64" s="4"/>
    </row>
    <row r="65" spans="1:245" x14ac:dyDescent="0.2">
      <c r="A65" s="4">
        <v>50</v>
      </c>
      <c r="B65" s="4">
        <v>0</v>
      </c>
      <c r="C65" s="4">
        <v>0</v>
      </c>
      <c r="D65" s="4">
        <v>1</v>
      </c>
      <c r="E65" s="4">
        <v>230</v>
      </c>
      <c r="F65" s="4">
        <f>ROUND(Source!BA45,O65)</f>
        <v>0</v>
      </c>
      <c r="G65" s="4" t="s">
        <v>140</v>
      </c>
      <c r="H65" s="4" t="s">
        <v>141</v>
      </c>
      <c r="I65" s="4"/>
      <c r="J65" s="4"/>
      <c r="K65" s="4">
        <v>230</v>
      </c>
      <c r="L65" s="4">
        <v>19</v>
      </c>
      <c r="M65" s="4">
        <v>3</v>
      </c>
      <c r="N65" s="4" t="s">
        <v>3</v>
      </c>
      <c r="O65" s="4">
        <v>2</v>
      </c>
      <c r="P65" s="4"/>
      <c r="Q65" s="4"/>
      <c r="R65" s="4"/>
      <c r="S65" s="4"/>
      <c r="T65" s="4"/>
      <c r="U65" s="4"/>
      <c r="V65" s="4"/>
      <c r="W65" s="4">
        <v>0</v>
      </c>
      <c r="X65" s="4">
        <v>1</v>
      </c>
      <c r="Y65" s="4">
        <v>0</v>
      </c>
      <c r="Z65" s="4"/>
      <c r="AA65" s="4"/>
      <c r="AB65" s="4"/>
    </row>
    <row r="66" spans="1:245" x14ac:dyDescent="0.2">
      <c r="A66" s="4">
        <v>50</v>
      </c>
      <c r="B66" s="4">
        <v>0</v>
      </c>
      <c r="C66" s="4">
        <v>0</v>
      </c>
      <c r="D66" s="4">
        <v>1</v>
      </c>
      <c r="E66" s="4">
        <v>206</v>
      </c>
      <c r="F66" s="4">
        <f>ROUND(Source!T45,O66)</f>
        <v>0</v>
      </c>
      <c r="G66" s="4" t="s">
        <v>142</v>
      </c>
      <c r="H66" s="4" t="s">
        <v>143</v>
      </c>
      <c r="I66" s="4"/>
      <c r="J66" s="4"/>
      <c r="K66" s="4">
        <v>206</v>
      </c>
      <c r="L66" s="4">
        <v>20</v>
      </c>
      <c r="M66" s="4">
        <v>3</v>
      </c>
      <c r="N66" s="4" t="s">
        <v>3</v>
      </c>
      <c r="O66" s="4">
        <v>2</v>
      </c>
      <c r="P66" s="4"/>
      <c r="Q66" s="4"/>
      <c r="R66" s="4"/>
      <c r="S66" s="4"/>
      <c r="T66" s="4"/>
      <c r="U66" s="4"/>
      <c r="V66" s="4"/>
      <c r="W66" s="4">
        <v>0</v>
      </c>
      <c r="X66" s="4">
        <v>1</v>
      </c>
      <c r="Y66" s="4">
        <v>0</v>
      </c>
      <c r="Z66" s="4"/>
      <c r="AA66" s="4"/>
      <c r="AB66" s="4"/>
    </row>
    <row r="67" spans="1:245" x14ac:dyDescent="0.2">
      <c r="A67" s="4">
        <v>50</v>
      </c>
      <c r="B67" s="4">
        <v>0</v>
      </c>
      <c r="C67" s="4">
        <v>0</v>
      </c>
      <c r="D67" s="4">
        <v>1</v>
      </c>
      <c r="E67" s="4">
        <v>207</v>
      </c>
      <c r="F67" s="4">
        <f>Source!U45</f>
        <v>258.54817794999997</v>
      </c>
      <c r="G67" s="4" t="s">
        <v>144</v>
      </c>
      <c r="H67" s="4" t="s">
        <v>145</v>
      </c>
      <c r="I67" s="4"/>
      <c r="J67" s="4"/>
      <c r="K67" s="4">
        <v>207</v>
      </c>
      <c r="L67" s="4">
        <v>21</v>
      </c>
      <c r="M67" s="4">
        <v>3</v>
      </c>
      <c r="N67" s="4" t="s">
        <v>3</v>
      </c>
      <c r="O67" s="4">
        <v>-1</v>
      </c>
      <c r="P67" s="4"/>
      <c r="Q67" s="4"/>
      <c r="R67" s="4"/>
      <c r="S67" s="4"/>
      <c r="T67" s="4"/>
      <c r="U67" s="4"/>
      <c r="V67" s="4"/>
      <c r="W67" s="4">
        <v>258.54817800000001</v>
      </c>
      <c r="X67" s="4">
        <v>1</v>
      </c>
      <c r="Y67" s="4">
        <v>258.54817800000001</v>
      </c>
      <c r="Z67" s="4"/>
      <c r="AA67" s="4"/>
      <c r="AB67" s="4"/>
    </row>
    <row r="68" spans="1:245" x14ac:dyDescent="0.2">
      <c r="A68" s="4">
        <v>50</v>
      </c>
      <c r="B68" s="4">
        <v>0</v>
      </c>
      <c r="C68" s="4">
        <v>0</v>
      </c>
      <c r="D68" s="4">
        <v>1</v>
      </c>
      <c r="E68" s="4">
        <v>208</v>
      </c>
      <c r="F68" s="4">
        <f>Source!V45</f>
        <v>0.59723625000000002</v>
      </c>
      <c r="G68" s="4" t="s">
        <v>146</v>
      </c>
      <c r="H68" s="4" t="s">
        <v>147</v>
      </c>
      <c r="I68" s="4"/>
      <c r="J68" s="4"/>
      <c r="K68" s="4">
        <v>208</v>
      </c>
      <c r="L68" s="4">
        <v>22</v>
      </c>
      <c r="M68" s="4">
        <v>3</v>
      </c>
      <c r="N68" s="4" t="s">
        <v>3</v>
      </c>
      <c r="O68" s="4">
        <v>-1</v>
      </c>
      <c r="P68" s="4"/>
      <c r="Q68" s="4"/>
      <c r="R68" s="4"/>
      <c r="S68" s="4"/>
      <c r="T68" s="4"/>
      <c r="U68" s="4"/>
      <c r="V68" s="4"/>
      <c r="W68" s="4">
        <v>0.59723630000000005</v>
      </c>
      <c r="X68" s="4">
        <v>1</v>
      </c>
      <c r="Y68" s="4">
        <v>0.59723630000000005</v>
      </c>
      <c r="Z68" s="4"/>
      <c r="AA68" s="4"/>
      <c r="AB68" s="4"/>
    </row>
    <row r="69" spans="1:245" x14ac:dyDescent="0.2">
      <c r="A69" s="4">
        <v>50</v>
      </c>
      <c r="B69" s="4">
        <v>0</v>
      </c>
      <c r="C69" s="4">
        <v>0</v>
      </c>
      <c r="D69" s="4">
        <v>1</v>
      </c>
      <c r="E69" s="4">
        <v>209</v>
      </c>
      <c r="F69" s="4">
        <f>ROUND(Source!W45,O69)</f>
        <v>0</v>
      </c>
      <c r="G69" s="4" t="s">
        <v>148</v>
      </c>
      <c r="H69" s="4" t="s">
        <v>149</v>
      </c>
      <c r="I69" s="4"/>
      <c r="J69" s="4"/>
      <c r="K69" s="4">
        <v>209</v>
      </c>
      <c r="L69" s="4">
        <v>23</v>
      </c>
      <c r="M69" s="4">
        <v>3</v>
      </c>
      <c r="N69" s="4" t="s">
        <v>3</v>
      </c>
      <c r="O69" s="4">
        <v>2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45" x14ac:dyDescent="0.2">
      <c r="A70" s="4">
        <v>50</v>
      </c>
      <c r="B70" s="4">
        <v>0</v>
      </c>
      <c r="C70" s="4">
        <v>0</v>
      </c>
      <c r="D70" s="4">
        <v>1</v>
      </c>
      <c r="E70" s="4">
        <v>233</v>
      </c>
      <c r="F70" s="4">
        <f>ROUND(Source!BD45,O70)</f>
        <v>0</v>
      </c>
      <c r="G70" s="4" t="s">
        <v>150</v>
      </c>
      <c r="H70" s="4" t="s">
        <v>151</v>
      </c>
      <c r="I70" s="4"/>
      <c r="J70" s="4"/>
      <c r="K70" s="4">
        <v>233</v>
      </c>
      <c r="L70" s="4">
        <v>24</v>
      </c>
      <c r="M70" s="4">
        <v>3</v>
      </c>
      <c r="N70" s="4" t="s">
        <v>3</v>
      </c>
      <c r="O70" s="4">
        <v>2</v>
      </c>
      <c r="P70" s="4"/>
      <c r="Q70" s="4"/>
      <c r="R70" s="4"/>
      <c r="S70" s="4"/>
      <c r="T70" s="4"/>
      <c r="U70" s="4"/>
      <c r="V70" s="4"/>
      <c r="W70" s="4">
        <v>0</v>
      </c>
      <c r="X70" s="4">
        <v>1</v>
      </c>
      <c r="Y70" s="4">
        <v>0</v>
      </c>
      <c r="Z70" s="4"/>
      <c r="AA70" s="4"/>
      <c r="AB70" s="4"/>
    </row>
    <row r="71" spans="1:245" x14ac:dyDescent="0.2">
      <c r="A71" s="4">
        <v>50</v>
      </c>
      <c r="B71" s="4">
        <v>0</v>
      </c>
      <c r="C71" s="4">
        <v>0</v>
      </c>
      <c r="D71" s="4">
        <v>1</v>
      </c>
      <c r="E71" s="4">
        <v>210</v>
      </c>
      <c r="F71" s="4">
        <f>ROUND(Source!X45,O71)</f>
        <v>55789.52</v>
      </c>
      <c r="G71" s="4" t="s">
        <v>152</v>
      </c>
      <c r="H71" s="4" t="s">
        <v>153</v>
      </c>
      <c r="I71" s="4"/>
      <c r="J71" s="4"/>
      <c r="K71" s="4">
        <v>210</v>
      </c>
      <c r="L71" s="4">
        <v>25</v>
      </c>
      <c r="M71" s="4">
        <v>3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55789.52</v>
      </c>
      <c r="X71" s="4">
        <v>1</v>
      </c>
      <c r="Y71" s="4">
        <v>55789.52</v>
      </c>
      <c r="Z71" s="4"/>
      <c r="AA71" s="4"/>
      <c r="AB71" s="4"/>
    </row>
    <row r="72" spans="1:245" x14ac:dyDescent="0.2">
      <c r="A72" s="4">
        <v>50</v>
      </c>
      <c r="B72" s="4">
        <v>0</v>
      </c>
      <c r="C72" s="4">
        <v>0</v>
      </c>
      <c r="D72" s="4">
        <v>1</v>
      </c>
      <c r="E72" s="4">
        <v>211</v>
      </c>
      <c r="F72" s="4">
        <f>ROUND(Source!Y45,O72)</f>
        <v>28220.74</v>
      </c>
      <c r="G72" s="4" t="s">
        <v>154</v>
      </c>
      <c r="H72" s="4" t="s">
        <v>155</v>
      </c>
      <c r="I72" s="4"/>
      <c r="J72" s="4"/>
      <c r="K72" s="4">
        <v>211</v>
      </c>
      <c r="L72" s="4">
        <v>26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28220.74</v>
      </c>
      <c r="X72" s="4">
        <v>1</v>
      </c>
      <c r="Y72" s="4">
        <v>28220.74</v>
      </c>
      <c r="Z72" s="4"/>
      <c r="AA72" s="4"/>
      <c r="AB72" s="4"/>
    </row>
    <row r="73" spans="1:245" x14ac:dyDescent="0.2">
      <c r="A73" s="4">
        <v>50</v>
      </c>
      <c r="B73" s="4">
        <v>0</v>
      </c>
      <c r="C73" s="4">
        <v>0</v>
      </c>
      <c r="D73" s="4">
        <v>1</v>
      </c>
      <c r="E73" s="4">
        <v>224</v>
      </c>
      <c r="F73" s="4">
        <f>ROUND(Source!AR45,O73)</f>
        <v>182867.54</v>
      </c>
      <c r="G73" s="4" t="s">
        <v>156</v>
      </c>
      <c r="H73" s="4" t="s">
        <v>157</v>
      </c>
      <c r="I73" s="4"/>
      <c r="J73" s="4"/>
      <c r="K73" s="4">
        <v>224</v>
      </c>
      <c r="L73" s="4">
        <v>27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182867.53999999998</v>
      </c>
      <c r="X73" s="4">
        <v>1</v>
      </c>
      <c r="Y73" s="4">
        <v>182867.53999999998</v>
      </c>
      <c r="Z73" s="4"/>
      <c r="AA73" s="4"/>
      <c r="AB73" s="4"/>
    </row>
    <row r="75" spans="1:245" x14ac:dyDescent="0.2">
      <c r="A75" s="1">
        <v>4</v>
      </c>
      <c r="B75" s="1">
        <v>1</v>
      </c>
      <c r="C75" s="1"/>
      <c r="D75" s="1">
        <f>ROW(A82)</f>
        <v>82</v>
      </c>
      <c r="E75" s="1"/>
      <c r="F75" s="1" t="s">
        <v>45</v>
      </c>
      <c r="G75" s="1" t="s">
        <v>158</v>
      </c>
      <c r="H75" s="1" t="s">
        <v>3</v>
      </c>
      <c r="I75" s="1">
        <v>0</v>
      </c>
      <c r="J75" s="1"/>
      <c r="K75" s="1">
        <v>0</v>
      </c>
      <c r="L75" s="1"/>
      <c r="M75" s="1" t="s">
        <v>3</v>
      </c>
      <c r="N75" s="1"/>
      <c r="O75" s="1"/>
      <c r="P75" s="1"/>
      <c r="Q75" s="1"/>
      <c r="R75" s="1"/>
      <c r="S75" s="1">
        <v>0</v>
      </c>
      <c r="T75" s="1"/>
      <c r="U75" s="1" t="s">
        <v>3</v>
      </c>
      <c r="V75" s="1">
        <v>0</v>
      </c>
      <c r="W75" s="1"/>
      <c r="X75" s="1"/>
      <c r="Y75" s="1"/>
      <c r="Z75" s="1"/>
      <c r="AA75" s="1"/>
      <c r="AB75" s="1" t="s">
        <v>3</v>
      </c>
      <c r="AC75" s="1" t="s">
        <v>3</v>
      </c>
      <c r="AD75" s="1" t="s">
        <v>3</v>
      </c>
      <c r="AE75" s="1" t="s">
        <v>3</v>
      </c>
      <c r="AF75" s="1" t="s">
        <v>3</v>
      </c>
      <c r="AG75" s="1" t="s">
        <v>3</v>
      </c>
      <c r="AH75" s="1"/>
      <c r="AI75" s="1"/>
      <c r="AJ75" s="1"/>
      <c r="AK75" s="1"/>
      <c r="AL75" s="1"/>
      <c r="AM75" s="1"/>
      <c r="AN75" s="1"/>
      <c r="AO75" s="1"/>
      <c r="AP75" s="1" t="s">
        <v>3</v>
      </c>
      <c r="AQ75" s="1" t="s">
        <v>3</v>
      </c>
      <c r="AR75" s="1" t="s">
        <v>3</v>
      </c>
      <c r="AS75" s="1"/>
      <c r="AT75" s="1"/>
      <c r="AU75" s="1"/>
      <c r="AV75" s="1"/>
      <c r="AW75" s="1"/>
      <c r="AX75" s="1"/>
      <c r="AY75" s="1"/>
      <c r="AZ75" s="1" t="s">
        <v>3</v>
      </c>
      <c r="BA75" s="1"/>
      <c r="BB75" s="1" t="s">
        <v>3</v>
      </c>
      <c r="BC75" s="1" t="s">
        <v>3</v>
      </c>
      <c r="BD75" s="1" t="s">
        <v>3</v>
      </c>
      <c r="BE75" s="1" t="s">
        <v>3</v>
      </c>
      <c r="BF75" s="1" t="s">
        <v>3</v>
      </c>
      <c r="BG75" s="1" t="s">
        <v>3</v>
      </c>
      <c r="BH75" s="1" t="s">
        <v>3</v>
      </c>
      <c r="BI75" s="1" t="s">
        <v>3</v>
      </c>
      <c r="BJ75" s="1" t="s">
        <v>3</v>
      </c>
      <c r="BK75" s="1" t="s">
        <v>3</v>
      </c>
      <c r="BL75" s="1" t="s">
        <v>3</v>
      </c>
      <c r="BM75" s="1" t="s">
        <v>3</v>
      </c>
      <c r="BN75" s="1" t="s">
        <v>3</v>
      </c>
      <c r="BO75" s="1" t="s">
        <v>3</v>
      </c>
      <c r="BP75" s="1" t="s">
        <v>3</v>
      </c>
      <c r="BQ75" s="1"/>
      <c r="BR75" s="1"/>
      <c r="BS75" s="1"/>
      <c r="BT75" s="1"/>
      <c r="BU75" s="1"/>
      <c r="BV75" s="1"/>
      <c r="BW75" s="1"/>
      <c r="BX75" s="1">
        <v>0</v>
      </c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>
        <v>0</v>
      </c>
    </row>
    <row r="77" spans="1:245" x14ac:dyDescent="0.2">
      <c r="A77" s="2">
        <v>52</v>
      </c>
      <c r="B77" s="2">
        <f t="shared" ref="B77:G77" si="52">B82</f>
        <v>1</v>
      </c>
      <c r="C77" s="2">
        <f t="shared" si="52"/>
        <v>4</v>
      </c>
      <c r="D77" s="2">
        <f t="shared" si="52"/>
        <v>75</v>
      </c>
      <c r="E77" s="2">
        <f t="shared" si="52"/>
        <v>0</v>
      </c>
      <c r="F77" s="2" t="str">
        <f t="shared" si="52"/>
        <v>Новый раздел</v>
      </c>
      <c r="G77" s="2" t="str">
        <f t="shared" si="52"/>
        <v>Электрика</v>
      </c>
      <c r="H77" s="2"/>
      <c r="I77" s="2"/>
      <c r="J77" s="2"/>
      <c r="K77" s="2"/>
      <c r="L77" s="2"/>
      <c r="M77" s="2"/>
      <c r="N77" s="2"/>
      <c r="O77" s="2">
        <f t="shared" ref="O77:AT77" si="53">O82</f>
        <v>13749.6</v>
      </c>
      <c r="P77" s="2">
        <f t="shared" si="53"/>
        <v>8029.99</v>
      </c>
      <c r="Q77" s="2">
        <f t="shared" si="53"/>
        <v>83.99</v>
      </c>
      <c r="R77" s="2">
        <f t="shared" si="53"/>
        <v>27.04</v>
      </c>
      <c r="S77" s="2">
        <f t="shared" si="53"/>
        <v>5608.58</v>
      </c>
      <c r="T77" s="2">
        <f t="shared" si="53"/>
        <v>0</v>
      </c>
      <c r="U77" s="2">
        <f t="shared" si="53"/>
        <v>20.3904</v>
      </c>
      <c r="V77" s="2">
        <f t="shared" si="53"/>
        <v>8.6400000000000005E-2</v>
      </c>
      <c r="W77" s="2">
        <f t="shared" si="53"/>
        <v>0</v>
      </c>
      <c r="X77" s="2">
        <f t="shared" si="53"/>
        <v>5466.55</v>
      </c>
      <c r="Y77" s="2">
        <f t="shared" si="53"/>
        <v>2874.17</v>
      </c>
      <c r="Z77" s="2">
        <f t="shared" si="53"/>
        <v>0</v>
      </c>
      <c r="AA77" s="2">
        <f t="shared" si="53"/>
        <v>0</v>
      </c>
      <c r="AB77" s="2">
        <f t="shared" si="53"/>
        <v>13749.6</v>
      </c>
      <c r="AC77" s="2">
        <f t="shared" si="53"/>
        <v>8029.99</v>
      </c>
      <c r="AD77" s="2">
        <f t="shared" si="53"/>
        <v>83.99</v>
      </c>
      <c r="AE77" s="2">
        <f t="shared" si="53"/>
        <v>27.04</v>
      </c>
      <c r="AF77" s="2">
        <f t="shared" si="53"/>
        <v>5608.58</v>
      </c>
      <c r="AG77" s="2">
        <f t="shared" si="53"/>
        <v>0</v>
      </c>
      <c r="AH77" s="2">
        <f t="shared" si="53"/>
        <v>20.3904</v>
      </c>
      <c r="AI77" s="2">
        <f t="shared" si="53"/>
        <v>8.6400000000000005E-2</v>
      </c>
      <c r="AJ77" s="2">
        <f t="shared" si="53"/>
        <v>0</v>
      </c>
      <c r="AK77" s="2">
        <f t="shared" si="53"/>
        <v>5466.55</v>
      </c>
      <c r="AL77" s="2">
        <f t="shared" si="53"/>
        <v>2874.17</v>
      </c>
      <c r="AM77" s="2">
        <f t="shared" si="53"/>
        <v>0</v>
      </c>
      <c r="AN77" s="2">
        <f t="shared" si="53"/>
        <v>0</v>
      </c>
      <c r="AO77" s="2">
        <f t="shared" si="53"/>
        <v>0</v>
      </c>
      <c r="AP77" s="2">
        <f t="shared" si="53"/>
        <v>0</v>
      </c>
      <c r="AQ77" s="2">
        <f t="shared" si="53"/>
        <v>0</v>
      </c>
      <c r="AR77" s="2">
        <f t="shared" si="53"/>
        <v>22090.32</v>
      </c>
      <c r="AS77" s="2">
        <f t="shared" si="53"/>
        <v>0</v>
      </c>
      <c r="AT77" s="2">
        <f t="shared" si="53"/>
        <v>22090.32</v>
      </c>
      <c r="AU77" s="2">
        <f t="shared" ref="AU77:BZ77" si="54">AU82</f>
        <v>0</v>
      </c>
      <c r="AV77" s="2">
        <f t="shared" si="54"/>
        <v>8029.99</v>
      </c>
      <c r="AW77" s="2">
        <f t="shared" si="54"/>
        <v>8029.99</v>
      </c>
      <c r="AX77" s="2">
        <f t="shared" si="54"/>
        <v>0</v>
      </c>
      <c r="AY77" s="2">
        <f t="shared" si="54"/>
        <v>8029.99</v>
      </c>
      <c r="AZ77" s="2">
        <f t="shared" si="54"/>
        <v>0</v>
      </c>
      <c r="BA77" s="2">
        <f t="shared" si="54"/>
        <v>0</v>
      </c>
      <c r="BB77" s="2">
        <f t="shared" si="54"/>
        <v>0</v>
      </c>
      <c r="BC77" s="2">
        <f t="shared" si="54"/>
        <v>0</v>
      </c>
      <c r="BD77" s="2">
        <f t="shared" si="54"/>
        <v>0</v>
      </c>
      <c r="BE77" s="2">
        <f t="shared" si="54"/>
        <v>0</v>
      </c>
      <c r="BF77" s="2">
        <f t="shared" si="54"/>
        <v>0</v>
      </c>
      <c r="BG77" s="2">
        <f t="shared" si="54"/>
        <v>0</v>
      </c>
      <c r="BH77" s="2">
        <f t="shared" si="54"/>
        <v>0</v>
      </c>
      <c r="BI77" s="2">
        <f t="shared" si="54"/>
        <v>0</v>
      </c>
      <c r="BJ77" s="2">
        <f t="shared" si="54"/>
        <v>0</v>
      </c>
      <c r="BK77" s="2">
        <f t="shared" si="54"/>
        <v>0</v>
      </c>
      <c r="BL77" s="2">
        <f t="shared" si="54"/>
        <v>0</v>
      </c>
      <c r="BM77" s="2">
        <f t="shared" si="54"/>
        <v>0</v>
      </c>
      <c r="BN77" s="2">
        <f t="shared" si="54"/>
        <v>0</v>
      </c>
      <c r="BO77" s="2">
        <f t="shared" si="54"/>
        <v>0</v>
      </c>
      <c r="BP77" s="2">
        <f t="shared" si="54"/>
        <v>0</v>
      </c>
      <c r="BQ77" s="2">
        <f t="shared" si="54"/>
        <v>0</v>
      </c>
      <c r="BR77" s="2">
        <f t="shared" si="54"/>
        <v>0</v>
      </c>
      <c r="BS77" s="2">
        <f t="shared" si="54"/>
        <v>0</v>
      </c>
      <c r="BT77" s="2">
        <f t="shared" si="54"/>
        <v>0</v>
      </c>
      <c r="BU77" s="2">
        <f t="shared" si="54"/>
        <v>0</v>
      </c>
      <c r="BV77" s="2">
        <f t="shared" si="54"/>
        <v>0</v>
      </c>
      <c r="BW77" s="2">
        <f t="shared" si="54"/>
        <v>0</v>
      </c>
      <c r="BX77" s="2">
        <f t="shared" si="54"/>
        <v>0</v>
      </c>
      <c r="BY77" s="2">
        <f t="shared" si="54"/>
        <v>0</v>
      </c>
      <c r="BZ77" s="2">
        <f t="shared" si="54"/>
        <v>0</v>
      </c>
      <c r="CA77" s="2">
        <f t="shared" ref="CA77:DF77" si="55">CA82</f>
        <v>22090.32</v>
      </c>
      <c r="CB77" s="2">
        <f t="shared" si="55"/>
        <v>0</v>
      </c>
      <c r="CC77" s="2">
        <f t="shared" si="55"/>
        <v>22090.32</v>
      </c>
      <c r="CD77" s="2">
        <f t="shared" si="55"/>
        <v>0</v>
      </c>
      <c r="CE77" s="2">
        <f t="shared" si="55"/>
        <v>8029.99</v>
      </c>
      <c r="CF77" s="2">
        <f t="shared" si="55"/>
        <v>8029.99</v>
      </c>
      <c r="CG77" s="2">
        <f t="shared" si="55"/>
        <v>0</v>
      </c>
      <c r="CH77" s="2">
        <f t="shared" si="55"/>
        <v>8029.99</v>
      </c>
      <c r="CI77" s="2">
        <f t="shared" si="55"/>
        <v>0</v>
      </c>
      <c r="CJ77" s="2">
        <f t="shared" si="55"/>
        <v>0</v>
      </c>
      <c r="CK77" s="2">
        <f t="shared" si="55"/>
        <v>0</v>
      </c>
      <c r="CL77" s="2">
        <f t="shared" si="55"/>
        <v>0</v>
      </c>
      <c r="CM77" s="2">
        <f t="shared" si="55"/>
        <v>0</v>
      </c>
      <c r="CN77" s="2">
        <f t="shared" si="55"/>
        <v>0</v>
      </c>
      <c r="CO77" s="2">
        <f t="shared" si="55"/>
        <v>0</v>
      </c>
      <c r="CP77" s="2">
        <f t="shared" si="55"/>
        <v>0</v>
      </c>
      <c r="CQ77" s="2">
        <f t="shared" si="55"/>
        <v>0</v>
      </c>
      <c r="CR77" s="2">
        <f t="shared" si="55"/>
        <v>0</v>
      </c>
      <c r="CS77" s="2">
        <f t="shared" si="55"/>
        <v>0</v>
      </c>
      <c r="CT77" s="2">
        <f t="shared" si="55"/>
        <v>0</v>
      </c>
      <c r="CU77" s="2">
        <f t="shared" si="55"/>
        <v>0</v>
      </c>
      <c r="CV77" s="2">
        <f t="shared" si="55"/>
        <v>0</v>
      </c>
      <c r="CW77" s="2">
        <f t="shared" si="55"/>
        <v>0</v>
      </c>
      <c r="CX77" s="2">
        <f t="shared" si="55"/>
        <v>0</v>
      </c>
      <c r="CY77" s="2">
        <f t="shared" si="55"/>
        <v>0</v>
      </c>
      <c r="CZ77" s="2">
        <f t="shared" si="55"/>
        <v>0</v>
      </c>
      <c r="DA77" s="2">
        <f t="shared" si="55"/>
        <v>0</v>
      </c>
      <c r="DB77" s="2">
        <f t="shared" si="55"/>
        <v>0</v>
      </c>
      <c r="DC77" s="2">
        <f t="shared" si="55"/>
        <v>0</v>
      </c>
      <c r="DD77" s="2">
        <f t="shared" si="55"/>
        <v>0</v>
      </c>
      <c r="DE77" s="2">
        <f t="shared" si="55"/>
        <v>0</v>
      </c>
      <c r="DF77" s="2">
        <f t="shared" si="55"/>
        <v>0</v>
      </c>
      <c r="DG77" s="3">
        <f t="shared" ref="DG77:EL77" si="56">DG82</f>
        <v>0</v>
      </c>
      <c r="DH77" s="3">
        <f t="shared" si="56"/>
        <v>0</v>
      </c>
      <c r="DI77" s="3">
        <f t="shared" si="56"/>
        <v>0</v>
      </c>
      <c r="DJ77" s="3">
        <f t="shared" si="56"/>
        <v>0</v>
      </c>
      <c r="DK77" s="3">
        <f t="shared" si="56"/>
        <v>0</v>
      </c>
      <c r="DL77" s="3">
        <f t="shared" si="56"/>
        <v>0</v>
      </c>
      <c r="DM77" s="3">
        <f t="shared" si="56"/>
        <v>0</v>
      </c>
      <c r="DN77" s="3">
        <f t="shared" si="56"/>
        <v>0</v>
      </c>
      <c r="DO77" s="3">
        <f t="shared" si="56"/>
        <v>0</v>
      </c>
      <c r="DP77" s="3">
        <f t="shared" si="56"/>
        <v>0</v>
      </c>
      <c r="DQ77" s="3">
        <f t="shared" si="56"/>
        <v>0</v>
      </c>
      <c r="DR77" s="3">
        <f t="shared" si="56"/>
        <v>0</v>
      </c>
      <c r="DS77" s="3">
        <f t="shared" si="56"/>
        <v>0</v>
      </c>
      <c r="DT77" s="3">
        <f t="shared" si="56"/>
        <v>0</v>
      </c>
      <c r="DU77" s="3">
        <f t="shared" si="56"/>
        <v>0</v>
      </c>
      <c r="DV77" s="3">
        <f t="shared" si="56"/>
        <v>0</v>
      </c>
      <c r="DW77" s="3">
        <f t="shared" si="56"/>
        <v>0</v>
      </c>
      <c r="DX77" s="3">
        <f t="shared" si="56"/>
        <v>0</v>
      </c>
      <c r="DY77" s="3">
        <f t="shared" si="56"/>
        <v>0</v>
      </c>
      <c r="DZ77" s="3">
        <f t="shared" si="56"/>
        <v>0</v>
      </c>
      <c r="EA77" s="3">
        <f t="shared" si="56"/>
        <v>0</v>
      </c>
      <c r="EB77" s="3">
        <f t="shared" si="56"/>
        <v>0</v>
      </c>
      <c r="EC77" s="3">
        <f t="shared" si="56"/>
        <v>0</v>
      </c>
      <c r="ED77" s="3">
        <f t="shared" si="56"/>
        <v>0</v>
      </c>
      <c r="EE77" s="3">
        <f t="shared" si="56"/>
        <v>0</v>
      </c>
      <c r="EF77" s="3">
        <f t="shared" si="56"/>
        <v>0</v>
      </c>
      <c r="EG77" s="3">
        <f t="shared" si="56"/>
        <v>0</v>
      </c>
      <c r="EH77" s="3">
        <f t="shared" si="56"/>
        <v>0</v>
      </c>
      <c r="EI77" s="3">
        <f t="shared" si="56"/>
        <v>0</v>
      </c>
      <c r="EJ77" s="3">
        <f t="shared" si="56"/>
        <v>0</v>
      </c>
      <c r="EK77" s="3">
        <f t="shared" si="56"/>
        <v>0</v>
      </c>
      <c r="EL77" s="3">
        <f t="shared" si="56"/>
        <v>0</v>
      </c>
      <c r="EM77" s="3">
        <f t="shared" ref="EM77:FR77" si="57">EM82</f>
        <v>0</v>
      </c>
      <c r="EN77" s="3">
        <f t="shared" si="57"/>
        <v>0</v>
      </c>
      <c r="EO77" s="3">
        <f t="shared" si="57"/>
        <v>0</v>
      </c>
      <c r="EP77" s="3">
        <f t="shared" si="57"/>
        <v>0</v>
      </c>
      <c r="EQ77" s="3">
        <f t="shared" si="57"/>
        <v>0</v>
      </c>
      <c r="ER77" s="3">
        <f t="shared" si="57"/>
        <v>0</v>
      </c>
      <c r="ES77" s="3">
        <f t="shared" si="57"/>
        <v>0</v>
      </c>
      <c r="ET77" s="3">
        <f t="shared" si="57"/>
        <v>0</v>
      </c>
      <c r="EU77" s="3">
        <f t="shared" si="57"/>
        <v>0</v>
      </c>
      <c r="EV77" s="3">
        <f t="shared" si="57"/>
        <v>0</v>
      </c>
      <c r="EW77" s="3">
        <f t="shared" si="57"/>
        <v>0</v>
      </c>
      <c r="EX77" s="3">
        <f t="shared" si="57"/>
        <v>0</v>
      </c>
      <c r="EY77" s="3">
        <f t="shared" si="57"/>
        <v>0</v>
      </c>
      <c r="EZ77" s="3">
        <f t="shared" si="57"/>
        <v>0</v>
      </c>
      <c r="FA77" s="3">
        <f t="shared" si="57"/>
        <v>0</v>
      </c>
      <c r="FB77" s="3">
        <f t="shared" si="57"/>
        <v>0</v>
      </c>
      <c r="FC77" s="3">
        <f t="shared" si="57"/>
        <v>0</v>
      </c>
      <c r="FD77" s="3">
        <f t="shared" si="57"/>
        <v>0</v>
      </c>
      <c r="FE77" s="3">
        <f t="shared" si="57"/>
        <v>0</v>
      </c>
      <c r="FF77" s="3">
        <f t="shared" si="57"/>
        <v>0</v>
      </c>
      <c r="FG77" s="3">
        <f t="shared" si="57"/>
        <v>0</v>
      </c>
      <c r="FH77" s="3">
        <f t="shared" si="57"/>
        <v>0</v>
      </c>
      <c r="FI77" s="3">
        <f t="shared" si="57"/>
        <v>0</v>
      </c>
      <c r="FJ77" s="3">
        <f t="shared" si="57"/>
        <v>0</v>
      </c>
      <c r="FK77" s="3">
        <f t="shared" si="57"/>
        <v>0</v>
      </c>
      <c r="FL77" s="3">
        <f t="shared" si="57"/>
        <v>0</v>
      </c>
      <c r="FM77" s="3">
        <f t="shared" si="57"/>
        <v>0</v>
      </c>
      <c r="FN77" s="3">
        <f t="shared" si="57"/>
        <v>0</v>
      </c>
      <c r="FO77" s="3">
        <f t="shared" si="57"/>
        <v>0</v>
      </c>
      <c r="FP77" s="3">
        <f t="shared" si="57"/>
        <v>0</v>
      </c>
      <c r="FQ77" s="3">
        <f t="shared" si="57"/>
        <v>0</v>
      </c>
      <c r="FR77" s="3">
        <f t="shared" si="57"/>
        <v>0</v>
      </c>
      <c r="FS77" s="3">
        <f t="shared" ref="FS77:GX77" si="58">FS82</f>
        <v>0</v>
      </c>
      <c r="FT77" s="3">
        <f t="shared" si="58"/>
        <v>0</v>
      </c>
      <c r="FU77" s="3">
        <f t="shared" si="58"/>
        <v>0</v>
      </c>
      <c r="FV77" s="3">
        <f t="shared" si="58"/>
        <v>0</v>
      </c>
      <c r="FW77" s="3">
        <f t="shared" si="58"/>
        <v>0</v>
      </c>
      <c r="FX77" s="3">
        <f t="shared" si="58"/>
        <v>0</v>
      </c>
      <c r="FY77" s="3">
        <f t="shared" si="58"/>
        <v>0</v>
      </c>
      <c r="FZ77" s="3">
        <f t="shared" si="58"/>
        <v>0</v>
      </c>
      <c r="GA77" s="3">
        <f t="shared" si="58"/>
        <v>0</v>
      </c>
      <c r="GB77" s="3">
        <f t="shared" si="58"/>
        <v>0</v>
      </c>
      <c r="GC77" s="3">
        <f t="shared" si="58"/>
        <v>0</v>
      </c>
      <c r="GD77" s="3">
        <f t="shared" si="58"/>
        <v>0</v>
      </c>
      <c r="GE77" s="3">
        <f t="shared" si="58"/>
        <v>0</v>
      </c>
      <c r="GF77" s="3">
        <f t="shared" si="58"/>
        <v>0</v>
      </c>
      <c r="GG77" s="3">
        <f t="shared" si="58"/>
        <v>0</v>
      </c>
      <c r="GH77" s="3">
        <f t="shared" si="58"/>
        <v>0</v>
      </c>
      <c r="GI77" s="3">
        <f t="shared" si="58"/>
        <v>0</v>
      </c>
      <c r="GJ77" s="3">
        <f t="shared" si="58"/>
        <v>0</v>
      </c>
      <c r="GK77" s="3">
        <f t="shared" si="58"/>
        <v>0</v>
      </c>
      <c r="GL77" s="3">
        <f t="shared" si="58"/>
        <v>0</v>
      </c>
      <c r="GM77" s="3">
        <f t="shared" si="58"/>
        <v>0</v>
      </c>
      <c r="GN77" s="3">
        <f t="shared" si="58"/>
        <v>0</v>
      </c>
      <c r="GO77" s="3">
        <f t="shared" si="58"/>
        <v>0</v>
      </c>
      <c r="GP77" s="3">
        <f t="shared" si="58"/>
        <v>0</v>
      </c>
      <c r="GQ77" s="3">
        <f t="shared" si="58"/>
        <v>0</v>
      </c>
      <c r="GR77" s="3">
        <f t="shared" si="58"/>
        <v>0</v>
      </c>
      <c r="GS77" s="3">
        <f t="shared" si="58"/>
        <v>0</v>
      </c>
      <c r="GT77" s="3">
        <f t="shared" si="58"/>
        <v>0</v>
      </c>
      <c r="GU77" s="3">
        <f t="shared" si="58"/>
        <v>0</v>
      </c>
      <c r="GV77" s="3">
        <f t="shared" si="58"/>
        <v>0</v>
      </c>
      <c r="GW77" s="3">
        <f t="shared" si="58"/>
        <v>0</v>
      </c>
      <c r="GX77" s="3">
        <f t="shared" si="58"/>
        <v>0</v>
      </c>
    </row>
    <row r="79" spans="1:245" x14ac:dyDescent="0.2">
      <c r="A79">
        <v>17</v>
      </c>
      <c r="B79">
        <v>1</v>
      </c>
      <c r="C79">
        <f>ROW(SmtRes!A98)</f>
        <v>98</v>
      </c>
      <c r="D79">
        <f>ROW(EtalonRes!A98)</f>
        <v>98</v>
      </c>
      <c r="E79" t="s">
        <v>159</v>
      </c>
      <c r="F79" t="s">
        <v>160</v>
      </c>
      <c r="G79" t="s">
        <v>161</v>
      </c>
      <c r="H79" t="s">
        <v>162</v>
      </c>
      <c r="I79">
        <v>0.12</v>
      </c>
      <c r="J79">
        <v>0</v>
      </c>
      <c r="K79">
        <v>0.12</v>
      </c>
      <c r="O79">
        <f>ROUND(CP79,2)</f>
        <v>2542.0500000000002</v>
      </c>
      <c r="P79">
        <f>SUMIF(SmtRes!AQ93:'SmtRes'!AQ98,"=1",SmtRes!DF93:'SmtRes'!DF98)</f>
        <v>0</v>
      </c>
      <c r="Q79">
        <f>SUMIF(SmtRes!AQ93:'SmtRes'!AQ98,"=1",SmtRes!DG93:'SmtRes'!DG98)</f>
        <v>37.33</v>
      </c>
      <c r="R79">
        <f>SUMIF(SmtRes!AQ93:'SmtRes'!AQ98,"=1",SmtRes!DH93:'SmtRes'!DH98)</f>
        <v>12.02</v>
      </c>
      <c r="S79">
        <f>SUMIF(SmtRes!AQ93:'SmtRes'!AQ98,"=1",SmtRes!DI93:'SmtRes'!DI98)</f>
        <v>2492.6999999999998</v>
      </c>
      <c r="T79">
        <f>ROUND(CU79*I79,2)</f>
        <v>0</v>
      </c>
      <c r="U79">
        <f>CV79*I79</f>
        <v>9.0624000000000002</v>
      </c>
      <c r="V79">
        <f>CW79*I79</f>
        <v>3.8400000000000004E-2</v>
      </c>
      <c r="W79">
        <f>ROUND(CX79*I79,2)</f>
        <v>0</v>
      </c>
      <c r="X79">
        <f>ROUND(CY79,2)</f>
        <v>2429.58</v>
      </c>
      <c r="Y79">
        <f>ROUND(CZ79,2)</f>
        <v>1277.4100000000001</v>
      </c>
      <c r="AA79">
        <v>59552816</v>
      </c>
      <c r="AB79">
        <f>ROUND((AC79+AD79+AF79+AE79),2)</f>
        <v>21173.77</v>
      </c>
      <c r="AC79">
        <f>ROUND((0),2)</f>
        <v>0</v>
      </c>
      <c r="AD79">
        <f>ROUND((SUM(SmtRes!BR93:'SmtRes'!BR98)),2)</f>
        <v>301.10000000000002</v>
      </c>
      <c r="AE79">
        <f>ROUND((SUM(SmtRes!BS93:'SmtRes'!BS98)),2)</f>
        <v>100.14</v>
      </c>
      <c r="AF79">
        <f>ROUND((SUM(SmtRes!BT93:'SmtRes'!BT98)),2)</f>
        <v>20772.53</v>
      </c>
      <c r="AG79">
        <f>ROUND((AP79),2)</f>
        <v>0</v>
      </c>
      <c r="AH79">
        <f>(SUM(SmtRes!BU93:'SmtRes'!BU98))</f>
        <v>75.52000000000001</v>
      </c>
      <c r="AI79">
        <f>(SUM(SmtRes!BV93:'SmtRes'!BV98))</f>
        <v>0.32000000000000006</v>
      </c>
      <c r="AJ79">
        <f>(AS79)</f>
        <v>0</v>
      </c>
      <c r="AK79">
        <v>26556.902600000001</v>
      </c>
      <c r="AL79">
        <v>89.688600000000008</v>
      </c>
      <c r="AM79">
        <v>376.37600000000003</v>
      </c>
      <c r="AN79">
        <v>125.17400000000001</v>
      </c>
      <c r="AO79">
        <v>25965.664000000001</v>
      </c>
      <c r="AP79">
        <v>0</v>
      </c>
      <c r="AQ79">
        <v>94.4</v>
      </c>
      <c r="AR79">
        <v>0.4</v>
      </c>
      <c r="AS79">
        <v>0</v>
      </c>
      <c r="AT79">
        <v>97</v>
      </c>
      <c r="AU79">
        <v>51</v>
      </c>
      <c r="AV79">
        <v>1</v>
      </c>
      <c r="AW79">
        <v>1</v>
      </c>
      <c r="AZ79">
        <v>1</v>
      </c>
      <c r="BA79">
        <v>1</v>
      </c>
      <c r="BB79">
        <v>1</v>
      </c>
      <c r="BC79">
        <v>1</v>
      </c>
      <c r="BD79" t="s">
        <v>3</v>
      </c>
      <c r="BE79" t="s">
        <v>3</v>
      </c>
      <c r="BF79" t="s">
        <v>3</v>
      </c>
      <c r="BG79" t="s">
        <v>3</v>
      </c>
      <c r="BH79">
        <v>0</v>
      </c>
      <c r="BI79">
        <v>2</v>
      </c>
      <c r="BJ79" t="s">
        <v>163</v>
      </c>
      <c r="BM79">
        <v>108001</v>
      </c>
      <c r="BN79">
        <v>0</v>
      </c>
      <c r="BO79" t="s">
        <v>3</v>
      </c>
      <c r="BP79">
        <v>0</v>
      </c>
      <c r="BQ79">
        <v>3</v>
      </c>
      <c r="BR79">
        <v>0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3</v>
      </c>
      <c r="BZ79">
        <v>97</v>
      </c>
      <c r="CA79">
        <v>51</v>
      </c>
      <c r="CB79" t="s">
        <v>3</v>
      </c>
      <c r="CE79">
        <v>0</v>
      </c>
      <c r="CF79">
        <v>0</v>
      </c>
      <c r="CG79">
        <v>0</v>
      </c>
      <c r="CM79">
        <v>0</v>
      </c>
      <c r="CN79" t="s">
        <v>3</v>
      </c>
      <c r="CO79">
        <v>0</v>
      </c>
      <c r="CP79">
        <f>(P79+Q79+S79+R79)</f>
        <v>2542.0499999999997</v>
      </c>
      <c r="CQ79">
        <f>SUMIF(SmtRes!AQ93:'SmtRes'!AQ98,"=1",SmtRes!AA93:'SmtRes'!AA98)</f>
        <v>114.31</v>
      </c>
      <c r="CR79">
        <f>SUMIF(SmtRes!AQ93:'SmtRes'!AQ98,"=1",SmtRes!AB93:'SmtRes'!AB98)</f>
        <v>1944.01</v>
      </c>
      <c r="CS79">
        <f>SUMIF(SmtRes!AQ93:'SmtRes'!AQ98,"=1",SmtRes!AC93:'SmtRes'!AC98)</f>
        <v>625.86999999999989</v>
      </c>
      <c r="CT79">
        <f>SUMIF(SmtRes!AQ93:'SmtRes'!AQ98,"=1",SmtRes!AD93:'SmtRes'!AD98)</f>
        <v>275.06</v>
      </c>
      <c r="CU79">
        <f t="shared" ref="CU79:CX80" si="59">AG79</f>
        <v>0</v>
      </c>
      <c r="CV79">
        <f t="shared" si="59"/>
        <v>75.52000000000001</v>
      </c>
      <c r="CW79">
        <f t="shared" si="59"/>
        <v>0.32000000000000006</v>
      </c>
      <c r="CX79">
        <f t="shared" si="59"/>
        <v>0</v>
      </c>
      <c r="CY79">
        <f>(((S79+R79)*AT79)/100)</f>
        <v>2429.5783999999999</v>
      </c>
      <c r="CZ79">
        <f>(((S79+R79)*AU79)/100)</f>
        <v>1277.4071999999999</v>
      </c>
      <c r="DC79" t="s">
        <v>3</v>
      </c>
      <c r="DD79" t="s">
        <v>41</v>
      </c>
      <c r="DE79" t="s">
        <v>42</v>
      </c>
      <c r="DF79" t="s">
        <v>42</v>
      </c>
      <c r="DG79" t="s">
        <v>42</v>
      </c>
      <c r="DH79" t="s">
        <v>3</v>
      </c>
      <c r="DI79" t="s">
        <v>42</v>
      </c>
      <c r="DJ79" t="s">
        <v>42</v>
      </c>
      <c r="DK79" t="s">
        <v>3</v>
      </c>
      <c r="DL79" t="s">
        <v>3</v>
      </c>
      <c r="DM79" t="s">
        <v>3</v>
      </c>
      <c r="DN79">
        <v>0</v>
      </c>
      <c r="DO79">
        <v>0</v>
      </c>
      <c r="DP79">
        <v>1</v>
      </c>
      <c r="DQ79">
        <v>1</v>
      </c>
      <c r="DU79">
        <v>1013</v>
      </c>
      <c r="DV79" t="s">
        <v>162</v>
      </c>
      <c r="DW79" t="s">
        <v>162</v>
      </c>
      <c r="DX79">
        <v>1</v>
      </c>
      <c r="DZ79" t="s">
        <v>3</v>
      </c>
      <c r="EA79" t="s">
        <v>3</v>
      </c>
      <c r="EB79" t="s">
        <v>3</v>
      </c>
      <c r="EC79" t="s">
        <v>3</v>
      </c>
      <c r="EE79">
        <v>57922058</v>
      </c>
      <c r="EF79">
        <v>3</v>
      </c>
      <c r="EG79" t="s">
        <v>164</v>
      </c>
      <c r="EH79">
        <v>0</v>
      </c>
      <c r="EI79" t="s">
        <v>3</v>
      </c>
      <c r="EJ79">
        <v>2</v>
      </c>
      <c r="EK79">
        <v>108001</v>
      </c>
      <c r="EL79" t="s">
        <v>165</v>
      </c>
      <c r="EM79" t="s">
        <v>166</v>
      </c>
      <c r="EO79" t="s">
        <v>3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94.4</v>
      </c>
      <c r="EX79">
        <v>0.4</v>
      </c>
      <c r="EY79">
        <v>0</v>
      </c>
      <c r="FQ79">
        <v>0</v>
      </c>
      <c r="FR79">
        <f>ROUND(IF(BI79=3,GM79,0),2)</f>
        <v>0</v>
      </c>
      <c r="FS79">
        <v>0</v>
      </c>
      <c r="FX79">
        <v>97</v>
      </c>
      <c r="FY79">
        <v>51</v>
      </c>
      <c r="GA79" t="s">
        <v>3</v>
      </c>
      <c r="GD79">
        <v>1</v>
      </c>
      <c r="GF79">
        <v>1617177018</v>
      </c>
      <c r="GG79">
        <v>2</v>
      </c>
      <c r="GH79">
        <v>1</v>
      </c>
      <c r="GI79">
        <v>-2</v>
      </c>
      <c r="GJ79">
        <v>0</v>
      </c>
      <c r="GK79">
        <v>0</v>
      </c>
      <c r="GL79">
        <f>ROUND(IF(AND(BH79=3,BI79=3,FS79&lt;&gt;0),P79,0),2)</f>
        <v>0</v>
      </c>
      <c r="GM79">
        <f>ROUND(O79+X79+Y79,2)+GX79</f>
        <v>6249.04</v>
      </c>
      <c r="GN79">
        <f>IF(OR(BI79=0,BI79=1),GM79,0)</f>
        <v>0</v>
      </c>
      <c r="GO79">
        <f>IF(BI79=2,GM79,0)</f>
        <v>6249.04</v>
      </c>
      <c r="GP79">
        <f>IF(BI79=4,GM79+GX79,0)</f>
        <v>0</v>
      </c>
      <c r="GR79">
        <v>0</v>
      </c>
      <c r="GS79">
        <v>3</v>
      </c>
      <c r="GT79">
        <v>0</v>
      </c>
      <c r="GU79" t="s">
        <v>3</v>
      </c>
      <c r="GV79">
        <f>ROUND((GT79),2)</f>
        <v>0</v>
      </c>
      <c r="GW79">
        <v>1</v>
      </c>
      <c r="GX79">
        <f>ROUND(HC79*I79,2)</f>
        <v>0</v>
      </c>
      <c r="HA79">
        <v>0</v>
      </c>
      <c r="HB79">
        <v>0</v>
      </c>
      <c r="HC79">
        <f>GV79*GW79</f>
        <v>0</v>
      </c>
      <c r="HE79" t="s">
        <v>3</v>
      </c>
      <c r="HF79" t="s">
        <v>3</v>
      </c>
      <c r="HM79" t="s">
        <v>3</v>
      </c>
      <c r="HN79" t="s">
        <v>167</v>
      </c>
      <c r="HO79" t="s">
        <v>168</v>
      </c>
      <c r="HP79" t="s">
        <v>165</v>
      </c>
      <c r="HQ79" t="s">
        <v>165</v>
      </c>
      <c r="IK79">
        <v>0</v>
      </c>
    </row>
    <row r="80" spans="1:245" x14ac:dyDescent="0.2">
      <c r="A80">
        <v>17</v>
      </c>
      <c r="B80">
        <v>1</v>
      </c>
      <c r="C80">
        <f>ROW(SmtRes!A105)</f>
        <v>105</v>
      </c>
      <c r="D80">
        <f>ROW(EtalonRes!A104)</f>
        <v>104</v>
      </c>
      <c r="E80" t="s">
        <v>169</v>
      </c>
      <c r="F80" t="s">
        <v>160</v>
      </c>
      <c r="G80" t="s">
        <v>170</v>
      </c>
      <c r="H80" t="s">
        <v>162</v>
      </c>
      <c r="I80">
        <v>0.12</v>
      </c>
      <c r="J80">
        <v>0</v>
      </c>
      <c r="K80">
        <v>0.12</v>
      </c>
      <c r="O80">
        <f>ROUND(CP80,2)</f>
        <v>11207.55</v>
      </c>
      <c r="P80">
        <f>SUMIF(SmtRes!AQ99:'SmtRes'!AQ105,"=1",SmtRes!DF99:'SmtRes'!DF105)</f>
        <v>8029.99</v>
      </c>
      <c r="Q80">
        <f>SUMIF(SmtRes!AQ99:'SmtRes'!AQ105,"=1",SmtRes!DG99:'SmtRes'!DG105)</f>
        <v>46.660000000000004</v>
      </c>
      <c r="R80">
        <f>SUMIF(SmtRes!AQ99:'SmtRes'!AQ105,"=1",SmtRes!DH99:'SmtRes'!DH105)</f>
        <v>15.02</v>
      </c>
      <c r="S80">
        <f>SUMIF(SmtRes!AQ99:'SmtRes'!AQ105,"=1",SmtRes!DI99:'SmtRes'!DI105)</f>
        <v>3115.88</v>
      </c>
      <c r="T80">
        <f>ROUND(CU80*I80,2)</f>
        <v>0</v>
      </c>
      <c r="U80">
        <f>CV80*I80</f>
        <v>11.327999999999999</v>
      </c>
      <c r="V80">
        <f>CW80*I80</f>
        <v>4.8000000000000001E-2</v>
      </c>
      <c r="W80">
        <f>ROUND(CX80*I80,2)</f>
        <v>0</v>
      </c>
      <c r="X80">
        <f>ROUND(CY80,2)</f>
        <v>3036.97</v>
      </c>
      <c r="Y80">
        <f>ROUND(CZ80,2)</f>
        <v>1596.76</v>
      </c>
      <c r="AA80">
        <v>59552816</v>
      </c>
      <c r="AB80">
        <f>ROUND((AC80+AD80+AF80+AE80),2)</f>
        <v>93356.9</v>
      </c>
      <c r="AC80">
        <f>ROUND((SUM(SmtRes!BQ99:'SmtRes'!BQ105)),2)</f>
        <v>66889.69</v>
      </c>
      <c r="AD80">
        <f>ROUND((SUM(SmtRes!BR99:'SmtRes'!BR105)),2)</f>
        <v>376.38</v>
      </c>
      <c r="AE80">
        <f>ROUND((SUM(SmtRes!BS99:'SmtRes'!BS105)),2)</f>
        <v>125.17</v>
      </c>
      <c r="AF80">
        <f>ROUND((SUM(SmtRes!BT99:'SmtRes'!BT105)),2)</f>
        <v>25965.66</v>
      </c>
      <c r="AG80">
        <f>ROUND((AP80),2)</f>
        <v>0</v>
      </c>
      <c r="AH80">
        <f>(SUM(SmtRes!BU99:'SmtRes'!BU105))</f>
        <v>94.4</v>
      </c>
      <c r="AI80">
        <f>(SUM(SmtRes!BV99:'SmtRes'!BV105))</f>
        <v>0.4</v>
      </c>
      <c r="AJ80">
        <f>(AS80)</f>
        <v>0</v>
      </c>
      <c r="AK80">
        <v>93356.902600000001</v>
      </c>
      <c r="AL80">
        <v>66889.688599999994</v>
      </c>
      <c r="AM80">
        <v>376.37600000000003</v>
      </c>
      <c r="AN80">
        <v>125.17400000000001</v>
      </c>
      <c r="AO80">
        <v>25965.664000000001</v>
      </c>
      <c r="AP80">
        <v>0</v>
      </c>
      <c r="AQ80">
        <v>94.4</v>
      </c>
      <c r="AR80">
        <v>0.4</v>
      </c>
      <c r="AS80">
        <v>0</v>
      </c>
      <c r="AT80">
        <v>97</v>
      </c>
      <c r="AU80">
        <v>51</v>
      </c>
      <c r="AV80">
        <v>1</v>
      </c>
      <c r="AW80">
        <v>1</v>
      </c>
      <c r="AZ80">
        <v>1</v>
      </c>
      <c r="BA80">
        <v>1</v>
      </c>
      <c r="BB80">
        <v>1</v>
      </c>
      <c r="BC80">
        <v>1</v>
      </c>
      <c r="BD80" t="s">
        <v>3</v>
      </c>
      <c r="BE80" t="s">
        <v>3</v>
      </c>
      <c r="BF80" t="s">
        <v>3</v>
      </c>
      <c r="BG80" t="s">
        <v>3</v>
      </c>
      <c r="BH80">
        <v>0</v>
      </c>
      <c r="BI80">
        <v>2</v>
      </c>
      <c r="BJ80" t="s">
        <v>163</v>
      </c>
      <c r="BM80">
        <v>108001</v>
      </c>
      <c r="BN80">
        <v>0</v>
      </c>
      <c r="BO80" t="s">
        <v>3</v>
      </c>
      <c r="BP80">
        <v>0</v>
      </c>
      <c r="BQ80">
        <v>3</v>
      </c>
      <c r="BR80">
        <v>0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1</v>
      </c>
      <c r="BY80" t="s">
        <v>3</v>
      </c>
      <c r="BZ80">
        <v>97</v>
      </c>
      <c r="CA80">
        <v>51</v>
      </c>
      <c r="CB80" t="s">
        <v>3</v>
      </c>
      <c r="CE80">
        <v>0</v>
      </c>
      <c r="CF80">
        <v>0</v>
      </c>
      <c r="CG80">
        <v>0</v>
      </c>
      <c r="CM80">
        <v>0</v>
      </c>
      <c r="CN80" t="s">
        <v>3</v>
      </c>
      <c r="CO80">
        <v>0</v>
      </c>
      <c r="CP80">
        <f>(P80+Q80+S80+R80)</f>
        <v>11207.55</v>
      </c>
      <c r="CQ80">
        <f>SUMIF(SmtRes!AQ99:'SmtRes'!AQ105,"=1",SmtRes!AA99:'SmtRes'!AA105)</f>
        <v>782.31</v>
      </c>
      <c r="CR80">
        <f>SUMIF(SmtRes!AQ99:'SmtRes'!AQ105,"=1",SmtRes!AB99:'SmtRes'!AB105)</f>
        <v>1944.01</v>
      </c>
      <c r="CS80">
        <f>SUMIF(SmtRes!AQ99:'SmtRes'!AQ105,"=1",SmtRes!AC99:'SmtRes'!AC105)</f>
        <v>625.86999999999989</v>
      </c>
      <c r="CT80">
        <f>SUMIF(SmtRes!AQ99:'SmtRes'!AQ105,"=1",SmtRes!AD99:'SmtRes'!AD105)</f>
        <v>275.06</v>
      </c>
      <c r="CU80">
        <f t="shared" si="59"/>
        <v>0</v>
      </c>
      <c r="CV80">
        <f t="shared" si="59"/>
        <v>94.4</v>
      </c>
      <c r="CW80">
        <f t="shared" si="59"/>
        <v>0.4</v>
      </c>
      <c r="CX80">
        <f t="shared" si="59"/>
        <v>0</v>
      </c>
      <c r="CY80">
        <f>(((S80+R80)*AT80)/100)</f>
        <v>3036.973</v>
      </c>
      <c r="CZ80">
        <f>(((S80+R80)*AU80)/100)</f>
        <v>1596.759</v>
      </c>
      <c r="DC80" t="s">
        <v>3</v>
      </c>
      <c r="DD80" t="s">
        <v>3</v>
      </c>
      <c r="DE80" t="s">
        <v>3</v>
      </c>
      <c r="DF80" t="s">
        <v>3</v>
      </c>
      <c r="DG80" t="s">
        <v>3</v>
      </c>
      <c r="DH80" t="s">
        <v>3</v>
      </c>
      <c r="DI80" t="s">
        <v>3</v>
      </c>
      <c r="DJ80" t="s">
        <v>3</v>
      </c>
      <c r="DK80" t="s">
        <v>3</v>
      </c>
      <c r="DL80" t="s">
        <v>3</v>
      </c>
      <c r="DM80" t="s">
        <v>3</v>
      </c>
      <c r="DN80">
        <v>0</v>
      </c>
      <c r="DO80">
        <v>0</v>
      </c>
      <c r="DP80">
        <v>1</v>
      </c>
      <c r="DQ80">
        <v>1</v>
      </c>
      <c r="DU80">
        <v>1013</v>
      </c>
      <c r="DV80" t="s">
        <v>162</v>
      </c>
      <c r="DW80" t="s">
        <v>162</v>
      </c>
      <c r="DX80">
        <v>1</v>
      </c>
      <c r="DZ80" t="s">
        <v>3</v>
      </c>
      <c r="EA80" t="s">
        <v>3</v>
      </c>
      <c r="EB80" t="s">
        <v>3</v>
      </c>
      <c r="EC80" t="s">
        <v>3</v>
      </c>
      <c r="EE80">
        <v>57922058</v>
      </c>
      <c r="EF80">
        <v>3</v>
      </c>
      <c r="EG80" t="s">
        <v>164</v>
      </c>
      <c r="EH80">
        <v>0</v>
      </c>
      <c r="EI80" t="s">
        <v>3</v>
      </c>
      <c r="EJ80">
        <v>2</v>
      </c>
      <c r="EK80">
        <v>108001</v>
      </c>
      <c r="EL80" t="s">
        <v>165</v>
      </c>
      <c r="EM80" t="s">
        <v>166</v>
      </c>
      <c r="EO80" t="s">
        <v>3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94.4</v>
      </c>
      <c r="EX80">
        <v>0.4</v>
      </c>
      <c r="EY80">
        <v>0</v>
      </c>
      <c r="FQ80">
        <v>0</v>
      </c>
      <c r="FR80">
        <f>ROUND(IF(BI80=3,GM80,0),2)</f>
        <v>0</v>
      </c>
      <c r="FS80">
        <v>0</v>
      </c>
      <c r="FX80">
        <v>97</v>
      </c>
      <c r="FY80">
        <v>51</v>
      </c>
      <c r="GA80" t="s">
        <v>3</v>
      </c>
      <c r="GD80">
        <v>1</v>
      </c>
      <c r="GF80">
        <v>-773663128</v>
      </c>
      <c r="GG80">
        <v>2</v>
      </c>
      <c r="GH80">
        <v>1</v>
      </c>
      <c r="GI80">
        <v>-2</v>
      </c>
      <c r="GJ80">
        <v>0</v>
      </c>
      <c r="GK80">
        <v>0</v>
      </c>
      <c r="GL80">
        <f>ROUND(IF(AND(BH80=3,BI80=3,FS80&lt;&gt;0),P80,0),2)</f>
        <v>0</v>
      </c>
      <c r="GM80">
        <f>ROUND(O80+X80+Y80,2)+GX80</f>
        <v>15841.28</v>
      </c>
      <c r="GN80">
        <f>IF(OR(BI80=0,BI80=1),GM80,0)</f>
        <v>0</v>
      </c>
      <c r="GO80">
        <f>IF(BI80=2,GM80,0)</f>
        <v>15841.28</v>
      </c>
      <c r="GP80">
        <f>IF(BI80=4,GM80+GX80,0)</f>
        <v>0</v>
      </c>
      <c r="GR80">
        <v>0</v>
      </c>
      <c r="GS80">
        <v>3</v>
      </c>
      <c r="GT80">
        <v>0</v>
      </c>
      <c r="GU80" t="s">
        <v>3</v>
      </c>
      <c r="GV80">
        <f>ROUND((GT80),2)</f>
        <v>0</v>
      </c>
      <c r="GW80">
        <v>1</v>
      </c>
      <c r="GX80">
        <f>ROUND(HC80*I80,2)</f>
        <v>0</v>
      </c>
      <c r="HA80">
        <v>0</v>
      </c>
      <c r="HB80">
        <v>0</v>
      </c>
      <c r="HC80">
        <f>GV80*GW80</f>
        <v>0</v>
      </c>
      <c r="HE80" t="s">
        <v>3</v>
      </c>
      <c r="HF80" t="s">
        <v>3</v>
      </c>
      <c r="HM80" t="s">
        <v>3</v>
      </c>
      <c r="HN80" t="s">
        <v>167</v>
      </c>
      <c r="HO80" t="s">
        <v>168</v>
      </c>
      <c r="HP80" t="s">
        <v>165</v>
      </c>
      <c r="HQ80" t="s">
        <v>165</v>
      </c>
      <c r="IK80">
        <v>0</v>
      </c>
    </row>
    <row r="82" spans="1:206" x14ac:dyDescent="0.2">
      <c r="A82" s="2">
        <v>51</v>
      </c>
      <c r="B82" s="2">
        <f>B75</f>
        <v>1</v>
      </c>
      <c r="C82" s="2">
        <f>A75</f>
        <v>4</v>
      </c>
      <c r="D82" s="2">
        <f>ROW(A75)</f>
        <v>75</v>
      </c>
      <c r="E82" s="2"/>
      <c r="F82" s="2" t="str">
        <f>IF(F75&lt;&gt;"",F75,"")</f>
        <v>Новый раздел</v>
      </c>
      <c r="G82" s="2" t="str">
        <f>IF(G75&lt;&gt;"",G75,"")</f>
        <v>Электрика</v>
      </c>
      <c r="H82" s="2">
        <v>0</v>
      </c>
      <c r="I82" s="2"/>
      <c r="J82" s="2"/>
      <c r="K82" s="2"/>
      <c r="L82" s="2"/>
      <c r="M82" s="2"/>
      <c r="N82" s="2"/>
      <c r="O82" s="2">
        <f t="shared" ref="O82:T82" si="60">ROUND(AB82,2)</f>
        <v>13749.6</v>
      </c>
      <c r="P82" s="2">
        <f t="shared" si="60"/>
        <v>8029.99</v>
      </c>
      <c r="Q82" s="2">
        <f t="shared" si="60"/>
        <v>83.99</v>
      </c>
      <c r="R82" s="2">
        <f t="shared" si="60"/>
        <v>27.04</v>
      </c>
      <c r="S82" s="2">
        <f t="shared" si="60"/>
        <v>5608.58</v>
      </c>
      <c r="T82" s="2">
        <f t="shared" si="60"/>
        <v>0</v>
      </c>
      <c r="U82" s="2">
        <f>AH82</f>
        <v>20.3904</v>
      </c>
      <c r="V82" s="2">
        <f>AI82</f>
        <v>8.6400000000000005E-2</v>
      </c>
      <c r="W82" s="2">
        <f>ROUND(AJ82,2)</f>
        <v>0</v>
      </c>
      <c r="X82" s="2">
        <f>ROUND(AK82,2)</f>
        <v>5466.55</v>
      </c>
      <c r="Y82" s="2">
        <f>ROUND(AL82,2)</f>
        <v>2874.17</v>
      </c>
      <c r="Z82" s="2"/>
      <c r="AA82" s="2"/>
      <c r="AB82" s="2">
        <f>ROUND(SUMIF(AA79:AA80,"=59552816",O79:O80),2)</f>
        <v>13749.6</v>
      </c>
      <c r="AC82" s="2">
        <f>ROUND(SUMIF(AA79:AA80,"=59552816",P79:P80),2)</f>
        <v>8029.99</v>
      </c>
      <c r="AD82" s="2">
        <f>ROUND(SUMIF(AA79:AA80,"=59552816",Q79:Q80),2)</f>
        <v>83.99</v>
      </c>
      <c r="AE82" s="2">
        <f>ROUND(SUMIF(AA79:AA80,"=59552816",R79:R80),2)</f>
        <v>27.04</v>
      </c>
      <c r="AF82" s="2">
        <f>ROUND(SUMIF(AA79:AA80,"=59552816",S79:S80),2)</f>
        <v>5608.58</v>
      </c>
      <c r="AG82" s="2">
        <f>ROUND(SUMIF(AA79:AA80,"=59552816",T79:T80),2)</f>
        <v>0</v>
      </c>
      <c r="AH82" s="2">
        <f>SUMIF(AA79:AA80,"=59552816",U79:U80)</f>
        <v>20.3904</v>
      </c>
      <c r="AI82" s="2">
        <f>SUMIF(AA79:AA80,"=59552816",V79:V80)</f>
        <v>8.6400000000000005E-2</v>
      </c>
      <c r="AJ82" s="2">
        <f>ROUND(SUMIF(AA79:AA80,"=59552816",W79:W80),2)</f>
        <v>0</v>
      </c>
      <c r="AK82" s="2">
        <f>ROUND(SUMIF(AA79:AA80,"=59552816",X79:X80),2)</f>
        <v>5466.55</v>
      </c>
      <c r="AL82" s="2">
        <f>ROUND(SUMIF(AA79:AA80,"=59552816",Y79:Y80),2)</f>
        <v>2874.17</v>
      </c>
      <c r="AM82" s="2"/>
      <c r="AN82" s="2"/>
      <c r="AO82" s="2">
        <f t="shared" ref="AO82:BD82" si="61">ROUND(BX82,2)</f>
        <v>0</v>
      </c>
      <c r="AP82" s="2">
        <f t="shared" si="61"/>
        <v>0</v>
      </c>
      <c r="AQ82" s="2">
        <f t="shared" si="61"/>
        <v>0</v>
      </c>
      <c r="AR82" s="2">
        <f t="shared" si="61"/>
        <v>22090.32</v>
      </c>
      <c r="AS82" s="2">
        <f t="shared" si="61"/>
        <v>0</v>
      </c>
      <c r="AT82" s="2">
        <f t="shared" si="61"/>
        <v>22090.32</v>
      </c>
      <c r="AU82" s="2">
        <f t="shared" si="61"/>
        <v>0</v>
      </c>
      <c r="AV82" s="2">
        <f t="shared" si="61"/>
        <v>8029.99</v>
      </c>
      <c r="AW82" s="2">
        <f t="shared" si="61"/>
        <v>8029.99</v>
      </c>
      <c r="AX82" s="2">
        <f t="shared" si="61"/>
        <v>0</v>
      </c>
      <c r="AY82" s="2">
        <f t="shared" si="61"/>
        <v>8029.99</v>
      </c>
      <c r="AZ82" s="2">
        <f t="shared" si="61"/>
        <v>0</v>
      </c>
      <c r="BA82" s="2">
        <f t="shared" si="61"/>
        <v>0</v>
      </c>
      <c r="BB82" s="2">
        <f t="shared" si="61"/>
        <v>0</v>
      </c>
      <c r="BC82" s="2">
        <f t="shared" si="61"/>
        <v>0</v>
      </c>
      <c r="BD82" s="2">
        <f t="shared" si="61"/>
        <v>0</v>
      </c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>
        <f>ROUND(SUMIF(AA79:AA80,"=59552816",FQ79:FQ80),2)</f>
        <v>0</v>
      </c>
      <c r="BY82" s="2">
        <f>ROUND(SUMIF(AA79:AA80,"=59552816",FR79:FR80),2)</f>
        <v>0</v>
      </c>
      <c r="BZ82" s="2">
        <f>ROUND(SUMIF(AA79:AA80,"=59552816",GL79:GL80),2)</f>
        <v>0</v>
      </c>
      <c r="CA82" s="2">
        <f>ROUND(SUMIF(AA79:AA80,"=59552816",GM79:GM80),2)</f>
        <v>22090.32</v>
      </c>
      <c r="CB82" s="2">
        <f>ROUND(SUMIF(AA79:AA80,"=59552816",GN79:GN80),2)</f>
        <v>0</v>
      </c>
      <c r="CC82" s="2">
        <f>ROUND(SUMIF(AA79:AA80,"=59552816",GO79:GO80),2)</f>
        <v>22090.32</v>
      </c>
      <c r="CD82" s="2">
        <f>ROUND(SUMIF(AA79:AA80,"=59552816",GP79:GP80),2)</f>
        <v>0</v>
      </c>
      <c r="CE82" s="2">
        <f>AC82-BX82</f>
        <v>8029.99</v>
      </c>
      <c r="CF82" s="2">
        <f>AC82-BY82</f>
        <v>8029.99</v>
      </c>
      <c r="CG82" s="2">
        <f>BX82-BZ82</f>
        <v>0</v>
      </c>
      <c r="CH82" s="2">
        <f>AC82-BX82-BY82+BZ82</f>
        <v>8029.99</v>
      </c>
      <c r="CI82" s="2">
        <f>BY82-BZ82</f>
        <v>0</v>
      </c>
      <c r="CJ82" s="2">
        <f>ROUND(SUMIF(AA79:AA80,"=59552816",GX79:GX80),2)</f>
        <v>0</v>
      </c>
      <c r="CK82" s="2">
        <f>ROUND(SUMIF(AA79:AA80,"=59552816",GY79:GY80),2)</f>
        <v>0</v>
      </c>
      <c r="CL82" s="2">
        <f>ROUND(SUMIF(AA79:AA80,"=59552816",GZ79:GZ80),2)</f>
        <v>0</v>
      </c>
      <c r="CM82" s="2">
        <f>ROUND(SUMIF(AA79:AA80,"=59552816",HD79:HD80),2)</f>
        <v>0</v>
      </c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>
        <v>0</v>
      </c>
    </row>
    <row r="84" spans="1:206" x14ac:dyDescent="0.2">
      <c r="A84" s="4">
        <v>50</v>
      </c>
      <c r="B84" s="4">
        <v>0</v>
      </c>
      <c r="C84" s="4">
        <v>0</v>
      </c>
      <c r="D84" s="4">
        <v>1</v>
      </c>
      <c r="E84" s="4">
        <v>201</v>
      </c>
      <c r="F84" s="4">
        <f>ROUND(Source!O82,O84)</f>
        <v>13749.6</v>
      </c>
      <c r="G84" s="4" t="s">
        <v>104</v>
      </c>
      <c r="H84" s="4" t="s">
        <v>105</v>
      </c>
      <c r="I84" s="4"/>
      <c r="J84" s="4"/>
      <c r="K84" s="4">
        <v>201</v>
      </c>
      <c r="L84" s="4">
        <v>1</v>
      </c>
      <c r="M84" s="4">
        <v>3</v>
      </c>
      <c r="N84" s="4" t="s">
        <v>3</v>
      </c>
      <c r="O84" s="4">
        <v>2</v>
      </c>
      <c r="P84" s="4"/>
      <c r="Q84" s="4"/>
      <c r="R84" s="4"/>
      <c r="S84" s="4"/>
      <c r="T84" s="4"/>
      <c r="U84" s="4"/>
      <c r="V84" s="4"/>
      <c r="W84" s="4">
        <v>13749.6</v>
      </c>
      <c r="X84" s="4">
        <v>1</v>
      </c>
      <c r="Y84" s="4">
        <v>13749.6</v>
      </c>
      <c r="Z84" s="4"/>
      <c r="AA84" s="4"/>
      <c r="AB84" s="4"/>
    </row>
    <row r="85" spans="1:206" x14ac:dyDescent="0.2">
      <c r="A85" s="4">
        <v>50</v>
      </c>
      <c r="B85" s="4">
        <v>0</v>
      </c>
      <c r="C85" s="4">
        <v>0</v>
      </c>
      <c r="D85" s="4">
        <v>1</v>
      </c>
      <c r="E85" s="4">
        <v>202</v>
      </c>
      <c r="F85" s="4">
        <f>ROUND(Source!P82,O85)</f>
        <v>8029.99</v>
      </c>
      <c r="G85" s="4" t="s">
        <v>106</v>
      </c>
      <c r="H85" s="4" t="s">
        <v>107</v>
      </c>
      <c r="I85" s="4"/>
      <c r="J85" s="4"/>
      <c r="K85" s="4">
        <v>202</v>
      </c>
      <c r="L85" s="4">
        <v>2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>
        <v>8029.99</v>
      </c>
      <c r="X85" s="4">
        <v>1</v>
      </c>
      <c r="Y85" s="4">
        <v>8029.99</v>
      </c>
      <c r="Z85" s="4"/>
      <c r="AA85" s="4"/>
      <c r="AB85" s="4"/>
    </row>
    <row r="86" spans="1:206" x14ac:dyDescent="0.2">
      <c r="A86" s="4">
        <v>50</v>
      </c>
      <c r="B86" s="4">
        <v>0</v>
      </c>
      <c r="C86" s="4">
        <v>0</v>
      </c>
      <c r="D86" s="4">
        <v>1</v>
      </c>
      <c r="E86" s="4">
        <v>222</v>
      </c>
      <c r="F86" s="4">
        <f>ROUND(Source!AO82,O86)</f>
        <v>0</v>
      </c>
      <c r="G86" s="4" t="s">
        <v>108</v>
      </c>
      <c r="H86" s="4" t="s">
        <v>109</v>
      </c>
      <c r="I86" s="4"/>
      <c r="J86" s="4"/>
      <c r="K86" s="4">
        <v>222</v>
      </c>
      <c r="L86" s="4">
        <v>3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06" x14ac:dyDescent="0.2">
      <c r="A87" s="4">
        <v>50</v>
      </c>
      <c r="B87" s="4">
        <v>0</v>
      </c>
      <c r="C87" s="4">
        <v>0</v>
      </c>
      <c r="D87" s="4">
        <v>1</v>
      </c>
      <c r="E87" s="4">
        <v>225</v>
      </c>
      <c r="F87" s="4">
        <f>ROUND(Source!AV82,O87)</f>
        <v>8029.99</v>
      </c>
      <c r="G87" s="4" t="s">
        <v>110</v>
      </c>
      <c r="H87" s="4" t="s">
        <v>111</v>
      </c>
      <c r="I87" s="4"/>
      <c r="J87" s="4"/>
      <c r="K87" s="4">
        <v>225</v>
      </c>
      <c r="L87" s="4">
        <v>4</v>
      </c>
      <c r="M87" s="4">
        <v>3</v>
      </c>
      <c r="N87" s="4" t="s">
        <v>3</v>
      </c>
      <c r="O87" s="4">
        <v>2</v>
      </c>
      <c r="P87" s="4"/>
      <c r="Q87" s="4"/>
      <c r="R87" s="4"/>
      <c r="S87" s="4"/>
      <c r="T87" s="4"/>
      <c r="U87" s="4"/>
      <c r="V87" s="4"/>
      <c r="W87" s="4">
        <v>8029.99</v>
      </c>
      <c r="X87" s="4">
        <v>1</v>
      </c>
      <c r="Y87" s="4">
        <v>8029.99</v>
      </c>
      <c r="Z87" s="4"/>
      <c r="AA87" s="4"/>
      <c r="AB87" s="4"/>
    </row>
    <row r="88" spans="1:206" x14ac:dyDescent="0.2">
      <c r="A88" s="4">
        <v>50</v>
      </c>
      <c r="B88" s="4">
        <v>0</v>
      </c>
      <c r="C88" s="4">
        <v>0</v>
      </c>
      <c r="D88" s="4">
        <v>1</v>
      </c>
      <c r="E88" s="4">
        <v>226</v>
      </c>
      <c r="F88" s="4">
        <f>ROUND(Source!AW82,O88)</f>
        <v>8029.99</v>
      </c>
      <c r="G88" s="4" t="s">
        <v>112</v>
      </c>
      <c r="H88" s="4" t="s">
        <v>113</v>
      </c>
      <c r="I88" s="4"/>
      <c r="J88" s="4"/>
      <c r="K88" s="4">
        <v>226</v>
      </c>
      <c r="L88" s="4">
        <v>5</v>
      </c>
      <c r="M88" s="4">
        <v>3</v>
      </c>
      <c r="N88" s="4" t="s">
        <v>3</v>
      </c>
      <c r="O88" s="4">
        <v>2</v>
      </c>
      <c r="P88" s="4"/>
      <c r="Q88" s="4"/>
      <c r="R88" s="4"/>
      <c r="S88" s="4"/>
      <c r="T88" s="4"/>
      <c r="U88" s="4"/>
      <c r="V88" s="4"/>
      <c r="W88" s="4">
        <v>8029.99</v>
      </c>
      <c r="X88" s="4">
        <v>1</v>
      </c>
      <c r="Y88" s="4">
        <v>8029.99</v>
      </c>
      <c r="Z88" s="4"/>
      <c r="AA88" s="4"/>
      <c r="AB88" s="4"/>
    </row>
    <row r="89" spans="1:206" x14ac:dyDescent="0.2">
      <c r="A89" s="4">
        <v>50</v>
      </c>
      <c r="B89" s="4">
        <v>0</v>
      </c>
      <c r="C89" s="4">
        <v>0</v>
      </c>
      <c r="D89" s="4">
        <v>1</v>
      </c>
      <c r="E89" s="4">
        <v>227</v>
      </c>
      <c r="F89" s="4">
        <f>ROUND(Source!AX82,O89)</f>
        <v>0</v>
      </c>
      <c r="G89" s="4" t="s">
        <v>114</v>
      </c>
      <c r="H89" s="4" t="s">
        <v>115</v>
      </c>
      <c r="I89" s="4"/>
      <c r="J89" s="4"/>
      <c r="K89" s="4">
        <v>227</v>
      </c>
      <c r="L89" s="4">
        <v>6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06" x14ac:dyDescent="0.2">
      <c r="A90" s="4">
        <v>50</v>
      </c>
      <c r="B90" s="4">
        <v>0</v>
      </c>
      <c r="C90" s="4">
        <v>0</v>
      </c>
      <c r="D90" s="4">
        <v>1</v>
      </c>
      <c r="E90" s="4">
        <v>228</v>
      </c>
      <c r="F90" s="4">
        <f>ROUND(Source!AY82,O90)</f>
        <v>8029.99</v>
      </c>
      <c r="G90" s="4" t="s">
        <v>116</v>
      </c>
      <c r="H90" s="4" t="s">
        <v>117</v>
      </c>
      <c r="I90" s="4"/>
      <c r="J90" s="4"/>
      <c r="K90" s="4">
        <v>228</v>
      </c>
      <c r="L90" s="4">
        <v>7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>
        <v>8029.99</v>
      </c>
      <c r="X90" s="4">
        <v>1</v>
      </c>
      <c r="Y90" s="4">
        <v>8029.99</v>
      </c>
      <c r="Z90" s="4"/>
      <c r="AA90" s="4"/>
      <c r="AB90" s="4"/>
    </row>
    <row r="91" spans="1:206" x14ac:dyDescent="0.2">
      <c r="A91" s="4">
        <v>50</v>
      </c>
      <c r="B91" s="4">
        <v>0</v>
      </c>
      <c r="C91" s="4">
        <v>0</v>
      </c>
      <c r="D91" s="4">
        <v>1</v>
      </c>
      <c r="E91" s="4">
        <v>216</v>
      </c>
      <c r="F91" s="4">
        <f>ROUND(Source!AP82,O91)</f>
        <v>0</v>
      </c>
      <c r="G91" s="4" t="s">
        <v>118</v>
      </c>
      <c r="H91" s="4" t="s">
        <v>119</v>
      </c>
      <c r="I91" s="4"/>
      <c r="J91" s="4"/>
      <c r="K91" s="4">
        <v>216</v>
      </c>
      <c r="L91" s="4">
        <v>8</v>
      </c>
      <c r="M91" s="4">
        <v>3</v>
      </c>
      <c r="N91" s="4" t="s">
        <v>3</v>
      </c>
      <c r="O91" s="4">
        <v>2</v>
      </c>
      <c r="P91" s="4"/>
      <c r="Q91" s="4"/>
      <c r="R91" s="4"/>
      <c r="S91" s="4"/>
      <c r="T91" s="4"/>
      <c r="U91" s="4"/>
      <c r="V91" s="4"/>
      <c r="W91" s="4">
        <v>0</v>
      </c>
      <c r="X91" s="4">
        <v>1</v>
      </c>
      <c r="Y91" s="4">
        <v>0</v>
      </c>
      <c r="Z91" s="4"/>
      <c r="AA91" s="4"/>
      <c r="AB91" s="4"/>
    </row>
    <row r="92" spans="1:206" x14ac:dyDescent="0.2">
      <c r="A92" s="4">
        <v>50</v>
      </c>
      <c r="B92" s="4">
        <v>0</v>
      </c>
      <c r="C92" s="4">
        <v>0</v>
      </c>
      <c r="D92" s="4">
        <v>1</v>
      </c>
      <c r="E92" s="4">
        <v>223</v>
      </c>
      <c r="F92" s="4">
        <f>ROUND(Source!AQ82,O92)</f>
        <v>0</v>
      </c>
      <c r="G92" s="4" t="s">
        <v>120</v>
      </c>
      <c r="H92" s="4" t="s">
        <v>121</v>
      </c>
      <c r="I92" s="4"/>
      <c r="J92" s="4"/>
      <c r="K92" s="4">
        <v>223</v>
      </c>
      <c r="L92" s="4">
        <v>9</v>
      </c>
      <c r="M92" s="4">
        <v>3</v>
      </c>
      <c r="N92" s="4" t="s">
        <v>3</v>
      </c>
      <c r="O92" s="4">
        <v>2</v>
      </c>
      <c r="P92" s="4"/>
      <c r="Q92" s="4"/>
      <c r="R92" s="4"/>
      <c r="S92" s="4"/>
      <c r="T92" s="4"/>
      <c r="U92" s="4"/>
      <c r="V92" s="4"/>
      <c r="W92" s="4">
        <v>0</v>
      </c>
      <c r="X92" s="4">
        <v>1</v>
      </c>
      <c r="Y92" s="4">
        <v>0</v>
      </c>
      <c r="Z92" s="4"/>
      <c r="AA92" s="4"/>
      <c r="AB92" s="4"/>
    </row>
    <row r="93" spans="1:206" x14ac:dyDescent="0.2">
      <c r="A93" s="4">
        <v>50</v>
      </c>
      <c r="B93" s="4">
        <v>0</v>
      </c>
      <c r="C93" s="4">
        <v>0</v>
      </c>
      <c r="D93" s="4">
        <v>1</v>
      </c>
      <c r="E93" s="4">
        <v>229</v>
      </c>
      <c r="F93" s="4">
        <f>ROUND(Source!AZ82,O93)</f>
        <v>0</v>
      </c>
      <c r="G93" s="4" t="s">
        <v>122</v>
      </c>
      <c r="H93" s="4" t="s">
        <v>123</v>
      </c>
      <c r="I93" s="4"/>
      <c r="J93" s="4"/>
      <c r="K93" s="4">
        <v>229</v>
      </c>
      <c r="L93" s="4">
        <v>10</v>
      </c>
      <c r="M93" s="4">
        <v>3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>
        <v>0</v>
      </c>
      <c r="X93" s="4">
        <v>1</v>
      </c>
      <c r="Y93" s="4">
        <v>0</v>
      </c>
      <c r="Z93" s="4"/>
      <c r="AA93" s="4"/>
      <c r="AB93" s="4"/>
    </row>
    <row r="94" spans="1:206" x14ac:dyDescent="0.2">
      <c r="A94" s="4">
        <v>50</v>
      </c>
      <c r="B94" s="4">
        <v>0</v>
      </c>
      <c r="C94" s="4">
        <v>0</v>
      </c>
      <c r="D94" s="4">
        <v>1</v>
      </c>
      <c r="E94" s="4">
        <v>203</v>
      </c>
      <c r="F94" s="4">
        <f>ROUND(Source!Q82,O94)</f>
        <v>83.99</v>
      </c>
      <c r="G94" s="4" t="s">
        <v>124</v>
      </c>
      <c r="H94" s="4" t="s">
        <v>125</v>
      </c>
      <c r="I94" s="4"/>
      <c r="J94" s="4"/>
      <c r="K94" s="4">
        <v>203</v>
      </c>
      <c r="L94" s="4">
        <v>11</v>
      </c>
      <c r="M94" s="4">
        <v>3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83.990000000000009</v>
      </c>
      <c r="X94" s="4">
        <v>1</v>
      </c>
      <c r="Y94" s="4">
        <v>83.990000000000009</v>
      </c>
      <c r="Z94" s="4"/>
      <c r="AA94" s="4"/>
      <c r="AB94" s="4"/>
    </row>
    <row r="95" spans="1:206" x14ac:dyDescent="0.2">
      <c r="A95" s="4">
        <v>50</v>
      </c>
      <c r="B95" s="4">
        <v>0</v>
      </c>
      <c r="C95" s="4">
        <v>0</v>
      </c>
      <c r="D95" s="4">
        <v>1</v>
      </c>
      <c r="E95" s="4">
        <v>231</v>
      </c>
      <c r="F95" s="4">
        <f>ROUND(Source!BB82,O95)</f>
        <v>0</v>
      </c>
      <c r="G95" s="4" t="s">
        <v>126</v>
      </c>
      <c r="H95" s="4" t="s">
        <v>127</v>
      </c>
      <c r="I95" s="4"/>
      <c r="J95" s="4"/>
      <c r="K95" s="4">
        <v>231</v>
      </c>
      <c r="L95" s="4">
        <v>12</v>
      </c>
      <c r="M95" s="4">
        <v>3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>
        <v>0</v>
      </c>
      <c r="X95" s="4">
        <v>1</v>
      </c>
      <c r="Y95" s="4">
        <v>0</v>
      </c>
      <c r="Z95" s="4"/>
      <c r="AA95" s="4"/>
      <c r="AB95" s="4"/>
    </row>
    <row r="96" spans="1:206" x14ac:dyDescent="0.2">
      <c r="A96" s="4">
        <v>50</v>
      </c>
      <c r="B96" s="4">
        <v>0</v>
      </c>
      <c r="C96" s="4">
        <v>0</v>
      </c>
      <c r="D96" s="4">
        <v>1</v>
      </c>
      <c r="E96" s="4">
        <v>204</v>
      </c>
      <c r="F96" s="4">
        <f>ROUND(Source!R82,O96)</f>
        <v>27.04</v>
      </c>
      <c r="G96" s="4" t="s">
        <v>128</v>
      </c>
      <c r="H96" s="4" t="s">
        <v>129</v>
      </c>
      <c r="I96" s="4"/>
      <c r="J96" s="4"/>
      <c r="K96" s="4">
        <v>204</v>
      </c>
      <c r="L96" s="4">
        <v>13</v>
      </c>
      <c r="M96" s="4">
        <v>3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>
        <v>27.04</v>
      </c>
      <c r="X96" s="4">
        <v>1</v>
      </c>
      <c r="Y96" s="4">
        <v>27.04</v>
      </c>
      <c r="Z96" s="4"/>
      <c r="AA96" s="4"/>
      <c r="AB96" s="4"/>
    </row>
    <row r="97" spans="1:88" x14ac:dyDescent="0.2">
      <c r="A97" s="4">
        <v>50</v>
      </c>
      <c r="B97" s="4">
        <v>0</v>
      </c>
      <c r="C97" s="4">
        <v>0</v>
      </c>
      <c r="D97" s="4">
        <v>1</v>
      </c>
      <c r="E97" s="4">
        <v>205</v>
      </c>
      <c r="F97" s="4">
        <f>ROUND(Source!S82,O97)</f>
        <v>5608.58</v>
      </c>
      <c r="G97" s="4" t="s">
        <v>130</v>
      </c>
      <c r="H97" s="4" t="s">
        <v>131</v>
      </c>
      <c r="I97" s="4"/>
      <c r="J97" s="4"/>
      <c r="K97" s="4">
        <v>205</v>
      </c>
      <c r="L97" s="4">
        <v>14</v>
      </c>
      <c r="M97" s="4">
        <v>3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5608.58</v>
      </c>
      <c r="X97" s="4">
        <v>1</v>
      </c>
      <c r="Y97" s="4">
        <v>5608.58</v>
      </c>
      <c r="Z97" s="4"/>
      <c r="AA97" s="4"/>
      <c r="AB97" s="4"/>
    </row>
    <row r="98" spans="1:88" x14ac:dyDescent="0.2">
      <c r="A98" s="4">
        <v>50</v>
      </c>
      <c r="B98" s="4">
        <v>0</v>
      </c>
      <c r="C98" s="4">
        <v>0</v>
      </c>
      <c r="D98" s="4">
        <v>1</v>
      </c>
      <c r="E98" s="4">
        <v>232</v>
      </c>
      <c r="F98" s="4">
        <f>ROUND(Source!BC82,O98)</f>
        <v>0</v>
      </c>
      <c r="G98" s="4" t="s">
        <v>132</v>
      </c>
      <c r="H98" s="4" t="s">
        <v>133</v>
      </c>
      <c r="I98" s="4"/>
      <c r="J98" s="4"/>
      <c r="K98" s="4">
        <v>232</v>
      </c>
      <c r="L98" s="4">
        <v>15</v>
      </c>
      <c r="M98" s="4">
        <v>3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88" x14ac:dyDescent="0.2">
      <c r="A99" s="4">
        <v>50</v>
      </c>
      <c r="B99" s="4">
        <v>0</v>
      </c>
      <c r="C99" s="4">
        <v>0</v>
      </c>
      <c r="D99" s="4">
        <v>1</v>
      </c>
      <c r="E99" s="4">
        <v>214</v>
      </c>
      <c r="F99" s="4">
        <f>ROUND(Source!AS82,O99)</f>
        <v>0</v>
      </c>
      <c r="G99" s="4" t="s">
        <v>134</v>
      </c>
      <c r="H99" s="4" t="s">
        <v>135</v>
      </c>
      <c r="I99" s="4"/>
      <c r="J99" s="4"/>
      <c r="K99" s="4">
        <v>214</v>
      </c>
      <c r="L99" s="4">
        <v>16</v>
      </c>
      <c r="M99" s="4">
        <v>3</v>
      </c>
      <c r="N99" s="4" t="s">
        <v>3</v>
      </c>
      <c r="O99" s="4">
        <v>2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88" x14ac:dyDescent="0.2">
      <c r="A100" s="4">
        <v>50</v>
      </c>
      <c r="B100" s="4">
        <v>0</v>
      </c>
      <c r="C100" s="4">
        <v>0</v>
      </c>
      <c r="D100" s="4">
        <v>1</v>
      </c>
      <c r="E100" s="4">
        <v>215</v>
      </c>
      <c r="F100" s="4">
        <f>ROUND(Source!AT82,O100)</f>
        <v>22090.32</v>
      </c>
      <c r="G100" s="4" t="s">
        <v>136</v>
      </c>
      <c r="H100" s="4" t="s">
        <v>137</v>
      </c>
      <c r="I100" s="4"/>
      <c r="J100" s="4"/>
      <c r="K100" s="4">
        <v>215</v>
      </c>
      <c r="L100" s="4">
        <v>17</v>
      </c>
      <c r="M100" s="4">
        <v>3</v>
      </c>
      <c r="N100" s="4" t="s">
        <v>3</v>
      </c>
      <c r="O100" s="4">
        <v>2</v>
      </c>
      <c r="P100" s="4"/>
      <c r="Q100" s="4"/>
      <c r="R100" s="4"/>
      <c r="S100" s="4"/>
      <c r="T100" s="4"/>
      <c r="U100" s="4"/>
      <c r="V100" s="4"/>
      <c r="W100" s="4">
        <v>22090.32</v>
      </c>
      <c r="X100" s="4">
        <v>1</v>
      </c>
      <c r="Y100" s="4">
        <v>22090.32</v>
      </c>
      <c r="Z100" s="4"/>
      <c r="AA100" s="4"/>
      <c r="AB100" s="4"/>
    </row>
    <row r="101" spans="1:88" x14ac:dyDescent="0.2">
      <c r="A101" s="4">
        <v>50</v>
      </c>
      <c r="B101" s="4">
        <v>0</v>
      </c>
      <c r="C101" s="4">
        <v>0</v>
      </c>
      <c r="D101" s="4">
        <v>1</v>
      </c>
      <c r="E101" s="4">
        <v>217</v>
      </c>
      <c r="F101" s="4">
        <f>ROUND(Source!AU82,O101)</f>
        <v>0</v>
      </c>
      <c r="G101" s="4" t="s">
        <v>138</v>
      </c>
      <c r="H101" s="4" t="s">
        <v>139</v>
      </c>
      <c r="I101" s="4"/>
      <c r="J101" s="4"/>
      <c r="K101" s="4">
        <v>217</v>
      </c>
      <c r="L101" s="4">
        <v>18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88" x14ac:dyDescent="0.2">
      <c r="A102" s="4">
        <v>50</v>
      </c>
      <c r="B102" s="4">
        <v>0</v>
      </c>
      <c r="C102" s="4">
        <v>0</v>
      </c>
      <c r="D102" s="4">
        <v>1</v>
      </c>
      <c r="E102" s="4">
        <v>230</v>
      </c>
      <c r="F102" s="4">
        <f>ROUND(Source!BA82,O102)</f>
        <v>0</v>
      </c>
      <c r="G102" s="4" t="s">
        <v>140</v>
      </c>
      <c r="H102" s="4" t="s">
        <v>141</v>
      </c>
      <c r="I102" s="4"/>
      <c r="J102" s="4"/>
      <c r="K102" s="4">
        <v>230</v>
      </c>
      <c r="L102" s="4">
        <v>19</v>
      </c>
      <c r="M102" s="4">
        <v>3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>
        <v>0</v>
      </c>
      <c r="X102" s="4">
        <v>1</v>
      </c>
      <c r="Y102" s="4">
        <v>0</v>
      </c>
      <c r="Z102" s="4"/>
      <c r="AA102" s="4"/>
      <c r="AB102" s="4"/>
    </row>
    <row r="103" spans="1:88" x14ac:dyDescent="0.2">
      <c r="A103" s="4">
        <v>50</v>
      </c>
      <c r="B103" s="4">
        <v>0</v>
      </c>
      <c r="C103" s="4">
        <v>0</v>
      </c>
      <c r="D103" s="4">
        <v>1</v>
      </c>
      <c r="E103" s="4">
        <v>206</v>
      </c>
      <c r="F103" s="4">
        <f>ROUND(Source!T82,O103)</f>
        <v>0</v>
      </c>
      <c r="G103" s="4" t="s">
        <v>142</v>
      </c>
      <c r="H103" s="4" t="s">
        <v>143</v>
      </c>
      <c r="I103" s="4"/>
      <c r="J103" s="4"/>
      <c r="K103" s="4">
        <v>206</v>
      </c>
      <c r="L103" s="4">
        <v>20</v>
      </c>
      <c r="M103" s="4">
        <v>3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>
        <v>0</v>
      </c>
      <c r="X103" s="4">
        <v>1</v>
      </c>
      <c r="Y103" s="4">
        <v>0</v>
      </c>
      <c r="Z103" s="4"/>
      <c r="AA103" s="4"/>
      <c r="AB103" s="4"/>
    </row>
    <row r="104" spans="1:88" x14ac:dyDescent="0.2">
      <c r="A104" s="4">
        <v>50</v>
      </c>
      <c r="B104" s="4">
        <v>0</v>
      </c>
      <c r="C104" s="4">
        <v>0</v>
      </c>
      <c r="D104" s="4">
        <v>1</v>
      </c>
      <c r="E104" s="4">
        <v>207</v>
      </c>
      <c r="F104" s="4">
        <f>Source!U82</f>
        <v>20.3904</v>
      </c>
      <c r="G104" s="4" t="s">
        <v>144</v>
      </c>
      <c r="H104" s="4" t="s">
        <v>145</v>
      </c>
      <c r="I104" s="4"/>
      <c r="J104" s="4"/>
      <c r="K104" s="4">
        <v>207</v>
      </c>
      <c r="L104" s="4">
        <v>21</v>
      </c>
      <c r="M104" s="4">
        <v>3</v>
      </c>
      <c r="N104" s="4" t="s">
        <v>3</v>
      </c>
      <c r="O104" s="4">
        <v>-1</v>
      </c>
      <c r="P104" s="4"/>
      <c r="Q104" s="4"/>
      <c r="R104" s="4"/>
      <c r="S104" s="4"/>
      <c r="T104" s="4"/>
      <c r="U104" s="4"/>
      <c r="V104" s="4"/>
      <c r="W104" s="4">
        <v>20.3904</v>
      </c>
      <c r="X104" s="4">
        <v>1</v>
      </c>
      <c r="Y104" s="4">
        <v>20.3904</v>
      </c>
      <c r="Z104" s="4"/>
      <c r="AA104" s="4"/>
      <c r="AB104" s="4"/>
    </row>
    <row r="105" spans="1:88" x14ac:dyDescent="0.2">
      <c r="A105" s="4">
        <v>50</v>
      </c>
      <c r="B105" s="4">
        <v>0</v>
      </c>
      <c r="C105" s="4">
        <v>0</v>
      </c>
      <c r="D105" s="4">
        <v>1</v>
      </c>
      <c r="E105" s="4">
        <v>208</v>
      </c>
      <c r="F105" s="4">
        <f>Source!V82</f>
        <v>8.6400000000000005E-2</v>
      </c>
      <c r="G105" s="4" t="s">
        <v>146</v>
      </c>
      <c r="H105" s="4" t="s">
        <v>147</v>
      </c>
      <c r="I105" s="4"/>
      <c r="J105" s="4"/>
      <c r="K105" s="4">
        <v>208</v>
      </c>
      <c r="L105" s="4">
        <v>22</v>
      </c>
      <c r="M105" s="4">
        <v>3</v>
      </c>
      <c r="N105" s="4" t="s">
        <v>3</v>
      </c>
      <c r="O105" s="4">
        <v>-1</v>
      </c>
      <c r="P105" s="4"/>
      <c r="Q105" s="4"/>
      <c r="R105" s="4"/>
      <c r="S105" s="4"/>
      <c r="T105" s="4"/>
      <c r="U105" s="4"/>
      <c r="V105" s="4"/>
      <c r="W105" s="4">
        <v>8.6400000000000005E-2</v>
      </c>
      <c r="X105" s="4">
        <v>1</v>
      </c>
      <c r="Y105" s="4">
        <v>8.6400000000000005E-2</v>
      </c>
      <c r="Z105" s="4"/>
      <c r="AA105" s="4"/>
      <c r="AB105" s="4"/>
    </row>
    <row r="106" spans="1:88" x14ac:dyDescent="0.2">
      <c r="A106" s="4">
        <v>50</v>
      </c>
      <c r="B106" s="4">
        <v>0</v>
      </c>
      <c r="C106" s="4">
        <v>0</v>
      </c>
      <c r="D106" s="4">
        <v>1</v>
      </c>
      <c r="E106" s="4">
        <v>209</v>
      </c>
      <c r="F106" s="4">
        <f>ROUND(Source!W82,O106)</f>
        <v>0</v>
      </c>
      <c r="G106" s="4" t="s">
        <v>148</v>
      </c>
      <c r="H106" s="4" t="s">
        <v>149</v>
      </c>
      <c r="I106" s="4"/>
      <c r="J106" s="4"/>
      <c r="K106" s="4">
        <v>209</v>
      </c>
      <c r="L106" s="4">
        <v>23</v>
      </c>
      <c r="M106" s="4">
        <v>3</v>
      </c>
      <c r="N106" s="4" t="s">
        <v>3</v>
      </c>
      <c r="O106" s="4">
        <v>2</v>
      </c>
      <c r="P106" s="4"/>
      <c r="Q106" s="4"/>
      <c r="R106" s="4"/>
      <c r="S106" s="4"/>
      <c r="T106" s="4"/>
      <c r="U106" s="4"/>
      <c r="V106" s="4"/>
      <c r="W106" s="4">
        <v>0</v>
      </c>
      <c r="X106" s="4">
        <v>1</v>
      </c>
      <c r="Y106" s="4">
        <v>0</v>
      </c>
      <c r="Z106" s="4"/>
      <c r="AA106" s="4"/>
      <c r="AB106" s="4"/>
    </row>
    <row r="107" spans="1:88" x14ac:dyDescent="0.2">
      <c r="A107" s="4">
        <v>50</v>
      </c>
      <c r="B107" s="4">
        <v>0</v>
      </c>
      <c r="C107" s="4">
        <v>0</v>
      </c>
      <c r="D107" s="4">
        <v>1</v>
      </c>
      <c r="E107" s="4">
        <v>233</v>
      </c>
      <c r="F107" s="4">
        <f>ROUND(Source!BD82,O107)</f>
        <v>0</v>
      </c>
      <c r="G107" s="4" t="s">
        <v>150</v>
      </c>
      <c r="H107" s="4" t="s">
        <v>151</v>
      </c>
      <c r="I107" s="4"/>
      <c r="J107" s="4"/>
      <c r="K107" s="4">
        <v>233</v>
      </c>
      <c r="L107" s="4">
        <v>24</v>
      </c>
      <c r="M107" s="4">
        <v>3</v>
      </c>
      <c r="N107" s="4" t="s">
        <v>3</v>
      </c>
      <c r="O107" s="4">
        <v>2</v>
      </c>
      <c r="P107" s="4"/>
      <c r="Q107" s="4"/>
      <c r="R107" s="4"/>
      <c r="S107" s="4"/>
      <c r="T107" s="4"/>
      <c r="U107" s="4"/>
      <c r="V107" s="4"/>
      <c r="W107" s="4">
        <v>0</v>
      </c>
      <c r="X107" s="4">
        <v>1</v>
      </c>
      <c r="Y107" s="4">
        <v>0</v>
      </c>
      <c r="Z107" s="4"/>
      <c r="AA107" s="4"/>
      <c r="AB107" s="4"/>
    </row>
    <row r="108" spans="1:88" x14ac:dyDescent="0.2">
      <c r="A108" s="4">
        <v>50</v>
      </c>
      <c r="B108" s="4">
        <v>0</v>
      </c>
      <c r="C108" s="4">
        <v>0</v>
      </c>
      <c r="D108" s="4">
        <v>1</v>
      </c>
      <c r="E108" s="4">
        <v>210</v>
      </c>
      <c r="F108" s="4">
        <f>ROUND(Source!X82,O108)</f>
        <v>5466.55</v>
      </c>
      <c r="G108" s="4" t="s">
        <v>152</v>
      </c>
      <c r="H108" s="4" t="s">
        <v>153</v>
      </c>
      <c r="I108" s="4"/>
      <c r="J108" s="4"/>
      <c r="K108" s="4">
        <v>210</v>
      </c>
      <c r="L108" s="4">
        <v>25</v>
      </c>
      <c r="M108" s="4">
        <v>3</v>
      </c>
      <c r="N108" s="4" t="s">
        <v>3</v>
      </c>
      <c r="O108" s="4">
        <v>2</v>
      </c>
      <c r="P108" s="4"/>
      <c r="Q108" s="4"/>
      <c r="R108" s="4"/>
      <c r="S108" s="4"/>
      <c r="T108" s="4"/>
      <c r="U108" s="4"/>
      <c r="V108" s="4"/>
      <c r="W108" s="4">
        <v>5466.55</v>
      </c>
      <c r="X108" s="4">
        <v>1</v>
      </c>
      <c r="Y108" s="4">
        <v>5466.55</v>
      </c>
      <c r="Z108" s="4"/>
      <c r="AA108" s="4"/>
      <c r="AB108" s="4"/>
    </row>
    <row r="109" spans="1:88" x14ac:dyDescent="0.2">
      <c r="A109" s="4">
        <v>50</v>
      </c>
      <c r="B109" s="4">
        <v>0</v>
      </c>
      <c r="C109" s="4">
        <v>0</v>
      </c>
      <c r="D109" s="4">
        <v>1</v>
      </c>
      <c r="E109" s="4">
        <v>211</v>
      </c>
      <c r="F109" s="4">
        <f>ROUND(Source!Y82,O109)</f>
        <v>2874.17</v>
      </c>
      <c r="G109" s="4" t="s">
        <v>154</v>
      </c>
      <c r="H109" s="4" t="s">
        <v>155</v>
      </c>
      <c r="I109" s="4"/>
      <c r="J109" s="4"/>
      <c r="K109" s="4">
        <v>211</v>
      </c>
      <c r="L109" s="4">
        <v>26</v>
      </c>
      <c r="M109" s="4">
        <v>3</v>
      </c>
      <c r="N109" s="4" t="s">
        <v>3</v>
      </c>
      <c r="O109" s="4">
        <v>2</v>
      </c>
      <c r="P109" s="4"/>
      <c r="Q109" s="4"/>
      <c r="R109" s="4"/>
      <c r="S109" s="4"/>
      <c r="T109" s="4"/>
      <c r="U109" s="4"/>
      <c r="V109" s="4"/>
      <c r="W109" s="4">
        <v>2874.17</v>
      </c>
      <c r="X109" s="4">
        <v>1</v>
      </c>
      <c r="Y109" s="4">
        <v>2874.17</v>
      </c>
      <c r="Z109" s="4"/>
      <c r="AA109" s="4"/>
      <c r="AB109" s="4"/>
    </row>
    <row r="110" spans="1:88" x14ac:dyDescent="0.2">
      <c r="A110" s="4">
        <v>50</v>
      </c>
      <c r="B110" s="4">
        <v>0</v>
      </c>
      <c r="C110" s="4">
        <v>0</v>
      </c>
      <c r="D110" s="4">
        <v>1</v>
      </c>
      <c r="E110" s="4">
        <v>224</v>
      </c>
      <c r="F110" s="4">
        <f>ROUND(Source!AR82,O110)</f>
        <v>22090.32</v>
      </c>
      <c r="G110" s="4" t="s">
        <v>156</v>
      </c>
      <c r="H110" s="4" t="s">
        <v>157</v>
      </c>
      <c r="I110" s="4"/>
      <c r="J110" s="4"/>
      <c r="K110" s="4">
        <v>224</v>
      </c>
      <c r="L110" s="4">
        <v>27</v>
      </c>
      <c r="M110" s="4">
        <v>3</v>
      </c>
      <c r="N110" s="4" t="s">
        <v>3</v>
      </c>
      <c r="O110" s="4">
        <v>2</v>
      </c>
      <c r="P110" s="4"/>
      <c r="Q110" s="4"/>
      <c r="R110" s="4"/>
      <c r="S110" s="4"/>
      <c r="T110" s="4"/>
      <c r="U110" s="4"/>
      <c r="V110" s="4"/>
      <c r="W110" s="4">
        <v>22090.32</v>
      </c>
      <c r="X110" s="4">
        <v>1</v>
      </c>
      <c r="Y110" s="4">
        <v>22090.32</v>
      </c>
      <c r="Z110" s="4"/>
      <c r="AA110" s="4"/>
      <c r="AB110" s="4"/>
    </row>
    <row r="112" spans="1:88" x14ac:dyDescent="0.2">
      <c r="A112" s="1">
        <v>4</v>
      </c>
      <c r="B112" s="1">
        <v>1</v>
      </c>
      <c r="C112" s="1"/>
      <c r="D112" s="1">
        <f>ROW(A118)</f>
        <v>118</v>
      </c>
      <c r="E112" s="1"/>
      <c r="F112" s="1" t="s">
        <v>45</v>
      </c>
      <c r="G112" s="1" t="s">
        <v>171</v>
      </c>
      <c r="H112" s="1" t="s">
        <v>3</v>
      </c>
      <c r="I112" s="1">
        <v>0</v>
      </c>
      <c r="J112" s="1"/>
      <c r="K112" s="1">
        <v>0</v>
      </c>
      <c r="L112" s="1"/>
      <c r="M112" s="1" t="s">
        <v>3</v>
      </c>
      <c r="N112" s="1"/>
      <c r="O112" s="1"/>
      <c r="P112" s="1"/>
      <c r="Q112" s="1"/>
      <c r="R112" s="1"/>
      <c r="S112" s="1">
        <v>0</v>
      </c>
      <c r="T112" s="1"/>
      <c r="U112" s="1" t="s">
        <v>3</v>
      </c>
      <c r="V112" s="1">
        <v>0</v>
      </c>
      <c r="W112" s="1"/>
      <c r="X112" s="1"/>
      <c r="Y112" s="1"/>
      <c r="Z112" s="1"/>
      <c r="AA112" s="1"/>
      <c r="AB112" s="1" t="s">
        <v>3</v>
      </c>
      <c r="AC112" s="1" t="s">
        <v>3</v>
      </c>
      <c r="AD112" s="1" t="s">
        <v>3</v>
      </c>
      <c r="AE112" s="1" t="s">
        <v>3</v>
      </c>
      <c r="AF112" s="1" t="s">
        <v>3</v>
      </c>
      <c r="AG112" s="1" t="s">
        <v>3</v>
      </c>
      <c r="AH112" s="1"/>
      <c r="AI112" s="1"/>
      <c r="AJ112" s="1"/>
      <c r="AK112" s="1"/>
      <c r="AL112" s="1"/>
      <c r="AM112" s="1"/>
      <c r="AN112" s="1"/>
      <c r="AO112" s="1"/>
      <c r="AP112" s="1" t="s">
        <v>3</v>
      </c>
      <c r="AQ112" s="1" t="s">
        <v>3</v>
      </c>
      <c r="AR112" s="1" t="s">
        <v>3</v>
      </c>
      <c r="AS112" s="1"/>
      <c r="AT112" s="1"/>
      <c r="AU112" s="1"/>
      <c r="AV112" s="1"/>
      <c r="AW112" s="1"/>
      <c r="AX112" s="1"/>
      <c r="AY112" s="1"/>
      <c r="AZ112" s="1" t="s">
        <v>3</v>
      </c>
      <c r="BA112" s="1"/>
      <c r="BB112" s="1" t="s">
        <v>3</v>
      </c>
      <c r="BC112" s="1" t="s">
        <v>3</v>
      </c>
      <c r="BD112" s="1" t="s">
        <v>3</v>
      </c>
      <c r="BE112" s="1" t="s">
        <v>3</v>
      </c>
      <c r="BF112" s="1" t="s">
        <v>3</v>
      </c>
      <c r="BG112" s="1" t="s">
        <v>3</v>
      </c>
      <c r="BH112" s="1" t="s">
        <v>3</v>
      </c>
      <c r="BI112" s="1" t="s">
        <v>3</v>
      </c>
      <c r="BJ112" s="1" t="s">
        <v>3</v>
      </c>
      <c r="BK112" s="1" t="s">
        <v>3</v>
      </c>
      <c r="BL112" s="1" t="s">
        <v>3</v>
      </c>
      <c r="BM112" s="1" t="s">
        <v>3</v>
      </c>
      <c r="BN112" s="1" t="s">
        <v>3</v>
      </c>
      <c r="BO112" s="1" t="s">
        <v>3</v>
      </c>
      <c r="BP112" s="1" t="s">
        <v>3</v>
      </c>
      <c r="BQ112" s="1"/>
      <c r="BR112" s="1"/>
      <c r="BS112" s="1"/>
      <c r="BT112" s="1"/>
      <c r="BU112" s="1"/>
      <c r="BV112" s="1"/>
      <c r="BW112" s="1"/>
      <c r="BX112" s="1">
        <v>0</v>
      </c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>
        <v>0</v>
      </c>
    </row>
    <row r="114" spans="1:245" x14ac:dyDescent="0.2">
      <c r="A114" s="2">
        <v>52</v>
      </c>
      <c r="B114" s="2">
        <f t="shared" ref="B114:G114" si="62">B118</f>
        <v>1</v>
      </c>
      <c r="C114" s="2">
        <f t="shared" si="62"/>
        <v>4</v>
      </c>
      <c r="D114" s="2">
        <f t="shared" si="62"/>
        <v>112</v>
      </c>
      <c r="E114" s="2">
        <f t="shared" si="62"/>
        <v>0</v>
      </c>
      <c r="F114" s="2" t="str">
        <f t="shared" si="62"/>
        <v>Новый раздел</v>
      </c>
      <c r="G114" s="2" t="str">
        <f t="shared" si="62"/>
        <v>Двери</v>
      </c>
      <c r="H114" s="2"/>
      <c r="I114" s="2"/>
      <c r="J114" s="2"/>
      <c r="K114" s="2"/>
      <c r="L114" s="2"/>
      <c r="M114" s="2"/>
      <c r="N114" s="2"/>
      <c r="O114" s="2">
        <f t="shared" ref="O114:AT114" si="63">O118</f>
        <v>1899.66</v>
      </c>
      <c r="P114" s="2">
        <f t="shared" si="63"/>
        <v>736.59</v>
      </c>
      <c r="Q114" s="2">
        <f t="shared" si="63"/>
        <v>1.88</v>
      </c>
      <c r="R114" s="2">
        <f t="shared" si="63"/>
        <v>2.0099999999999998</v>
      </c>
      <c r="S114" s="2">
        <f t="shared" si="63"/>
        <v>1159.18</v>
      </c>
      <c r="T114" s="2">
        <f t="shared" si="63"/>
        <v>0</v>
      </c>
      <c r="U114" s="2">
        <f t="shared" si="63"/>
        <v>4.8263040000000004</v>
      </c>
      <c r="V114" s="2">
        <f t="shared" si="63"/>
        <v>8.064E-3</v>
      </c>
      <c r="W114" s="2">
        <f t="shared" si="63"/>
        <v>0</v>
      </c>
      <c r="X114" s="2">
        <f t="shared" si="63"/>
        <v>1045.07</v>
      </c>
      <c r="Y114" s="2">
        <f t="shared" si="63"/>
        <v>534.15</v>
      </c>
      <c r="Z114" s="2">
        <f t="shared" si="63"/>
        <v>0</v>
      </c>
      <c r="AA114" s="2">
        <f t="shared" si="63"/>
        <v>0</v>
      </c>
      <c r="AB114" s="2">
        <f t="shared" si="63"/>
        <v>1899.66</v>
      </c>
      <c r="AC114" s="2">
        <f t="shared" si="63"/>
        <v>736.59</v>
      </c>
      <c r="AD114" s="2">
        <f t="shared" si="63"/>
        <v>1.88</v>
      </c>
      <c r="AE114" s="2">
        <f t="shared" si="63"/>
        <v>2.0099999999999998</v>
      </c>
      <c r="AF114" s="2">
        <f t="shared" si="63"/>
        <v>1159.18</v>
      </c>
      <c r="AG114" s="2">
        <f t="shared" si="63"/>
        <v>0</v>
      </c>
      <c r="AH114" s="2">
        <f t="shared" si="63"/>
        <v>4.8263040000000004</v>
      </c>
      <c r="AI114" s="2">
        <f t="shared" si="63"/>
        <v>8.064E-3</v>
      </c>
      <c r="AJ114" s="2">
        <f t="shared" si="63"/>
        <v>0</v>
      </c>
      <c r="AK114" s="2">
        <f t="shared" si="63"/>
        <v>1045.07</v>
      </c>
      <c r="AL114" s="2">
        <f t="shared" si="63"/>
        <v>534.15</v>
      </c>
      <c r="AM114" s="2">
        <f t="shared" si="63"/>
        <v>0</v>
      </c>
      <c r="AN114" s="2">
        <f t="shared" si="63"/>
        <v>0</v>
      </c>
      <c r="AO114" s="2">
        <f t="shared" si="63"/>
        <v>0</v>
      </c>
      <c r="AP114" s="2">
        <f t="shared" si="63"/>
        <v>0</v>
      </c>
      <c r="AQ114" s="2">
        <f t="shared" si="63"/>
        <v>0</v>
      </c>
      <c r="AR114" s="2">
        <f t="shared" si="63"/>
        <v>3478.88</v>
      </c>
      <c r="AS114" s="2">
        <f t="shared" si="63"/>
        <v>3478.88</v>
      </c>
      <c r="AT114" s="2">
        <f t="shared" si="63"/>
        <v>0</v>
      </c>
      <c r="AU114" s="2">
        <f t="shared" ref="AU114:BZ114" si="64">AU118</f>
        <v>0</v>
      </c>
      <c r="AV114" s="2">
        <f t="shared" si="64"/>
        <v>736.59</v>
      </c>
      <c r="AW114" s="2">
        <f t="shared" si="64"/>
        <v>736.59</v>
      </c>
      <c r="AX114" s="2">
        <f t="shared" si="64"/>
        <v>0</v>
      </c>
      <c r="AY114" s="2">
        <f t="shared" si="64"/>
        <v>736.59</v>
      </c>
      <c r="AZ114" s="2">
        <f t="shared" si="64"/>
        <v>0</v>
      </c>
      <c r="BA114" s="2">
        <f t="shared" si="64"/>
        <v>0</v>
      </c>
      <c r="BB114" s="2">
        <f t="shared" si="64"/>
        <v>0</v>
      </c>
      <c r="BC114" s="2">
        <f t="shared" si="64"/>
        <v>0</v>
      </c>
      <c r="BD114" s="2">
        <f t="shared" si="64"/>
        <v>0</v>
      </c>
      <c r="BE114" s="2">
        <f t="shared" si="64"/>
        <v>0</v>
      </c>
      <c r="BF114" s="2">
        <f t="shared" si="64"/>
        <v>0</v>
      </c>
      <c r="BG114" s="2">
        <f t="shared" si="64"/>
        <v>0</v>
      </c>
      <c r="BH114" s="2">
        <f t="shared" si="64"/>
        <v>0</v>
      </c>
      <c r="BI114" s="2">
        <f t="shared" si="64"/>
        <v>0</v>
      </c>
      <c r="BJ114" s="2">
        <f t="shared" si="64"/>
        <v>0</v>
      </c>
      <c r="BK114" s="2">
        <f t="shared" si="64"/>
        <v>0</v>
      </c>
      <c r="BL114" s="2">
        <f t="shared" si="64"/>
        <v>0</v>
      </c>
      <c r="BM114" s="2">
        <f t="shared" si="64"/>
        <v>0</v>
      </c>
      <c r="BN114" s="2">
        <f t="shared" si="64"/>
        <v>0</v>
      </c>
      <c r="BO114" s="2">
        <f t="shared" si="64"/>
        <v>0</v>
      </c>
      <c r="BP114" s="2">
        <f t="shared" si="64"/>
        <v>0</v>
      </c>
      <c r="BQ114" s="2">
        <f t="shared" si="64"/>
        <v>0</v>
      </c>
      <c r="BR114" s="2">
        <f t="shared" si="64"/>
        <v>0</v>
      </c>
      <c r="BS114" s="2">
        <f t="shared" si="64"/>
        <v>0</v>
      </c>
      <c r="BT114" s="2">
        <f t="shared" si="64"/>
        <v>0</v>
      </c>
      <c r="BU114" s="2">
        <f t="shared" si="64"/>
        <v>0</v>
      </c>
      <c r="BV114" s="2">
        <f t="shared" si="64"/>
        <v>0</v>
      </c>
      <c r="BW114" s="2">
        <f t="shared" si="64"/>
        <v>0</v>
      </c>
      <c r="BX114" s="2">
        <f t="shared" si="64"/>
        <v>0</v>
      </c>
      <c r="BY114" s="2">
        <f t="shared" si="64"/>
        <v>0</v>
      </c>
      <c r="BZ114" s="2">
        <f t="shared" si="64"/>
        <v>0</v>
      </c>
      <c r="CA114" s="2">
        <f t="shared" ref="CA114:DF114" si="65">CA118</f>
        <v>3478.88</v>
      </c>
      <c r="CB114" s="2">
        <f t="shared" si="65"/>
        <v>3478.88</v>
      </c>
      <c r="CC114" s="2">
        <f t="shared" si="65"/>
        <v>0</v>
      </c>
      <c r="CD114" s="2">
        <f t="shared" si="65"/>
        <v>0</v>
      </c>
      <c r="CE114" s="2">
        <f t="shared" si="65"/>
        <v>736.59</v>
      </c>
      <c r="CF114" s="2">
        <f t="shared" si="65"/>
        <v>736.59</v>
      </c>
      <c r="CG114" s="2">
        <f t="shared" si="65"/>
        <v>0</v>
      </c>
      <c r="CH114" s="2">
        <f t="shared" si="65"/>
        <v>736.59</v>
      </c>
      <c r="CI114" s="2">
        <f t="shared" si="65"/>
        <v>0</v>
      </c>
      <c r="CJ114" s="2">
        <f t="shared" si="65"/>
        <v>0</v>
      </c>
      <c r="CK114" s="2">
        <f t="shared" si="65"/>
        <v>0</v>
      </c>
      <c r="CL114" s="2">
        <f t="shared" si="65"/>
        <v>0</v>
      </c>
      <c r="CM114" s="2">
        <f t="shared" si="65"/>
        <v>0</v>
      </c>
      <c r="CN114" s="2">
        <f t="shared" si="65"/>
        <v>0</v>
      </c>
      <c r="CO114" s="2">
        <f t="shared" si="65"/>
        <v>0</v>
      </c>
      <c r="CP114" s="2">
        <f t="shared" si="65"/>
        <v>0</v>
      </c>
      <c r="CQ114" s="2">
        <f t="shared" si="65"/>
        <v>0</v>
      </c>
      <c r="CR114" s="2">
        <f t="shared" si="65"/>
        <v>0</v>
      </c>
      <c r="CS114" s="2">
        <f t="shared" si="65"/>
        <v>0</v>
      </c>
      <c r="CT114" s="2">
        <f t="shared" si="65"/>
        <v>0</v>
      </c>
      <c r="CU114" s="2">
        <f t="shared" si="65"/>
        <v>0</v>
      </c>
      <c r="CV114" s="2">
        <f t="shared" si="65"/>
        <v>0</v>
      </c>
      <c r="CW114" s="2">
        <f t="shared" si="65"/>
        <v>0</v>
      </c>
      <c r="CX114" s="2">
        <f t="shared" si="65"/>
        <v>0</v>
      </c>
      <c r="CY114" s="2">
        <f t="shared" si="65"/>
        <v>0</v>
      </c>
      <c r="CZ114" s="2">
        <f t="shared" si="65"/>
        <v>0</v>
      </c>
      <c r="DA114" s="2">
        <f t="shared" si="65"/>
        <v>0</v>
      </c>
      <c r="DB114" s="2">
        <f t="shared" si="65"/>
        <v>0</v>
      </c>
      <c r="DC114" s="2">
        <f t="shared" si="65"/>
        <v>0</v>
      </c>
      <c r="DD114" s="2">
        <f t="shared" si="65"/>
        <v>0</v>
      </c>
      <c r="DE114" s="2">
        <f t="shared" si="65"/>
        <v>0</v>
      </c>
      <c r="DF114" s="2">
        <f t="shared" si="65"/>
        <v>0</v>
      </c>
      <c r="DG114" s="3">
        <f t="shared" ref="DG114:EL114" si="66">DG118</f>
        <v>0</v>
      </c>
      <c r="DH114" s="3">
        <f t="shared" si="66"/>
        <v>0</v>
      </c>
      <c r="DI114" s="3">
        <f t="shared" si="66"/>
        <v>0</v>
      </c>
      <c r="DJ114" s="3">
        <f t="shared" si="66"/>
        <v>0</v>
      </c>
      <c r="DK114" s="3">
        <f t="shared" si="66"/>
        <v>0</v>
      </c>
      <c r="DL114" s="3">
        <f t="shared" si="66"/>
        <v>0</v>
      </c>
      <c r="DM114" s="3">
        <f t="shared" si="66"/>
        <v>0</v>
      </c>
      <c r="DN114" s="3">
        <f t="shared" si="66"/>
        <v>0</v>
      </c>
      <c r="DO114" s="3">
        <f t="shared" si="66"/>
        <v>0</v>
      </c>
      <c r="DP114" s="3">
        <f t="shared" si="66"/>
        <v>0</v>
      </c>
      <c r="DQ114" s="3">
        <f t="shared" si="66"/>
        <v>0</v>
      </c>
      <c r="DR114" s="3">
        <f t="shared" si="66"/>
        <v>0</v>
      </c>
      <c r="DS114" s="3">
        <f t="shared" si="66"/>
        <v>0</v>
      </c>
      <c r="DT114" s="3">
        <f t="shared" si="66"/>
        <v>0</v>
      </c>
      <c r="DU114" s="3">
        <f t="shared" si="66"/>
        <v>0</v>
      </c>
      <c r="DV114" s="3">
        <f t="shared" si="66"/>
        <v>0</v>
      </c>
      <c r="DW114" s="3">
        <f t="shared" si="66"/>
        <v>0</v>
      </c>
      <c r="DX114" s="3">
        <f t="shared" si="66"/>
        <v>0</v>
      </c>
      <c r="DY114" s="3">
        <f t="shared" si="66"/>
        <v>0</v>
      </c>
      <c r="DZ114" s="3">
        <f t="shared" si="66"/>
        <v>0</v>
      </c>
      <c r="EA114" s="3">
        <f t="shared" si="66"/>
        <v>0</v>
      </c>
      <c r="EB114" s="3">
        <f t="shared" si="66"/>
        <v>0</v>
      </c>
      <c r="EC114" s="3">
        <f t="shared" si="66"/>
        <v>0</v>
      </c>
      <c r="ED114" s="3">
        <f t="shared" si="66"/>
        <v>0</v>
      </c>
      <c r="EE114" s="3">
        <f t="shared" si="66"/>
        <v>0</v>
      </c>
      <c r="EF114" s="3">
        <f t="shared" si="66"/>
        <v>0</v>
      </c>
      <c r="EG114" s="3">
        <f t="shared" si="66"/>
        <v>0</v>
      </c>
      <c r="EH114" s="3">
        <f t="shared" si="66"/>
        <v>0</v>
      </c>
      <c r="EI114" s="3">
        <f t="shared" si="66"/>
        <v>0</v>
      </c>
      <c r="EJ114" s="3">
        <f t="shared" si="66"/>
        <v>0</v>
      </c>
      <c r="EK114" s="3">
        <f t="shared" si="66"/>
        <v>0</v>
      </c>
      <c r="EL114" s="3">
        <f t="shared" si="66"/>
        <v>0</v>
      </c>
      <c r="EM114" s="3">
        <f t="shared" ref="EM114:FR114" si="67">EM118</f>
        <v>0</v>
      </c>
      <c r="EN114" s="3">
        <f t="shared" si="67"/>
        <v>0</v>
      </c>
      <c r="EO114" s="3">
        <f t="shared" si="67"/>
        <v>0</v>
      </c>
      <c r="EP114" s="3">
        <f t="shared" si="67"/>
        <v>0</v>
      </c>
      <c r="EQ114" s="3">
        <f t="shared" si="67"/>
        <v>0</v>
      </c>
      <c r="ER114" s="3">
        <f t="shared" si="67"/>
        <v>0</v>
      </c>
      <c r="ES114" s="3">
        <f t="shared" si="67"/>
        <v>0</v>
      </c>
      <c r="ET114" s="3">
        <f t="shared" si="67"/>
        <v>0</v>
      </c>
      <c r="EU114" s="3">
        <f t="shared" si="67"/>
        <v>0</v>
      </c>
      <c r="EV114" s="3">
        <f t="shared" si="67"/>
        <v>0</v>
      </c>
      <c r="EW114" s="3">
        <f t="shared" si="67"/>
        <v>0</v>
      </c>
      <c r="EX114" s="3">
        <f t="shared" si="67"/>
        <v>0</v>
      </c>
      <c r="EY114" s="3">
        <f t="shared" si="67"/>
        <v>0</v>
      </c>
      <c r="EZ114" s="3">
        <f t="shared" si="67"/>
        <v>0</v>
      </c>
      <c r="FA114" s="3">
        <f t="shared" si="67"/>
        <v>0</v>
      </c>
      <c r="FB114" s="3">
        <f t="shared" si="67"/>
        <v>0</v>
      </c>
      <c r="FC114" s="3">
        <f t="shared" si="67"/>
        <v>0</v>
      </c>
      <c r="FD114" s="3">
        <f t="shared" si="67"/>
        <v>0</v>
      </c>
      <c r="FE114" s="3">
        <f t="shared" si="67"/>
        <v>0</v>
      </c>
      <c r="FF114" s="3">
        <f t="shared" si="67"/>
        <v>0</v>
      </c>
      <c r="FG114" s="3">
        <f t="shared" si="67"/>
        <v>0</v>
      </c>
      <c r="FH114" s="3">
        <f t="shared" si="67"/>
        <v>0</v>
      </c>
      <c r="FI114" s="3">
        <f t="shared" si="67"/>
        <v>0</v>
      </c>
      <c r="FJ114" s="3">
        <f t="shared" si="67"/>
        <v>0</v>
      </c>
      <c r="FK114" s="3">
        <f t="shared" si="67"/>
        <v>0</v>
      </c>
      <c r="FL114" s="3">
        <f t="shared" si="67"/>
        <v>0</v>
      </c>
      <c r="FM114" s="3">
        <f t="shared" si="67"/>
        <v>0</v>
      </c>
      <c r="FN114" s="3">
        <f t="shared" si="67"/>
        <v>0</v>
      </c>
      <c r="FO114" s="3">
        <f t="shared" si="67"/>
        <v>0</v>
      </c>
      <c r="FP114" s="3">
        <f t="shared" si="67"/>
        <v>0</v>
      </c>
      <c r="FQ114" s="3">
        <f t="shared" si="67"/>
        <v>0</v>
      </c>
      <c r="FR114" s="3">
        <f t="shared" si="67"/>
        <v>0</v>
      </c>
      <c r="FS114" s="3">
        <f t="shared" ref="FS114:GX114" si="68">FS118</f>
        <v>0</v>
      </c>
      <c r="FT114" s="3">
        <f t="shared" si="68"/>
        <v>0</v>
      </c>
      <c r="FU114" s="3">
        <f t="shared" si="68"/>
        <v>0</v>
      </c>
      <c r="FV114" s="3">
        <f t="shared" si="68"/>
        <v>0</v>
      </c>
      <c r="FW114" s="3">
        <f t="shared" si="68"/>
        <v>0</v>
      </c>
      <c r="FX114" s="3">
        <f t="shared" si="68"/>
        <v>0</v>
      </c>
      <c r="FY114" s="3">
        <f t="shared" si="68"/>
        <v>0</v>
      </c>
      <c r="FZ114" s="3">
        <f t="shared" si="68"/>
        <v>0</v>
      </c>
      <c r="GA114" s="3">
        <f t="shared" si="68"/>
        <v>0</v>
      </c>
      <c r="GB114" s="3">
        <f t="shared" si="68"/>
        <v>0</v>
      </c>
      <c r="GC114" s="3">
        <f t="shared" si="68"/>
        <v>0</v>
      </c>
      <c r="GD114" s="3">
        <f t="shared" si="68"/>
        <v>0</v>
      </c>
      <c r="GE114" s="3">
        <f t="shared" si="68"/>
        <v>0</v>
      </c>
      <c r="GF114" s="3">
        <f t="shared" si="68"/>
        <v>0</v>
      </c>
      <c r="GG114" s="3">
        <f t="shared" si="68"/>
        <v>0</v>
      </c>
      <c r="GH114" s="3">
        <f t="shared" si="68"/>
        <v>0</v>
      </c>
      <c r="GI114" s="3">
        <f t="shared" si="68"/>
        <v>0</v>
      </c>
      <c r="GJ114" s="3">
        <f t="shared" si="68"/>
        <v>0</v>
      </c>
      <c r="GK114" s="3">
        <f t="shared" si="68"/>
        <v>0</v>
      </c>
      <c r="GL114" s="3">
        <f t="shared" si="68"/>
        <v>0</v>
      </c>
      <c r="GM114" s="3">
        <f t="shared" si="68"/>
        <v>0</v>
      </c>
      <c r="GN114" s="3">
        <f t="shared" si="68"/>
        <v>0</v>
      </c>
      <c r="GO114" s="3">
        <f t="shared" si="68"/>
        <v>0</v>
      </c>
      <c r="GP114" s="3">
        <f t="shared" si="68"/>
        <v>0</v>
      </c>
      <c r="GQ114" s="3">
        <f t="shared" si="68"/>
        <v>0</v>
      </c>
      <c r="GR114" s="3">
        <f t="shared" si="68"/>
        <v>0</v>
      </c>
      <c r="GS114" s="3">
        <f t="shared" si="68"/>
        <v>0</v>
      </c>
      <c r="GT114" s="3">
        <f t="shared" si="68"/>
        <v>0</v>
      </c>
      <c r="GU114" s="3">
        <f t="shared" si="68"/>
        <v>0</v>
      </c>
      <c r="GV114" s="3">
        <f t="shared" si="68"/>
        <v>0</v>
      </c>
      <c r="GW114" s="3">
        <f t="shared" si="68"/>
        <v>0</v>
      </c>
      <c r="GX114" s="3">
        <f t="shared" si="68"/>
        <v>0</v>
      </c>
    </row>
    <row r="116" spans="1:245" x14ac:dyDescent="0.2">
      <c r="A116">
        <v>17</v>
      </c>
      <c r="B116">
        <v>1</v>
      </c>
      <c r="C116">
        <f>ROW(SmtRes!A115)</f>
        <v>115</v>
      </c>
      <c r="D116">
        <f>ROW(EtalonRes!A114)</f>
        <v>114</v>
      </c>
      <c r="E116" t="s">
        <v>159</v>
      </c>
      <c r="F116" t="s">
        <v>172</v>
      </c>
      <c r="G116" t="s">
        <v>173</v>
      </c>
      <c r="H116" t="s">
        <v>39</v>
      </c>
      <c r="I116">
        <v>5.04E-2</v>
      </c>
      <c r="J116">
        <v>0</v>
      </c>
      <c r="K116">
        <v>5.04E-2</v>
      </c>
      <c r="O116">
        <f>ROUND(CP116,2)</f>
        <v>1899.66</v>
      </c>
      <c r="P116">
        <f>SUMIF(SmtRes!AQ106:'SmtRes'!AQ115,"=1",SmtRes!DF106:'SmtRes'!DF115)</f>
        <v>736.59</v>
      </c>
      <c r="Q116">
        <f>SUMIF(SmtRes!AQ106:'SmtRes'!AQ115,"=1",SmtRes!DG106:'SmtRes'!DG115)</f>
        <v>1.88</v>
      </c>
      <c r="R116">
        <f>SUMIF(SmtRes!AQ106:'SmtRes'!AQ115,"=1",SmtRes!DH106:'SmtRes'!DH115)</f>
        <v>2.0099999999999998</v>
      </c>
      <c r="S116">
        <f>SUMIF(SmtRes!AQ106:'SmtRes'!AQ115,"=1",SmtRes!DI106:'SmtRes'!DI115)</f>
        <v>1159.18</v>
      </c>
      <c r="T116">
        <f>ROUND(CU116*I116,2)</f>
        <v>0</v>
      </c>
      <c r="U116">
        <f>CV116*I116</f>
        <v>4.8263040000000004</v>
      </c>
      <c r="V116">
        <f>CW116*I116</f>
        <v>8.064E-3</v>
      </c>
      <c r="W116">
        <f>ROUND(CX116*I116,2)</f>
        <v>0</v>
      </c>
      <c r="X116">
        <f>ROUND(CY116,2)</f>
        <v>1045.07</v>
      </c>
      <c r="Y116">
        <f>ROUND(CZ116,2)</f>
        <v>534.15</v>
      </c>
      <c r="AA116">
        <v>59552816</v>
      </c>
      <c r="AB116">
        <f>ROUND((AC116+AD116+AF116+AE116),2)</f>
        <v>37487.86</v>
      </c>
      <c r="AC116">
        <f>ROUND((SUM(SmtRes!BQ106:'SmtRes'!BQ115)),2)</f>
        <v>14416.07</v>
      </c>
      <c r="AD116">
        <f>ROUND((SUM(SmtRes!BR106:'SmtRes'!BR115)),2)</f>
        <v>32.409999999999997</v>
      </c>
      <c r="AE116">
        <f>ROUND((SUM(SmtRes!BS106:'SmtRes'!BS115)),2)</f>
        <v>39.74</v>
      </c>
      <c r="AF116">
        <f>ROUND((SUM(SmtRes!BT106:'SmtRes'!BT115)),2)</f>
        <v>22999.64</v>
      </c>
      <c r="AG116">
        <f>ROUND((AP116),2)</f>
        <v>0</v>
      </c>
      <c r="AH116">
        <f>(SUM(SmtRes!BU106:'SmtRes'!BU115))</f>
        <v>95.76</v>
      </c>
      <c r="AI116">
        <f>(SUM(SmtRes!BV106:'SmtRes'!BV115))</f>
        <v>0.16</v>
      </c>
      <c r="AJ116">
        <f>(AS116)</f>
        <v>0</v>
      </c>
      <c r="AK116">
        <v>37487.858202873023</v>
      </c>
      <c r="AL116">
        <v>14416.069802873017</v>
      </c>
      <c r="AM116">
        <v>32.407200000000003</v>
      </c>
      <c r="AN116">
        <v>39.744399999999999</v>
      </c>
      <c r="AO116">
        <v>22999.6368</v>
      </c>
      <c r="AP116">
        <v>0</v>
      </c>
      <c r="AQ116">
        <v>95.76</v>
      </c>
      <c r="AR116">
        <v>0.16</v>
      </c>
      <c r="AS116">
        <v>0</v>
      </c>
      <c r="AT116">
        <v>90</v>
      </c>
      <c r="AU116">
        <v>46</v>
      </c>
      <c r="AV116">
        <v>1</v>
      </c>
      <c r="AW116">
        <v>1</v>
      </c>
      <c r="AZ116">
        <v>1</v>
      </c>
      <c r="BA116">
        <v>1</v>
      </c>
      <c r="BB116">
        <v>1</v>
      </c>
      <c r="BC116">
        <v>1</v>
      </c>
      <c r="BD116" t="s">
        <v>3</v>
      </c>
      <c r="BE116" t="s">
        <v>3</v>
      </c>
      <c r="BF116" t="s">
        <v>3</v>
      </c>
      <c r="BG116" t="s">
        <v>3</v>
      </c>
      <c r="BH116">
        <v>0</v>
      </c>
      <c r="BI116">
        <v>1</v>
      </c>
      <c r="BJ116" t="s">
        <v>174</v>
      </c>
      <c r="BM116">
        <v>62001</v>
      </c>
      <c r="BN116">
        <v>0</v>
      </c>
      <c r="BO116" t="s">
        <v>3</v>
      </c>
      <c r="BP116">
        <v>0</v>
      </c>
      <c r="BQ116">
        <v>6</v>
      </c>
      <c r="BR116">
        <v>0</v>
      </c>
      <c r="BS116">
        <v>1</v>
      </c>
      <c r="BT116">
        <v>1</v>
      </c>
      <c r="BU116">
        <v>1</v>
      </c>
      <c r="BV116">
        <v>1</v>
      </c>
      <c r="BW116">
        <v>1</v>
      </c>
      <c r="BX116">
        <v>1</v>
      </c>
      <c r="BY116" t="s">
        <v>3</v>
      </c>
      <c r="BZ116">
        <v>90</v>
      </c>
      <c r="CA116">
        <v>46</v>
      </c>
      <c r="CB116" t="s">
        <v>3</v>
      </c>
      <c r="CE116">
        <v>0</v>
      </c>
      <c r="CF116">
        <v>0</v>
      </c>
      <c r="CG116">
        <v>0</v>
      </c>
      <c r="CM116">
        <v>0</v>
      </c>
      <c r="CN116" t="s">
        <v>3</v>
      </c>
      <c r="CO116">
        <v>0</v>
      </c>
      <c r="CP116">
        <f>(P116+Q116+S116+R116)</f>
        <v>1899.66</v>
      </c>
      <c r="CQ116">
        <f>SUMIF(SmtRes!AQ106:'SmtRes'!AQ115,"=1",SmtRes!AA106:'SmtRes'!AA115)</f>
        <v>399288.78</v>
      </c>
      <c r="CR116">
        <f>SUMIF(SmtRes!AQ106:'SmtRes'!AQ115,"=1",SmtRes!AB106:'SmtRes'!AB115)</f>
        <v>588.93999999999994</v>
      </c>
      <c r="CS116">
        <f>SUMIF(SmtRes!AQ106:'SmtRes'!AQ115,"=1",SmtRes!AC106:'SmtRes'!AC115)</f>
        <v>504.28</v>
      </c>
      <c r="CT116">
        <f>SUMIF(SmtRes!AQ106:'SmtRes'!AQ115,"=1",SmtRes!AD106:'SmtRes'!AD115)</f>
        <v>240.18</v>
      </c>
      <c r="CU116">
        <f>AG116</f>
        <v>0</v>
      </c>
      <c r="CV116">
        <f>AH116</f>
        <v>95.76</v>
      </c>
      <c r="CW116">
        <f>AI116</f>
        <v>0.16</v>
      </c>
      <c r="CX116">
        <f>AJ116</f>
        <v>0</v>
      </c>
      <c r="CY116">
        <f>(((S116+R116)*AT116)/100)</f>
        <v>1045.0710000000001</v>
      </c>
      <c r="CZ116">
        <f>(((S116+R116)*AU116)/100)</f>
        <v>534.14740000000006</v>
      </c>
      <c r="DC116" t="s">
        <v>3</v>
      </c>
      <c r="DD116" t="s">
        <v>3</v>
      </c>
      <c r="DE116" t="s">
        <v>3</v>
      </c>
      <c r="DF116" t="s">
        <v>3</v>
      </c>
      <c r="DG116" t="s">
        <v>3</v>
      </c>
      <c r="DH116" t="s">
        <v>3</v>
      </c>
      <c r="DI116" t="s">
        <v>3</v>
      </c>
      <c r="DJ116" t="s">
        <v>3</v>
      </c>
      <c r="DK116" t="s">
        <v>3</v>
      </c>
      <c r="DL116" t="s">
        <v>3</v>
      </c>
      <c r="DM116" t="s">
        <v>3</v>
      </c>
      <c r="DN116">
        <v>0</v>
      </c>
      <c r="DO116">
        <v>0</v>
      </c>
      <c r="DP116">
        <v>1</v>
      </c>
      <c r="DQ116">
        <v>1</v>
      </c>
      <c r="DU116">
        <v>1005</v>
      </c>
      <c r="DV116" t="s">
        <v>39</v>
      </c>
      <c r="DW116" t="s">
        <v>39</v>
      </c>
      <c r="DX116">
        <v>100</v>
      </c>
      <c r="DZ116" t="s">
        <v>3</v>
      </c>
      <c r="EA116" t="s">
        <v>3</v>
      </c>
      <c r="EB116" t="s">
        <v>3</v>
      </c>
      <c r="EC116" t="s">
        <v>3</v>
      </c>
      <c r="EE116">
        <v>57922258</v>
      </c>
      <c r="EF116">
        <v>6</v>
      </c>
      <c r="EG116" t="s">
        <v>19</v>
      </c>
      <c r="EH116">
        <v>96</v>
      </c>
      <c r="EI116" t="s">
        <v>51</v>
      </c>
      <c r="EJ116">
        <v>1</v>
      </c>
      <c r="EK116">
        <v>62001</v>
      </c>
      <c r="EL116" t="s">
        <v>51</v>
      </c>
      <c r="EM116" t="s">
        <v>52</v>
      </c>
      <c r="EO116" t="s">
        <v>3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95.76</v>
      </c>
      <c r="EX116">
        <v>0.16</v>
      </c>
      <c r="EY116">
        <v>0</v>
      </c>
      <c r="FQ116">
        <v>0</v>
      </c>
      <c r="FR116">
        <f>ROUND(IF(BI116=3,GM116,0),2)</f>
        <v>0</v>
      </c>
      <c r="FS116">
        <v>0</v>
      </c>
      <c r="FX116">
        <v>90</v>
      </c>
      <c r="FY116">
        <v>46</v>
      </c>
      <c r="GA116" t="s">
        <v>3</v>
      </c>
      <c r="GD116">
        <v>1</v>
      </c>
      <c r="GF116">
        <v>1127955259</v>
      </c>
      <c r="GG116">
        <v>2</v>
      </c>
      <c r="GH116">
        <v>1</v>
      </c>
      <c r="GI116">
        <v>-2</v>
      </c>
      <c r="GJ116">
        <v>0</v>
      </c>
      <c r="GK116">
        <v>0</v>
      </c>
      <c r="GL116">
        <f>ROUND(IF(AND(BH116=3,BI116=3,FS116&lt;&gt;0),P116,0),2)</f>
        <v>0</v>
      </c>
      <c r="GM116">
        <f>ROUND(O116+X116+Y116,2)+GX116</f>
        <v>3478.88</v>
      </c>
      <c r="GN116">
        <f>IF(OR(BI116=0,BI116=1),GM116,0)</f>
        <v>3478.88</v>
      </c>
      <c r="GO116">
        <f>IF(BI116=2,GM116,0)</f>
        <v>0</v>
      </c>
      <c r="GP116">
        <f>IF(BI116=4,GM116+GX116,0)</f>
        <v>0</v>
      </c>
      <c r="GR116">
        <v>0</v>
      </c>
      <c r="GS116">
        <v>3</v>
      </c>
      <c r="GT116">
        <v>0</v>
      </c>
      <c r="GU116" t="s">
        <v>3</v>
      </c>
      <c r="GV116">
        <f>ROUND((GT116),2)</f>
        <v>0</v>
      </c>
      <c r="GW116">
        <v>1</v>
      </c>
      <c r="GX116">
        <f>ROUND(HC116*I116,2)</f>
        <v>0</v>
      </c>
      <c r="HA116">
        <v>0</v>
      </c>
      <c r="HB116">
        <v>0</v>
      </c>
      <c r="HC116">
        <f>GV116*GW116</f>
        <v>0</v>
      </c>
      <c r="HE116" t="s">
        <v>3</v>
      </c>
      <c r="HF116" t="s">
        <v>3</v>
      </c>
      <c r="HM116" t="s">
        <v>3</v>
      </c>
      <c r="HN116" t="s">
        <v>53</v>
      </c>
      <c r="HO116" t="s">
        <v>54</v>
      </c>
      <c r="HP116" t="s">
        <v>51</v>
      </c>
      <c r="HQ116" t="s">
        <v>51</v>
      </c>
      <c r="IK116">
        <v>0</v>
      </c>
    </row>
    <row r="118" spans="1:245" x14ac:dyDescent="0.2">
      <c r="A118" s="2">
        <v>51</v>
      </c>
      <c r="B118" s="2">
        <f>B112</f>
        <v>1</v>
      </c>
      <c r="C118" s="2">
        <f>A112</f>
        <v>4</v>
      </c>
      <c r="D118" s="2">
        <f>ROW(A112)</f>
        <v>112</v>
      </c>
      <c r="E118" s="2"/>
      <c r="F118" s="2" t="str">
        <f>IF(F112&lt;&gt;"",F112,"")</f>
        <v>Новый раздел</v>
      </c>
      <c r="G118" s="2" t="str">
        <f>IF(G112&lt;&gt;"",G112,"")</f>
        <v>Двери</v>
      </c>
      <c r="H118" s="2">
        <v>0</v>
      </c>
      <c r="I118" s="2"/>
      <c r="J118" s="2"/>
      <c r="K118" s="2"/>
      <c r="L118" s="2"/>
      <c r="M118" s="2"/>
      <c r="N118" s="2"/>
      <c r="O118" s="2">
        <f t="shared" ref="O118:T118" si="69">ROUND(AB118,2)</f>
        <v>1899.66</v>
      </c>
      <c r="P118" s="2">
        <f t="shared" si="69"/>
        <v>736.59</v>
      </c>
      <c r="Q118" s="2">
        <f t="shared" si="69"/>
        <v>1.88</v>
      </c>
      <c r="R118" s="2">
        <f t="shared" si="69"/>
        <v>2.0099999999999998</v>
      </c>
      <c r="S118" s="2">
        <f t="shared" si="69"/>
        <v>1159.18</v>
      </c>
      <c r="T118" s="2">
        <f t="shared" si="69"/>
        <v>0</v>
      </c>
      <c r="U118" s="2">
        <f>AH118</f>
        <v>4.8263040000000004</v>
      </c>
      <c r="V118" s="2">
        <f>AI118</f>
        <v>8.064E-3</v>
      </c>
      <c r="W118" s="2">
        <f>ROUND(AJ118,2)</f>
        <v>0</v>
      </c>
      <c r="X118" s="2">
        <f>ROUND(AK118,2)</f>
        <v>1045.07</v>
      </c>
      <c r="Y118" s="2">
        <f>ROUND(AL118,2)</f>
        <v>534.15</v>
      </c>
      <c r="Z118" s="2"/>
      <c r="AA118" s="2"/>
      <c r="AB118" s="2">
        <f>ROUND(SUMIF(AA116:AA116,"=59552816",O116:O116),2)</f>
        <v>1899.66</v>
      </c>
      <c r="AC118" s="2">
        <f>ROUND(SUMIF(AA116:AA116,"=59552816",P116:P116),2)</f>
        <v>736.59</v>
      </c>
      <c r="AD118" s="2">
        <f>ROUND(SUMIF(AA116:AA116,"=59552816",Q116:Q116),2)</f>
        <v>1.88</v>
      </c>
      <c r="AE118" s="2">
        <f>ROUND(SUMIF(AA116:AA116,"=59552816",R116:R116),2)</f>
        <v>2.0099999999999998</v>
      </c>
      <c r="AF118" s="2">
        <f>ROUND(SUMIF(AA116:AA116,"=59552816",S116:S116),2)</f>
        <v>1159.18</v>
      </c>
      <c r="AG118" s="2">
        <f>ROUND(SUMIF(AA116:AA116,"=59552816",T116:T116),2)</f>
        <v>0</v>
      </c>
      <c r="AH118" s="2">
        <f>SUMIF(AA116:AA116,"=59552816",U116:U116)</f>
        <v>4.8263040000000004</v>
      </c>
      <c r="AI118" s="2">
        <f>SUMIF(AA116:AA116,"=59552816",V116:V116)</f>
        <v>8.064E-3</v>
      </c>
      <c r="AJ118" s="2">
        <f>ROUND(SUMIF(AA116:AA116,"=59552816",W116:W116),2)</f>
        <v>0</v>
      </c>
      <c r="AK118" s="2">
        <f>ROUND(SUMIF(AA116:AA116,"=59552816",X116:X116),2)</f>
        <v>1045.07</v>
      </c>
      <c r="AL118" s="2">
        <f>ROUND(SUMIF(AA116:AA116,"=59552816",Y116:Y116),2)</f>
        <v>534.15</v>
      </c>
      <c r="AM118" s="2"/>
      <c r="AN118" s="2"/>
      <c r="AO118" s="2">
        <f t="shared" ref="AO118:BD118" si="70">ROUND(BX118,2)</f>
        <v>0</v>
      </c>
      <c r="AP118" s="2">
        <f t="shared" si="70"/>
        <v>0</v>
      </c>
      <c r="AQ118" s="2">
        <f t="shared" si="70"/>
        <v>0</v>
      </c>
      <c r="AR118" s="2">
        <f t="shared" si="70"/>
        <v>3478.88</v>
      </c>
      <c r="AS118" s="2">
        <f t="shared" si="70"/>
        <v>3478.88</v>
      </c>
      <c r="AT118" s="2">
        <f t="shared" si="70"/>
        <v>0</v>
      </c>
      <c r="AU118" s="2">
        <f t="shared" si="70"/>
        <v>0</v>
      </c>
      <c r="AV118" s="2">
        <f t="shared" si="70"/>
        <v>736.59</v>
      </c>
      <c r="AW118" s="2">
        <f t="shared" si="70"/>
        <v>736.59</v>
      </c>
      <c r="AX118" s="2">
        <f t="shared" si="70"/>
        <v>0</v>
      </c>
      <c r="AY118" s="2">
        <f t="shared" si="70"/>
        <v>736.59</v>
      </c>
      <c r="AZ118" s="2">
        <f t="shared" si="70"/>
        <v>0</v>
      </c>
      <c r="BA118" s="2">
        <f t="shared" si="70"/>
        <v>0</v>
      </c>
      <c r="BB118" s="2">
        <f t="shared" si="70"/>
        <v>0</v>
      </c>
      <c r="BC118" s="2">
        <f t="shared" si="70"/>
        <v>0</v>
      </c>
      <c r="BD118" s="2">
        <f t="shared" si="70"/>
        <v>0</v>
      </c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>
        <f>ROUND(SUMIF(AA116:AA116,"=59552816",FQ116:FQ116),2)</f>
        <v>0</v>
      </c>
      <c r="BY118" s="2">
        <f>ROUND(SUMIF(AA116:AA116,"=59552816",FR116:FR116),2)</f>
        <v>0</v>
      </c>
      <c r="BZ118" s="2">
        <f>ROUND(SUMIF(AA116:AA116,"=59552816",GL116:GL116),2)</f>
        <v>0</v>
      </c>
      <c r="CA118" s="2">
        <f>ROUND(SUMIF(AA116:AA116,"=59552816",GM116:GM116),2)</f>
        <v>3478.88</v>
      </c>
      <c r="CB118" s="2">
        <f>ROUND(SUMIF(AA116:AA116,"=59552816",GN116:GN116),2)</f>
        <v>3478.88</v>
      </c>
      <c r="CC118" s="2">
        <f>ROUND(SUMIF(AA116:AA116,"=59552816",GO116:GO116),2)</f>
        <v>0</v>
      </c>
      <c r="CD118" s="2">
        <f>ROUND(SUMIF(AA116:AA116,"=59552816",GP116:GP116),2)</f>
        <v>0</v>
      </c>
      <c r="CE118" s="2">
        <f>AC118-BX118</f>
        <v>736.59</v>
      </c>
      <c r="CF118" s="2">
        <f>AC118-BY118</f>
        <v>736.59</v>
      </c>
      <c r="CG118" s="2">
        <f>BX118-BZ118</f>
        <v>0</v>
      </c>
      <c r="CH118" s="2">
        <f>AC118-BX118-BY118+BZ118</f>
        <v>736.59</v>
      </c>
      <c r="CI118" s="2">
        <f>BY118-BZ118</f>
        <v>0</v>
      </c>
      <c r="CJ118" s="2">
        <f>ROUND(SUMIF(AA116:AA116,"=59552816",GX116:GX116),2)</f>
        <v>0</v>
      </c>
      <c r="CK118" s="2">
        <f>ROUND(SUMIF(AA116:AA116,"=59552816",GY116:GY116),2)</f>
        <v>0</v>
      </c>
      <c r="CL118" s="2">
        <f>ROUND(SUMIF(AA116:AA116,"=59552816",GZ116:GZ116),2)</f>
        <v>0</v>
      </c>
      <c r="CM118" s="2">
        <f>ROUND(SUMIF(AA116:AA116,"=59552816",HD116:HD116),2)</f>
        <v>0</v>
      </c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>
        <v>0</v>
      </c>
    </row>
    <row r="120" spans="1:245" x14ac:dyDescent="0.2">
      <c r="A120" s="4">
        <v>50</v>
      </c>
      <c r="B120" s="4">
        <v>0</v>
      </c>
      <c r="C120" s="4">
        <v>0</v>
      </c>
      <c r="D120" s="4">
        <v>1</v>
      </c>
      <c r="E120" s="4">
        <v>201</v>
      </c>
      <c r="F120" s="4">
        <f>ROUND(Source!O118,O120)</f>
        <v>1899.66</v>
      </c>
      <c r="G120" s="4" t="s">
        <v>104</v>
      </c>
      <c r="H120" s="4" t="s">
        <v>105</v>
      </c>
      <c r="I120" s="4"/>
      <c r="J120" s="4"/>
      <c r="K120" s="4">
        <v>201</v>
      </c>
      <c r="L120" s="4">
        <v>1</v>
      </c>
      <c r="M120" s="4">
        <v>3</v>
      </c>
      <c r="N120" s="4" t="s">
        <v>3</v>
      </c>
      <c r="O120" s="4">
        <v>2</v>
      </c>
      <c r="P120" s="4"/>
      <c r="Q120" s="4"/>
      <c r="R120" s="4"/>
      <c r="S120" s="4"/>
      <c r="T120" s="4"/>
      <c r="U120" s="4"/>
      <c r="V120" s="4"/>
      <c r="W120" s="4">
        <v>1899.66</v>
      </c>
      <c r="X120" s="4">
        <v>1</v>
      </c>
      <c r="Y120" s="4">
        <v>1899.66</v>
      </c>
      <c r="Z120" s="4"/>
      <c r="AA120" s="4"/>
      <c r="AB120" s="4"/>
    </row>
    <row r="121" spans="1:245" x14ac:dyDescent="0.2">
      <c r="A121" s="4">
        <v>50</v>
      </c>
      <c r="B121" s="4">
        <v>0</v>
      </c>
      <c r="C121" s="4">
        <v>0</v>
      </c>
      <c r="D121" s="4">
        <v>1</v>
      </c>
      <c r="E121" s="4">
        <v>202</v>
      </c>
      <c r="F121" s="4">
        <f>ROUND(Source!P118,O121)</f>
        <v>736.59</v>
      </c>
      <c r="G121" s="4" t="s">
        <v>106</v>
      </c>
      <c r="H121" s="4" t="s">
        <v>107</v>
      </c>
      <c r="I121" s="4"/>
      <c r="J121" s="4"/>
      <c r="K121" s="4">
        <v>202</v>
      </c>
      <c r="L121" s="4">
        <v>2</v>
      </c>
      <c r="M121" s="4">
        <v>3</v>
      </c>
      <c r="N121" s="4" t="s">
        <v>3</v>
      </c>
      <c r="O121" s="4">
        <v>2</v>
      </c>
      <c r="P121" s="4"/>
      <c r="Q121" s="4"/>
      <c r="R121" s="4"/>
      <c r="S121" s="4"/>
      <c r="T121" s="4"/>
      <c r="U121" s="4"/>
      <c r="V121" s="4"/>
      <c r="W121" s="4">
        <v>736.59</v>
      </c>
      <c r="X121" s="4">
        <v>1</v>
      </c>
      <c r="Y121" s="4">
        <v>736.59</v>
      </c>
      <c r="Z121" s="4"/>
      <c r="AA121" s="4"/>
      <c r="AB121" s="4"/>
    </row>
    <row r="122" spans="1:245" x14ac:dyDescent="0.2">
      <c r="A122" s="4">
        <v>50</v>
      </c>
      <c r="B122" s="4">
        <v>0</v>
      </c>
      <c r="C122" s="4">
        <v>0</v>
      </c>
      <c r="D122" s="4">
        <v>1</v>
      </c>
      <c r="E122" s="4">
        <v>222</v>
      </c>
      <c r="F122" s="4">
        <f>ROUND(Source!AO118,O122)</f>
        <v>0</v>
      </c>
      <c r="G122" s="4" t="s">
        <v>108</v>
      </c>
      <c r="H122" s="4" t="s">
        <v>109</v>
      </c>
      <c r="I122" s="4"/>
      <c r="J122" s="4"/>
      <c r="K122" s="4">
        <v>222</v>
      </c>
      <c r="L122" s="4">
        <v>3</v>
      </c>
      <c r="M122" s="4">
        <v>3</v>
      </c>
      <c r="N122" s="4" t="s">
        <v>3</v>
      </c>
      <c r="O122" s="4">
        <v>2</v>
      </c>
      <c r="P122" s="4"/>
      <c r="Q122" s="4"/>
      <c r="R122" s="4"/>
      <c r="S122" s="4"/>
      <c r="T122" s="4"/>
      <c r="U122" s="4"/>
      <c r="V122" s="4"/>
      <c r="W122" s="4">
        <v>0</v>
      </c>
      <c r="X122" s="4">
        <v>1</v>
      </c>
      <c r="Y122" s="4">
        <v>0</v>
      </c>
      <c r="Z122" s="4"/>
      <c r="AA122" s="4"/>
      <c r="AB122" s="4"/>
    </row>
    <row r="123" spans="1:245" x14ac:dyDescent="0.2">
      <c r="A123" s="4">
        <v>50</v>
      </c>
      <c r="B123" s="4">
        <v>0</v>
      </c>
      <c r="C123" s="4">
        <v>0</v>
      </c>
      <c r="D123" s="4">
        <v>1</v>
      </c>
      <c r="E123" s="4">
        <v>225</v>
      </c>
      <c r="F123" s="4">
        <f>ROUND(Source!AV118,O123)</f>
        <v>736.59</v>
      </c>
      <c r="G123" s="4" t="s">
        <v>110</v>
      </c>
      <c r="H123" s="4" t="s">
        <v>111</v>
      </c>
      <c r="I123" s="4"/>
      <c r="J123" s="4"/>
      <c r="K123" s="4">
        <v>225</v>
      </c>
      <c r="L123" s="4">
        <v>4</v>
      </c>
      <c r="M123" s="4">
        <v>3</v>
      </c>
      <c r="N123" s="4" t="s">
        <v>3</v>
      </c>
      <c r="O123" s="4">
        <v>2</v>
      </c>
      <c r="P123" s="4"/>
      <c r="Q123" s="4"/>
      <c r="R123" s="4"/>
      <c r="S123" s="4"/>
      <c r="T123" s="4"/>
      <c r="U123" s="4"/>
      <c r="V123" s="4"/>
      <c r="W123" s="4">
        <v>736.59</v>
      </c>
      <c r="X123" s="4">
        <v>1</v>
      </c>
      <c r="Y123" s="4">
        <v>736.59</v>
      </c>
      <c r="Z123" s="4"/>
      <c r="AA123" s="4"/>
      <c r="AB123" s="4"/>
    </row>
    <row r="124" spans="1:245" x14ac:dyDescent="0.2">
      <c r="A124" s="4">
        <v>50</v>
      </c>
      <c r="B124" s="4">
        <v>0</v>
      </c>
      <c r="C124" s="4">
        <v>0</v>
      </c>
      <c r="D124" s="4">
        <v>1</v>
      </c>
      <c r="E124" s="4">
        <v>226</v>
      </c>
      <c r="F124" s="4">
        <f>ROUND(Source!AW118,O124)</f>
        <v>736.59</v>
      </c>
      <c r="G124" s="4" t="s">
        <v>112</v>
      </c>
      <c r="H124" s="4" t="s">
        <v>113</v>
      </c>
      <c r="I124" s="4"/>
      <c r="J124" s="4"/>
      <c r="K124" s="4">
        <v>226</v>
      </c>
      <c r="L124" s="4">
        <v>5</v>
      </c>
      <c r="M124" s="4">
        <v>3</v>
      </c>
      <c r="N124" s="4" t="s">
        <v>3</v>
      </c>
      <c r="O124" s="4">
        <v>2</v>
      </c>
      <c r="P124" s="4"/>
      <c r="Q124" s="4"/>
      <c r="R124" s="4"/>
      <c r="S124" s="4"/>
      <c r="T124" s="4"/>
      <c r="U124" s="4"/>
      <c r="V124" s="4"/>
      <c r="W124" s="4">
        <v>736.59</v>
      </c>
      <c r="X124" s="4">
        <v>1</v>
      </c>
      <c r="Y124" s="4">
        <v>736.59</v>
      </c>
      <c r="Z124" s="4"/>
      <c r="AA124" s="4"/>
      <c r="AB124" s="4"/>
    </row>
    <row r="125" spans="1:245" x14ac:dyDescent="0.2">
      <c r="A125" s="4">
        <v>50</v>
      </c>
      <c r="B125" s="4">
        <v>0</v>
      </c>
      <c r="C125" s="4">
        <v>0</v>
      </c>
      <c r="D125" s="4">
        <v>1</v>
      </c>
      <c r="E125" s="4">
        <v>227</v>
      </c>
      <c r="F125" s="4">
        <f>ROUND(Source!AX118,O125)</f>
        <v>0</v>
      </c>
      <c r="G125" s="4" t="s">
        <v>114</v>
      </c>
      <c r="H125" s="4" t="s">
        <v>115</v>
      </c>
      <c r="I125" s="4"/>
      <c r="J125" s="4"/>
      <c r="K125" s="4">
        <v>227</v>
      </c>
      <c r="L125" s="4">
        <v>6</v>
      </c>
      <c r="M125" s="4">
        <v>3</v>
      </c>
      <c r="N125" s="4" t="s">
        <v>3</v>
      </c>
      <c r="O125" s="4">
        <v>2</v>
      </c>
      <c r="P125" s="4"/>
      <c r="Q125" s="4"/>
      <c r="R125" s="4"/>
      <c r="S125" s="4"/>
      <c r="T125" s="4"/>
      <c r="U125" s="4"/>
      <c r="V125" s="4"/>
      <c r="W125" s="4">
        <v>0</v>
      </c>
      <c r="X125" s="4">
        <v>1</v>
      </c>
      <c r="Y125" s="4">
        <v>0</v>
      </c>
      <c r="Z125" s="4"/>
      <c r="AA125" s="4"/>
      <c r="AB125" s="4"/>
    </row>
    <row r="126" spans="1:245" x14ac:dyDescent="0.2">
      <c r="A126" s="4">
        <v>50</v>
      </c>
      <c r="B126" s="4">
        <v>0</v>
      </c>
      <c r="C126" s="4">
        <v>0</v>
      </c>
      <c r="D126" s="4">
        <v>1</v>
      </c>
      <c r="E126" s="4">
        <v>228</v>
      </c>
      <c r="F126" s="4">
        <f>ROUND(Source!AY118,O126)</f>
        <v>736.59</v>
      </c>
      <c r="G126" s="4" t="s">
        <v>116</v>
      </c>
      <c r="H126" s="4" t="s">
        <v>117</v>
      </c>
      <c r="I126" s="4"/>
      <c r="J126" s="4"/>
      <c r="K126" s="4">
        <v>228</v>
      </c>
      <c r="L126" s="4">
        <v>7</v>
      </c>
      <c r="M126" s="4">
        <v>3</v>
      </c>
      <c r="N126" s="4" t="s">
        <v>3</v>
      </c>
      <c r="O126" s="4">
        <v>2</v>
      </c>
      <c r="P126" s="4"/>
      <c r="Q126" s="4"/>
      <c r="R126" s="4"/>
      <c r="S126" s="4"/>
      <c r="T126" s="4"/>
      <c r="U126" s="4"/>
      <c r="V126" s="4"/>
      <c r="W126" s="4">
        <v>736.59</v>
      </c>
      <c r="X126" s="4">
        <v>1</v>
      </c>
      <c r="Y126" s="4">
        <v>736.59</v>
      </c>
      <c r="Z126" s="4"/>
      <c r="AA126" s="4"/>
      <c r="AB126" s="4"/>
    </row>
    <row r="127" spans="1:245" x14ac:dyDescent="0.2">
      <c r="A127" s="4">
        <v>50</v>
      </c>
      <c r="B127" s="4">
        <v>0</v>
      </c>
      <c r="C127" s="4">
        <v>0</v>
      </c>
      <c r="D127" s="4">
        <v>1</v>
      </c>
      <c r="E127" s="4">
        <v>216</v>
      </c>
      <c r="F127" s="4">
        <f>ROUND(Source!AP118,O127)</f>
        <v>0</v>
      </c>
      <c r="G127" s="4" t="s">
        <v>118</v>
      </c>
      <c r="H127" s="4" t="s">
        <v>119</v>
      </c>
      <c r="I127" s="4"/>
      <c r="J127" s="4"/>
      <c r="K127" s="4">
        <v>216</v>
      </c>
      <c r="L127" s="4">
        <v>8</v>
      </c>
      <c r="M127" s="4">
        <v>3</v>
      </c>
      <c r="N127" s="4" t="s">
        <v>3</v>
      </c>
      <c r="O127" s="4">
        <v>2</v>
      </c>
      <c r="P127" s="4"/>
      <c r="Q127" s="4"/>
      <c r="R127" s="4"/>
      <c r="S127" s="4"/>
      <c r="T127" s="4"/>
      <c r="U127" s="4"/>
      <c r="V127" s="4"/>
      <c r="W127" s="4">
        <v>0</v>
      </c>
      <c r="X127" s="4">
        <v>1</v>
      </c>
      <c r="Y127" s="4">
        <v>0</v>
      </c>
      <c r="Z127" s="4"/>
      <c r="AA127" s="4"/>
      <c r="AB127" s="4"/>
    </row>
    <row r="128" spans="1:245" x14ac:dyDescent="0.2">
      <c r="A128" s="4">
        <v>50</v>
      </c>
      <c r="B128" s="4">
        <v>0</v>
      </c>
      <c r="C128" s="4">
        <v>0</v>
      </c>
      <c r="D128" s="4">
        <v>1</v>
      </c>
      <c r="E128" s="4">
        <v>223</v>
      </c>
      <c r="F128" s="4">
        <f>ROUND(Source!AQ118,O128)</f>
        <v>0</v>
      </c>
      <c r="G128" s="4" t="s">
        <v>120</v>
      </c>
      <c r="H128" s="4" t="s">
        <v>121</v>
      </c>
      <c r="I128" s="4"/>
      <c r="J128" s="4"/>
      <c r="K128" s="4">
        <v>223</v>
      </c>
      <c r="L128" s="4">
        <v>9</v>
      </c>
      <c r="M128" s="4">
        <v>3</v>
      </c>
      <c r="N128" s="4" t="s">
        <v>3</v>
      </c>
      <c r="O128" s="4">
        <v>2</v>
      </c>
      <c r="P128" s="4"/>
      <c r="Q128" s="4"/>
      <c r="R128" s="4"/>
      <c r="S128" s="4"/>
      <c r="T128" s="4"/>
      <c r="U128" s="4"/>
      <c r="V128" s="4"/>
      <c r="W128" s="4">
        <v>0</v>
      </c>
      <c r="X128" s="4">
        <v>1</v>
      </c>
      <c r="Y128" s="4">
        <v>0</v>
      </c>
      <c r="Z128" s="4"/>
      <c r="AA128" s="4"/>
      <c r="AB128" s="4"/>
    </row>
    <row r="129" spans="1:28" x14ac:dyDescent="0.2">
      <c r="A129" s="4">
        <v>50</v>
      </c>
      <c r="B129" s="4">
        <v>0</v>
      </c>
      <c r="C129" s="4">
        <v>0</v>
      </c>
      <c r="D129" s="4">
        <v>1</v>
      </c>
      <c r="E129" s="4">
        <v>229</v>
      </c>
      <c r="F129" s="4">
        <f>ROUND(Source!AZ118,O129)</f>
        <v>0</v>
      </c>
      <c r="G129" s="4" t="s">
        <v>122</v>
      </c>
      <c r="H129" s="4" t="s">
        <v>123</v>
      </c>
      <c r="I129" s="4"/>
      <c r="J129" s="4"/>
      <c r="K129" s="4">
        <v>229</v>
      </c>
      <c r="L129" s="4">
        <v>10</v>
      </c>
      <c r="M129" s="4">
        <v>3</v>
      </c>
      <c r="N129" s="4" t="s">
        <v>3</v>
      </c>
      <c r="O129" s="4">
        <v>2</v>
      </c>
      <c r="P129" s="4"/>
      <c r="Q129" s="4"/>
      <c r="R129" s="4"/>
      <c r="S129" s="4"/>
      <c r="T129" s="4"/>
      <c r="U129" s="4"/>
      <c r="V129" s="4"/>
      <c r="W129" s="4">
        <v>0</v>
      </c>
      <c r="X129" s="4">
        <v>1</v>
      </c>
      <c r="Y129" s="4">
        <v>0</v>
      </c>
      <c r="Z129" s="4"/>
      <c r="AA129" s="4"/>
      <c r="AB129" s="4"/>
    </row>
    <row r="130" spans="1:28" x14ac:dyDescent="0.2">
      <c r="A130" s="4">
        <v>50</v>
      </c>
      <c r="B130" s="4">
        <v>0</v>
      </c>
      <c r="C130" s="4">
        <v>0</v>
      </c>
      <c r="D130" s="4">
        <v>1</v>
      </c>
      <c r="E130" s="4">
        <v>203</v>
      </c>
      <c r="F130" s="4">
        <f>ROUND(Source!Q118,O130)</f>
        <v>1.88</v>
      </c>
      <c r="G130" s="4" t="s">
        <v>124</v>
      </c>
      <c r="H130" s="4" t="s">
        <v>125</v>
      </c>
      <c r="I130" s="4"/>
      <c r="J130" s="4"/>
      <c r="K130" s="4">
        <v>203</v>
      </c>
      <c r="L130" s="4">
        <v>11</v>
      </c>
      <c r="M130" s="4">
        <v>3</v>
      </c>
      <c r="N130" s="4" t="s">
        <v>3</v>
      </c>
      <c r="O130" s="4">
        <v>2</v>
      </c>
      <c r="P130" s="4"/>
      <c r="Q130" s="4"/>
      <c r="R130" s="4"/>
      <c r="S130" s="4"/>
      <c r="T130" s="4"/>
      <c r="U130" s="4"/>
      <c r="V130" s="4"/>
      <c r="W130" s="4">
        <v>1.88</v>
      </c>
      <c r="X130" s="4">
        <v>1</v>
      </c>
      <c r="Y130" s="4">
        <v>1.88</v>
      </c>
      <c r="Z130" s="4"/>
      <c r="AA130" s="4"/>
      <c r="AB130" s="4"/>
    </row>
    <row r="131" spans="1:28" x14ac:dyDescent="0.2">
      <c r="A131" s="4">
        <v>50</v>
      </c>
      <c r="B131" s="4">
        <v>0</v>
      </c>
      <c r="C131" s="4">
        <v>0</v>
      </c>
      <c r="D131" s="4">
        <v>1</v>
      </c>
      <c r="E131" s="4">
        <v>231</v>
      </c>
      <c r="F131" s="4">
        <f>ROUND(Source!BB118,O131)</f>
        <v>0</v>
      </c>
      <c r="G131" s="4" t="s">
        <v>126</v>
      </c>
      <c r="H131" s="4" t="s">
        <v>127</v>
      </c>
      <c r="I131" s="4"/>
      <c r="J131" s="4"/>
      <c r="K131" s="4">
        <v>231</v>
      </c>
      <c r="L131" s="4">
        <v>12</v>
      </c>
      <c r="M131" s="4">
        <v>3</v>
      </c>
      <c r="N131" s="4" t="s">
        <v>3</v>
      </c>
      <c r="O131" s="4">
        <v>2</v>
      </c>
      <c r="P131" s="4"/>
      <c r="Q131" s="4"/>
      <c r="R131" s="4"/>
      <c r="S131" s="4"/>
      <c r="T131" s="4"/>
      <c r="U131" s="4"/>
      <c r="V131" s="4"/>
      <c r="W131" s="4">
        <v>0</v>
      </c>
      <c r="X131" s="4">
        <v>1</v>
      </c>
      <c r="Y131" s="4">
        <v>0</v>
      </c>
      <c r="Z131" s="4"/>
      <c r="AA131" s="4"/>
      <c r="AB131" s="4"/>
    </row>
    <row r="132" spans="1:28" x14ac:dyDescent="0.2">
      <c r="A132" s="4">
        <v>50</v>
      </c>
      <c r="B132" s="4">
        <v>0</v>
      </c>
      <c r="C132" s="4">
        <v>0</v>
      </c>
      <c r="D132" s="4">
        <v>1</v>
      </c>
      <c r="E132" s="4">
        <v>204</v>
      </c>
      <c r="F132" s="4">
        <f>ROUND(Source!R118,O132)</f>
        <v>2.0099999999999998</v>
      </c>
      <c r="G132" s="4" t="s">
        <v>128</v>
      </c>
      <c r="H132" s="4" t="s">
        <v>129</v>
      </c>
      <c r="I132" s="4"/>
      <c r="J132" s="4"/>
      <c r="K132" s="4">
        <v>204</v>
      </c>
      <c r="L132" s="4">
        <v>13</v>
      </c>
      <c r="M132" s="4">
        <v>3</v>
      </c>
      <c r="N132" s="4" t="s">
        <v>3</v>
      </c>
      <c r="O132" s="4">
        <v>2</v>
      </c>
      <c r="P132" s="4"/>
      <c r="Q132" s="4"/>
      <c r="R132" s="4"/>
      <c r="S132" s="4"/>
      <c r="T132" s="4"/>
      <c r="U132" s="4"/>
      <c r="V132" s="4"/>
      <c r="W132" s="4">
        <v>2.0099999999999998</v>
      </c>
      <c r="X132" s="4">
        <v>1</v>
      </c>
      <c r="Y132" s="4">
        <v>2.0099999999999998</v>
      </c>
      <c r="Z132" s="4"/>
      <c r="AA132" s="4"/>
      <c r="AB132" s="4"/>
    </row>
    <row r="133" spans="1:28" x14ac:dyDescent="0.2">
      <c r="A133" s="4">
        <v>50</v>
      </c>
      <c r="B133" s="4">
        <v>0</v>
      </c>
      <c r="C133" s="4">
        <v>0</v>
      </c>
      <c r="D133" s="4">
        <v>1</v>
      </c>
      <c r="E133" s="4">
        <v>205</v>
      </c>
      <c r="F133" s="4">
        <f>ROUND(Source!S118,O133)</f>
        <v>1159.18</v>
      </c>
      <c r="G133" s="4" t="s">
        <v>130</v>
      </c>
      <c r="H133" s="4" t="s">
        <v>131</v>
      </c>
      <c r="I133" s="4"/>
      <c r="J133" s="4"/>
      <c r="K133" s="4">
        <v>205</v>
      </c>
      <c r="L133" s="4">
        <v>14</v>
      </c>
      <c r="M133" s="4">
        <v>3</v>
      </c>
      <c r="N133" s="4" t="s">
        <v>3</v>
      </c>
      <c r="O133" s="4">
        <v>2</v>
      </c>
      <c r="P133" s="4"/>
      <c r="Q133" s="4"/>
      <c r="R133" s="4"/>
      <c r="S133" s="4"/>
      <c r="T133" s="4"/>
      <c r="U133" s="4"/>
      <c r="V133" s="4"/>
      <c r="W133" s="4">
        <v>1159.18</v>
      </c>
      <c r="X133" s="4">
        <v>1</v>
      </c>
      <c r="Y133" s="4">
        <v>1159.18</v>
      </c>
      <c r="Z133" s="4"/>
      <c r="AA133" s="4"/>
      <c r="AB133" s="4"/>
    </row>
    <row r="134" spans="1:28" x14ac:dyDescent="0.2">
      <c r="A134" s="4">
        <v>50</v>
      </c>
      <c r="B134" s="4">
        <v>0</v>
      </c>
      <c r="C134" s="4">
        <v>0</v>
      </c>
      <c r="D134" s="4">
        <v>1</v>
      </c>
      <c r="E134" s="4">
        <v>232</v>
      </c>
      <c r="F134" s="4">
        <f>ROUND(Source!BC118,O134)</f>
        <v>0</v>
      </c>
      <c r="G134" s="4" t="s">
        <v>132</v>
      </c>
      <c r="H134" s="4" t="s">
        <v>133</v>
      </c>
      <c r="I134" s="4"/>
      <c r="J134" s="4"/>
      <c r="K134" s="4">
        <v>232</v>
      </c>
      <c r="L134" s="4">
        <v>15</v>
      </c>
      <c r="M134" s="4">
        <v>3</v>
      </c>
      <c r="N134" s="4" t="s">
        <v>3</v>
      </c>
      <c r="O134" s="4">
        <v>2</v>
      </c>
      <c r="P134" s="4"/>
      <c r="Q134" s="4"/>
      <c r="R134" s="4"/>
      <c r="S134" s="4"/>
      <c r="T134" s="4"/>
      <c r="U134" s="4"/>
      <c r="V134" s="4"/>
      <c r="W134" s="4">
        <v>0</v>
      </c>
      <c r="X134" s="4">
        <v>1</v>
      </c>
      <c r="Y134" s="4">
        <v>0</v>
      </c>
      <c r="Z134" s="4"/>
      <c r="AA134" s="4"/>
      <c r="AB134" s="4"/>
    </row>
    <row r="135" spans="1:28" x14ac:dyDescent="0.2">
      <c r="A135" s="4">
        <v>50</v>
      </c>
      <c r="B135" s="4">
        <v>0</v>
      </c>
      <c r="C135" s="4">
        <v>0</v>
      </c>
      <c r="D135" s="4">
        <v>1</v>
      </c>
      <c r="E135" s="4">
        <v>214</v>
      </c>
      <c r="F135" s="4">
        <f>ROUND(Source!AS118,O135)</f>
        <v>3478.88</v>
      </c>
      <c r="G135" s="4" t="s">
        <v>134</v>
      </c>
      <c r="H135" s="4" t="s">
        <v>135</v>
      </c>
      <c r="I135" s="4"/>
      <c r="J135" s="4"/>
      <c r="K135" s="4">
        <v>214</v>
      </c>
      <c r="L135" s="4">
        <v>16</v>
      </c>
      <c r="M135" s="4">
        <v>3</v>
      </c>
      <c r="N135" s="4" t="s">
        <v>3</v>
      </c>
      <c r="O135" s="4">
        <v>2</v>
      </c>
      <c r="P135" s="4"/>
      <c r="Q135" s="4"/>
      <c r="R135" s="4"/>
      <c r="S135" s="4"/>
      <c r="T135" s="4"/>
      <c r="U135" s="4"/>
      <c r="V135" s="4"/>
      <c r="W135" s="4">
        <v>3478.88</v>
      </c>
      <c r="X135" s="4">
        <v>1</v>
      </c>
      <c r="Y135" s="4">
        <v>3478.88</v>
      </c>
      <c r="Z135" s="4"/>
      <c r="AA135" s="4"/>
      <c r="AB135" s="4"/>
    </row>
    <row r="136" spans="1:28" x14ac:dyDescent="0.2">
      <c r="A136" s="4">
        <v>50</v>
      </c>
      <c r="B136" s="4">
        <v>0</v>
      </c>
      <c r="C136" s="4">
        <v>0</v>
      </c>
      <c r="D136" s="4">
        <v>1</v>
      </c>
      <c r="E136" s="4">
        <v>215</v>
      </c>
      <c r="F136" s="4">
        <f>ROUND(Source!AT118,O136)</f>
        <v>0</v>
      </c>
      <c r="G136" s="4" t="s">
        <v>136</v>
      </c>
      <c r="H136" s="4" t="s">
        <v>137</v>
      </c>
      <c r="I136" s="4"/>
      <c r="J136" s="4"/>
      <c r="K136" s="4">
        <v>215</v>
      </c>
      <c r="L136" s="4">
        <v>17</v>
      </c>
      <c r="M136" s="4">
        <v>3</v>
      </c>
      <c r="N136" s="4" t="s">
        <v>3</v>
      </c>
      <c r="O136" s="4">
        <v>2</v>
      </c>
      <c r="P136" s="4"/>
      <c r="Q136" s="4"/>
      <c r="R136" s="4"/>
      <c r="S136" s="4"/>
      <c r="T136" s="4"/>
      <c r="U136" s="4"/>
      <c r="V136" s="4"/>
      <c r="W136" s="4">
        <v>0</v>
      </c>
      <c r="X136" s="4">
        <v>1</v>
      </c>
      <c r="Y136" s="4">
        <v>0</v>
      </c>
      <c r="Z136" s="4"/>
      <c r="AA136" s="4"/>
      <c r="AB136" s="4"/>
    </row>
    <row r="137" spans="1:28" x14ac:dyDescent="0.2">
      <c r="A137" s="4">
        <v>50</v>
      </c>
      <c r="B137" s="4">
        <v>0</v>
      </c>
      <c r="C137" s="4">
        <v>0</v>
      </c>
      <c r="D137" s="4">
        <v>1</v>
      </c>
      <c r="E137" s="4">
        <v>217</v>
      </c>
      <c r="F137" s="4">
        <f>ROUND(Source!AU118,O137)</f>
        <v>0</v>
      </c>
      <c r="G137" s="4" t="s">
        <v>138</v>
      </c>
      <c r="H137" s="4" t="s">
        <v>139</v>
      </c>
      <c r="I137" s="4"/>
      <c r="J137" s="4"/>
      <c r="K137" s="4">
        <v>217</v>
      </c>
      <c r="L137" s="4">
        <v>18</v>
      </c>
      <c r="M137" s="4">
        <v>3</v>
      </c>
      <c r="N137" s="4" t="s">
        <v>3</v>
      </c>
      <c r="O137" s="4">
        <v>2</v>
      </c>
      <c r="P137" s="4"/>
      <c r="Q137" s="4"/>
      <c r="R137" s="4"/>
      <c r="S137" s="4"/>
      <c r="T137" s="4"/>
      <c r="U137" s="4"/>
      <c r="V137" s="4"/>
      <c r="W137" s="4">
        <v>0</v>
      </c>
      <c r="X137" s="4">
        <v>1</v>
      </c>
      <c r="Y137" s="4">
        <v>0</v>
      </c>
      <c r="Z137" s="4"/>
      <c r="AA137" s="4"/>
      <c r="AB137" s="4"/>
    </row>
    <row r="138" spans="1:28" x14ac:dyDescent="0.2">
      <c r="A138" s="4">
        <v>50</v>
      </c>
      <c r="B138" s="4">
        <v>0</v>
      </c>
      <c r="C138" s="4">
        <v>0</v>
      </c>
      <c r="D138" s="4">
        <v>1</v>
      </c>
      <c r="E138" s="4">
        <v>230</v>
      </c>
      <c r="F138" s="4">
        <f>ROUND(Source!BA118,O138)</f>
        <v>0</v>
      </c>
      <c r="G138" s="4" t="s">
        <v>140</v>
      </c>
      <c r="H138" s="4" t="s">
        <v>141</v>
      </c>
      <c r="I138" s="4"/>
      <c r="J138" s="4"/>
      <c r="K138" s="4">
        <v>230</v>
      </c>
      <c r="L138" s="4">
        <v>19</v>
      </c>
      <c r="M138" s="4">
        <v>3</v>
      </c>
      <c r="N138" s="4" t="s">
        <v>3</v>
      </c>
      <c r="O138" s="4">
        <v>2</v>
      </c>
      <c r="P138" s="4"/>
      <c r="Q138" s="4"/>
      <c r="R138" s="4"/>
      <c r="S138" s="4"/>
      <c r="T138" s="4"/>
      <c r="U138" s="4"/>
      <c r="V138" s="4"/>
      <c r="W138" s="4">
        <v>0</v>
      </c>
      <c r="X138" s="4">
        <v>1</v>
      </c>
      <c r="Y138" s="4">
        <v>0</v>
      </c>
      <c r="Z138" s="4"/>
      <c r="AA138" s="4"/>
      <c r="AB138" s="4"/>
    </row>
    <row r="139" spans="1:28" x14ac:dyDescent="0.2">
      <c r="A139" s="4">
        <v>50</v>
      </c>
      <c r="B139" s="4">
        <v>0</v>
      </c>
      <c r="C139" s="4">
        <v>0</v>
      </c>
      <c r="D139" s="4">
        <v>1</v>
      </c>
      <c r="E139" s="4">
        <v>206</v>
      </c>
      <c r="F139" s="4">
        <f>ROUND(Source!T118,O139)</f>
        <v>0</v>
      </c>
      <c r="G139" s="4" t="s">
        <v>142</v>
      </c>
      <c r="H139" s="4" t="s">
        <v>143</v>
      </c>
      <c r="I139" s="4"/>
      <c r="J139" s="4"/>
      <c r="K139" s="4">
        <v>206</v>
      </c>
      <c r="L139" s="4">
        <v>20</v>
      </c>
      <c r="M139" s="4">
        <v>3</v>
      </c>
      <c r="N139" s="4" t="s">
        <v>3</v>
      </c>
      <c r="O139" s="4">
        <v>2</v>
      </c>
      <c r="P139" s="4"/>
      <c r="Q139" s="4"/>
      <c r="R139" s="4"/>
      <c r="S139" s="4"/>
      <c r="T139" s="4"/>
      <c r="U139" s="4"/>
      <c r="V139" s="4"/>
      <c r="W139" s="4">
        <v>0</v>
      </c>
      <c r="X139" s="4">
        <v>1</v>
      </c>
      <c r="Y139" s="4">
        <v>0</v>
      </c>
      <c r="Z139" s="4"/>
      <c r="AA139" s="4"/>
      <c r="AB139" s="4"/>
    </row>
    <row r="140" spans="1:28" x14ac:dyDescent="0.2">
      <c r="A140" s="4">
        <v>50</v>
      </c>
      <c r="B140" s="4">
        <v>0</v>
      </c>
      <c r="C140" s="4">
        <v>0</v>
      </c>
      <c r="D140" s="4">
        <v>1</v>
      </c>
      <c r="E140" s="4">
        <v>207</v>
      </c>
      <c r="F140" s="4">
        <f>Source!U118</f>
        <v>4.8263040000000004</v>
      </c>
      <c r="G140" s="4" t="s">
        <v>144</v>
      </c>
      <c r="H140" s="4" t="s">
        <v>145</v>
      </c>
      <c r="I140" s="4"/>
      <c r="J140" s="4"/>
      <c r="K140" s="4">
        <v>207</v>
      </c>
      <c r="L140" s="4">
        <v>21</v>
      </c>
      <c r="M140" s="4">
        <v>3</v>
      </c>
      <c r="N140" s="4" t="s">
        <v>3</v>
      </c>
      <c r="O140" s="4">
        <v>-1</v>
      </c>
      <c r="P140" s="4"/>
      <c r="Q140" s="4"/>
      <c r="R140" s="4"/>
      <c r="S140" s="4"/>
      <c r="T140" s="4"/>
      <c r="U140" s="4"/>
      <c r="V140" s="4"/>
      <c r="W140" s="4">
        <v>4.8263040000000004</v>
      </c>
      <c r="X140" s="4">
        <v>1</v>
      </c>
      <c r="Y140" s="4">
        <v>4.8263040000000004</v>
      </c>
      <c r="Z140" s="4"/>
      <c r="AA140" s="4"/>
      <c r="AB140" s="4"/>
    </row>
    <row r="141" spans="1:28" x14ac:dyDescent="0.2">
      <c r="A141" s="4">
        <v>50</v>
      </c>
      <c r="B141" s="4">
        <v>0</v>
      </c>
      <c r="C141" s="4">
        <v>0</v>
      </c>
      <c r="D141" s="4">
        <v>1</v>
      </c>
      <c r="E141" s="4">
        <v>208</v>
      </c>
      <c r="F141" s="4">
        <f>Source!V118</f>
        <v>8.064E-3</v>
      </c>
      <c r="G141" s="4" t="s">
        <v>146</v>
      </c>
      <c r="H141" s="4" t="s">
        <v>147</v>
      </c>
      <c r="I141" s="4"/>
      <c r="J141" s="4"/>
      <c r="K141" s="4">
        <v>208</v>
      </c>
      <c r="L141" s="4">
        <v>22</v>
      </c>
      <c r="M141" s="4">
        <v>3</v>
      </c>
      <c r="N141" s="4" t="s">
        <v>3</v>
      </c>
      <c r="O141" s="4">
        <v>-1</v>
      </c>
      <c r="P141" s="4"/>
      <c r="Q141" s="4"/>
      <c r="R141" s="4"/>
      <c r="S141" s="4"/>
      <c r="T141" s="4"/>
      <c r="U141" s="4"/>
      <c r="V141" s="4"/>
      <c r="W141" s="4">
        <v>8.064E-3</v>
      </c>
      <c r="X141" s="4">
        <v>1</v>
      </c>
      <c r="Y141" s="4">
        <v>8.064E-3</v>
      </c>
      <c r="Z141" s="4"/>
      <c r="AA141" s="4"/>
      <c r="AB141" s="4"/>
    </row>
    <row r="142" spans="1:28" x14ac:dyDescent="0.2">
      <c r="A142" s="4">
        <v>50</v>
      </c>
      <c r="B142" s="4">
        <v>0</v>
      </c>
      <c r="C142" s="4">
        <v>0</v>
      </c>
      <c r="D142" s="4">
        <v>1</v>
      </c>
      <c r="E142" s="4">
        <v>209</v>
      </c>
      <c r="F142" s="4">
        <f>ROUND(Source!W118,O142)</f>
        <v>0</v>
      </c>
      <c r="G142" s="4" t="s">
        <v>148</v>
      </c>
      <c r="H142" s="4" t="s">
        <v>149</v>
      </c>
      <c r="I142" s="4"/>
      <c r="J142" s="4"/>
      <c r="K142" s="4">
        <v>209</v>
      </c>
      <c r="L142" s="4">
        <v>23</v>
      </c>
      <c r="M142" s="4">
        <v>3</v>
      </c>
      <c r="N142" s="4" t="s">
        <v>3</v>
      </c>
      <c r="O142" s="4">
        <v>2</v>
      </c>
      <c r="P142" s="4"/>
      <c r="Q142" s="4"/>
      <c r="R142" s="4"/>
      <c r="S142" s="4"/>
      <c r="T142" s="4"/>
      <c r="U142" s="4"/>
      <c r="V142" s="4"/>
      <c r="W142" s="4">
        <v>0</v>
      </c>
      <c r="X142" s="4">
        <v>1</v>
      </c>
      <c r="Y142" s="4">
        <v>0</v>
      </c>
      <c r="Z142" s="4"/>
      <c r="AA142" s="4"/>
      <c r="AB142" s="4"/>
    </row>
    <row r="143" spans="1:28" x14ac:dyDescent="0.2">
      <c r="A143" s="4">
        <v>50</v>
      </c>
      <c r="B143" s="4">
        <v>0</v>
      </c>
      <c r="C143" s="4">
        <v>0</v>
      </c>
      <c r="D143" s="4">
        <v>1</v>
      </c>
      <c r="E143" s="4">
        <v>233</v>
      </c>
      <c r="F143" s="4">
        <f>ROUND(Source!BD118,O143)</f>
        <v>0</v>
      </c>
      <c r="G143" s="4" t="s">
        <v>150</v>
      </c>
      <c r="H143" s="4" t="s">
        <v>151</v>
      </c>
      <c r="I143" s="4"/>
      <c r="J143" s="4"/>
      <c r="K143" s="4">
        <v>233</v>
      </c>
      <c r="L143" s="4">
        <v>24</v>
      </c>
      <c r="M143" s="4">
        <v>3</v>
      </c>
      <c r="N143" s="4" t="s">
        <v>3</v>
      </c>
      <c r="O143" s="4">
        <v>2</v>
      </c>
      <c r="P143" s="4"/>
      <c r="Q143" s="4"/>
      <c r="R143" s="4"/>
      <c r="S143" s="4"/>
      <c r="T143" s="4"/>
      <c r="U143" s="4"/>
      <c r="V143" s="4"/>
      <c r="W143" s="4">
        <v>0</v>
      </c>
      <c r="X143" s="4">
        <v>1</v>
      </c>
      <c r="Y143" s="4">
        <v>0</v>
      </c>
      <c r="Z143" s="4"/>
      <c r="AA143" s="4"/>
      <c r="AB143" s="4"/>
    </row>
    <row r="144" spans="1:28" x14ac:dyDescent="0.2">
      <c r="A144" s="4">
        <v>50</v>
      </c>
      <c r="B144" s="4">
        <v>0</v>
      </c>
      <c r="C144" s="4">
        <v>0</v>
      </c>
      <c r="D144" s="4">
        <v>1</v>
      </c>
      <c r="E144" s="4">
        <v>210</v>
      </c>
      <c r="F144" s="4">
        <f>ROUND(Source!X118,O144)</f>
        <v>1045.07</v>
      </c>
      <c r="G144" s="4" t="s">
        <v>152</v>
      </c>
      <c r="H144" s="4" t="s">
        <v>153</v>
      </c>
      <c r="I144" s="4"/>
      <c r="J144" s="4"/>
      <c r="K144" s="4">
        <v>210</v>
      </c>
      <c r="L144" s="4">
        <v>25</v>
      </c>
      <c r="M144" s="4">
        <v>3</v>
      </c>
      <c r="N144" s="4" t="s">
        <v>3</v>
      </c>
      <c r="O144" s="4">
        <v>2</v>
      </c>
      <c r="P144" s="4"/>
      <c r="Q144" s="4"/>
      <c r="R144" s="4"/>
      <c r="S144" s="4"/>
      <c r="T144" s="4"/>
      <c r="U144" s="4"/>
      <c r="V144" s="4"/>
      <c r="W144" s="4">
        <v>1045.07</v>
      </c>
      <c r="X144" s="4">
        <v>1</v>
      </c>
      <c r="Y144" s="4">
        <v>1045.07</v>
      </c>
      <c r="Z144" s="4"/>
      <c r="AA144" s="4"/>
      <c r="AB144" s="4"/>
    </row>
    <row r="145" spans="1:245" x14ac:dyDescent="0.2">
      <c r="A145" s="4">
        <v>50</v>
      </c>
      <c r="B145" s="4">
        <v>0</v>
      </c>
      <c r="C145" s="4">
        <v>0</v>
      </c>
      <c r="D145" s="4">
        <v>1</v>
      </c>
      <c r="E145" s="4">
        <v>211</v>
      </c>
      <c r="F145" s="4">
        <f>ROUND(Source!Y118,O145)</f>
        <v>534.15</v>
      </c>
      <c r="G145" s="4" t="s">
        <v>154</v>
      </c>
      <c r="H145" s="4" t="s">
        <v>155</v>
      </c>
      <c r="I145" s="4"/>
      <c r="J145" s="4"/>
      <c r="K145" s="4">
        <v>211</v>
      </c>
      <c r="L145" s="4">
        <v>26</v>
      </c>
      <c r="M145" s="4">
        <v>3</v>
      </c>
      <c r="N145" s="4" t="s">
        <v>3</v>
      </c>
      <c r="O145" s="4">
        <v>2</v>
      </c>
      <c r="P145" s="4"/>
      <c r="Q145" s="4"/>
      <c r="R145" s="4"/>
      <c r="S145" s="4"/>
      <c r="T145" s="4"/>
      <c r="U145" s="4"/>
      <c r="V145" s="4"/>
      <c r="W145" s="4">
        <v>534.15</v>
      </c>
      <c r="X145" s="4">
        <v>1</v>
      </c>
      <c r="Y145" s="4">
        <v>534.15</v>
      </c>
      <c r="Z145" s="4"/>
      <c r="AA145" s="4"/>
      <c r="AB145" s="4"/>
    </row>
    <row r="146" spans="1:245" x14ac:dyDescent="0.2">
      <c r="A146" s="4">
        <v>50</v>
      </c>
      <c r="B146" s="4">
        <v>0</v>
      </c>
      <c r="C146" s="4">
        <v>0</v>
      </c>
      <c r="D146" s="4">
        <v>1</v>
      </c>
      <c r="E146" s="4">
        <v>224</v>
      </c>
      <c r="F146" s="4">
        <f>ROUND(Source!AR118,O146)</f>
        <v>3478.88</v>
      </c>
      <c r="G146" s="4" t="s">
        <v>156</v>
      </c>
      <c r="H146" s="4" t="s">
        <v>157</v>
      </c>
      <c r="I146" s="4"/>
      <c r="J146" s="4"/>
      <c r="K146" s="4">
        <v>224</v>
      </c>
      <c r="L146" s="4">
        <v>27</v>
      </c>
      <c r="M146" s="4">
        <v>3</v>
      </c>
      <c r="N146" s="4" t="s">
        <v>3</v>
      </c>
      <c r="O146" s="4">
        <v>2</v>
      </c>
      <c r="P146" s="4"/>
      <c r="Q146" s="4"/>
      <c r="R146" s="4"/>
      <c r="S146" s="4"/>
      <c r="T146" s="4"/>
      <c r="U146" s="4"/>
      <c r="V146" s="4"/>
      <c r="W146" s="4">
        <v>3478.88</v>
      </c>
      <c r="X146" s="4">
        <v>1</v>
      </c>
      <c r="Y146" s="4">
        <v>3478.88</v>
      </c>
      <c r="Z146" s="4"/>
      <c r="AA146" s="4"/>
      <c r="AB146" s="4"/>
    </row>
    <row r="148" spans="1:245" x14ac:dyDescent="0.2">
      <c r="A148" s="1">
        <v>4</v>
      </c>
      <c r="B148" s="1">
        <v>1</v>
      </c>
      <c r="C148" s="1"/>
      <c r="D148" s="1">
        <f>ROW(A158)</f>
        <v>158</v>
      </c>
      <c r="E148" s="1"/>
      <c r="F148" s="1" t="s">
        <v>45</v>
      </c>
      <c r="G148" s="1" t="s">
        <v>175</v>
      </c>
      <c r="H148" s="1" t="s">
        <v>3</v>
      </c>
      <c r="I148" s="1">
        <v>0</v>
      </c>
      <c r="J148" s="1"/>
      <c r="K148" s="1">
        <v>0</v>
      </c>
      <c r="L148" s="1"/>
      <c r="M148" s="1" t="s">
        <v>3</v>
      </c>
      <c r="N148" s="1"/>
      <c r="O148" s="1"/>
      <c r="P148" s="1"/>
      <c r="Q148" s="1"/>
      <c r="R148" s="1"/>
      <c r="S148" s="1">
        <v>0</v>
      </c>
      <c r="T148" s="1"/>
      <c r="U148" s="1" t="s">
        <v>3</v>
      </c>
      <c r="V148" s="1">
        <v>0</v>
      </c>
      <c r="W148" s="1"/>
      <c r="X148" s="1"/>
      <c r="Y148" s="1"/>
      <c r="Z148" s="1"/>
      <c r="AA148" s="1"/>
      <c r="AB148" s="1" t="s">
        <v>3</v>
      </c>
      <c r="AC148" s="1" t="s">
        <v>3</v>
      </c>
      <c r="AD148" s="1" t="s">
        <v>3</v>
      </c>
      <c r="AE148" s="1" t="s">
        <v>3</v>
      </c>
      <c r="AF148" s="1" t="s">
        <v>3</v>
      </c>
      <c r="AG148" s="1" t="s">
        <v>3</v>
      </c>
      <c r="AH148" s="1"/>
      <c r="AI148" s="1"/>
      <c r="AJ148" s="1"/>
      <c r="AK148" s="1"/>
      <c r="AL148" s="1"/>
      <c r="AM148" s="1"/>
      <c r="AN148" s="1"/>
      <c r="AO148" s="1"/>
      <c r="AP148" s="1" t="s">
        <v>3</v>
      </c>
      <c r="AQ148" s="1" t="s">
        <v>3</v>
      </c>
      <c r="AR148" s="1" t="s">
        <v>3</v>
      </c>
      <c r="AS148" s="1"/>
      <c r="AT148" s="1"/>
      <c r="AU148" s="1"/>
      <c r="AV148" s="1"/>
      <c r="AW148" s="1"/>
      <c r="AX148" s="1"/>
      <c r="AY148" s="1"/>
      <c r="AZ148" s="1" t="s">
        <v>3</v>
      </c>
      <c r="BA148" s="1"/>
      <c r="BB148" s="1" t="s">
        <v>3</v>
      </c>
      <c r="BC148" s="1" t="s">
        <v>3</v>
      </c>
      <c r="BD148" s="1" t="s">
        <v>3</v>
      </c>
      <c r="BE148" s="1" t="s">
        <v>3</v>
      </c>
      <c r="BF148" s="1" t="s">
        <v>3</v>
      </c>
      <c r="BG148" s="1" t="s">
        <v>3</v>
      </c>
      <c r="BH148" s="1" t="s">
        <v>3</v>
      </c>
      <c r="BI148" s="1" t="s">
        <v>3</v>
      </c>
      <c r="BJ148" s="1" t="s">
        <v>3</v>
      </c>
      <c r="BK148" s="1" t="s">
        <v>3</v>
      </c>
      <c r="BL148" s="1" t="s">
        <v>3</v>
      </c>
      <c r="BM148" s="1" t="s">
        <v>3</v>
      </c>
      <c r="BN148" s="1" t="s">
        <v>3</v>
      </c>
      <c r="BO148" s="1" t="s">
        <v>3</v>
      </c>
      <c r="BP148" s="1" t="s">
        <v>3</v>
      </c>
      <c r="BQ148" s="1"/>
      <c r="BR148" s="1"/>
      <c r="BS148" s="1"/>
      <c r="BT148" s="1"/>
      <c r="BU148" s="1"/>
      <c r="BV148" s="1"/>
      <c r="BW148" s="1"/>
      <c r="BX148" s="1">
        <v>0</v>
      </c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>
        <v>0</v>
      </c>
    </row>
    <row r="150" spans="1:245" x14ac:dyDescent="0.2">
      <c r="A150" s="2">
        <v>52</v>
      </c>
      <c r="B150" s="2">
        <f t="shared" ref="B150:G150" si="71">B158</f>
        <v>1</v>
      </c>
      <c r="C150" s="2">
        <f t="shared" si="71"/>
        <v>4</v>
      </c>
      <c r="D150" s="2">
        <f t="shared" si="71"/>
        <v>148</v>
      </c>
      <c r="E150" s="2">
        <f t="shared" si="71"/>
        <v>0</v>
      </c>
      <c r="F150" s="2" t="str">
        <f t="shared" si="71"/>
        <v>Новый раздел</v>
      </c>
      <c r="G150" s="2" t="str">
        <f t="shared" si="71"/>
        <v>Разные работы</v>
      </c>
      <c r="H150" s="2"/>
      <c r="I150" s="2"/>
      <c r="J150" s="2"/>
      <c r="K150" s="2"/>
      <c r="L150" s="2"/>
      <c r="M150" s="2"/>
      <c r="N150" s="2"/>
      <c r="O150" s="2">
        <f t="shared" ref="O150:AT150" si="72">O158</f>
        <v>7683.41</v>
      </c>
      <c r="P150" s="2">
        <f t="shared" si="72"/>
        <v>2608.2600000000002</v>
      </c>
      <c r="Q150" s="2">
        <f t="shared" si="72"/>
        <v>390.08</v>
      </c>
      <c r="R150" s="2">
        <f t="shared" si="72"/>
        <v>294.26</v>
      </c>
      <c r="S150" s="2">
        <f t="shared" si="72"/>
        <v>4390.8100000000004</v>
      </c>
      <c r="T150" s="2">
        <f t="shared" si="72"/>
        <v>0</v>
      </c>
      <c r="U150" s="2">
        <f t="shared" si="72"/>
        <v>19.9481</v>
      </c>
      <c r="V150" s="2">
        <f t="shared" si="72"/>
        <v>1.155</v>
      </c>
      <c r="W150" s="2">
        <f t="shared" si="72"/>
        <v>0</v>
      </c>
      <c r="X150" s="2">
        <f t="shared" si="72"/>
        <v>4524.3999999999996</v>
      </c>
      <c r="Y150" s="2">
        <f t="shared" si="72"/>
        <v>2174.6799999999998</v>
      </c>
      <c r="Z150" s="2">
        <f t="shared" si="72"/>
        <v>0</v>
      </c>
      <c r="AA150" s="2">
        <f t="shared" si="72"/>
        <v>0</v>
      </c>
      <c r="AB150" s="2">
        <f t="shared" si="72"/>
        <v>7683.41</v>
      </c>
      <c r="AC150" s="2">
        <f t="shared" si="72"/>
        <v>2608.2600000000002</v>
      </c>
      <c r="AD150" s="2">
        <f t="shared" si="72"/>
        <v>390.08</v>
      </c>
      <c r="AE150" s="2">
        <f t="shared" si="72"/>
        <v>294.26</v>
      </c>
      <c r="AF150" s="2">
        <f t="shared" si="72"/>
        <v>4390.8100000000004</v>
      </c>
      <c r="AG150" s="2">
        <f t="shared" si="72"/>
        <v>0</v>
      </c>
      <c r="AH150" s="2">
        <f t="shared" si="72"/>
        <v>19.9481</v>
      </c>
      <c r="AI150" s="2">
        <f t="shared" si="72"/>
        <v>1.155</v>
      </c>
      <c r="AJ150" s="2">
        <f t="shared" si="72"/>
        <v>0</v>
      </c>
      <c r="AK150" s="2">
        <f t="shared" si="72"/>
        <v>4524.3999999999996</v>
      </c>
      <c r="AL150" s="2">
        <f t="shared" si="72"/>
        <v>2174.6799999999998</v>
      </c>
      <c r="AM150" s="2">
        <f t="shared" si="72"/>
        <v>0</v>
      </c>
      <c r="AN150" s="2">
        <f t="shared" si="72"/>
        <v>0</v>
      </c>
      <c r="AO150" s="2">
        <f t="shared" si="72"/>
        <v>0</v>
      </c>
      <c r="AP150" s="2">
        <f t="shared" si="72"/>
        <v>0</v>
      </c>
      <c r="AQ150" s="2">
        <f t="shared" si="72"/>
        <v>0</v>
      </c>
      <c r="AR150" s="2">
        <f t="shared" si="72"/>
        <v>15493.96</v>
      </c>
      <c r="AS150" s="2">
        <f t="shared" si="72"/>
        <v>15493.96</v>
      </c>
      <c r="AT150" s="2">
        <f t="shared" si="72"/>
        <v>0</v>
      </c>
      <c r="AU150" s="2">
        <f t="shared" ref="AU150:BZ150" si="73">AU158</f>
        <v>0</v>
      </c>
      <c r="AV150" s="2">
        <f t="shared" si="73"/>
        <v>2608.2600000000002</v>
      </c>
      <c r="AW150" s="2">
        <f t="shared" si="73"/>
        <v>2608.2600000000002</v>
      </c>
      <c r="AX150" s="2">
        <f t="shared" si="73"/>
        <v>0</v>
      </c>
      <c r="AY150" s="2">
        <f t="shared" si="73"/>
        <v>2608.2600000000002</v>
      </c>
      <c r="AZ150" s="2">
        <f t="shared" si="73"/>
        <v>0</v>
      </c>
      <c r="BA150" s="2">
        <f t="shared" si="73"/>
        <v>0</v>
      </c>
      <c r="BB150" s="2">
        <f t="shared" si="73"/>
        <v>0</v>
      </c>
      <c r="BC150" s="2">
        <f t="shared" si="73"/>
        <v>0</v>
      </c>
      <c r="BD150" s="2">
        <f t="shared" si="73"/>
        <v>1111.47</v>
      </c>
      <c r="BE150" s="2">
        <f t="shared" si="73"/>
        <v>0</v>
      </c>
      <c r="BF150" s="2">
        <f t="shared" si="73"/>
        <v>0</v>
      </c>
      <c r="BG150" s="2">
        <f t="shared" si="73"/>
        <v>0</v>
      </c>
      <c r="BH150" s="2">
        <f t="shared" si="73"/>
        <v>0</v>
      </c>
      <c r="BI150" s="2">
        <f t="shared" si="73"/>
        <v>0</v>
      </c>
      <c r="BJ150" s="2">
        <f t="shared" si="73"/>
        <v>0</v>
      </c>
      <c r="BK150" s="2">
        <f t="shared" si="73"/>
        <v>0</v>
      </c>
      <c r="BL150" s="2">
        <f t="shared" si="73"/>
        <v>0</v>
      </c>
      <c r="BM150" s="2">
        <f t="shared" si="73"/>
        <v>0</v>
      </c>
      <c r="BN150" s="2">
        <f t="shared" si="73"/>
        <v>0</v>
      </c>
      <c r="BO150" s="2">
        <f t="shared" si="73"/>
        <v>0</v>
      </c>
      <c r="BP150" s="2">
        <f t="shared" si="73"/>
        <v>0</v>
      </c>
      <c r="BQ150" s="2">
        <f t="shared" si="73"/>
        <v>0</v>
      </c>
      <c r="BR150" s="2">
        <f t="shared" si="73"/>
        <v>0</v>
      </c>
      <c r="BS150" s="2">
        <f t="shared" si="73"/>
        <v>0</v>
      </c>
      <c r="BT150" s="2">
        <f t="shared" si="73"/>
        <v>0</v>
      </c>
      <c r="BU150" s="2">
        <f t="shared" si="73"/>
        <v>0</v>
      </c>
      <c r="BV150" s="2">
        <f t="shared" si="73"/>
        <v>0</v>
      </c>
      <c r="BW150" s="2">
        <f t="shared" si="73"/>
        <v>0</v>
      </c>
      <c r="BX150" s="2">
        <f t="shared" si="73"/>
        <v>0</v>
      </c>
      <c r="BY150" s="2">
        <f t="shared" si="73"/>
        <v>0</v>
      </c>
      <c r="BZ150" s="2">
        <f t="shared" si="73"/>
        <v>0</v>
      </c>
      <c r="CA150" s="2">
        <f t="shared" ref="CA150:DF150" si="74">CA158</f>
        <v>15493.96</v>
      </c>
      <c r="CB150" s="2">
        <f t="shared" si="74"/>
        <v>15493.96</v>
      </c>
      <c r="CC150" s="2">
        <f t="shared" si="74"/>
        <v>0</v>
      </c>
      <c r="CD150" s="2">
        <f t="shared" si="74"/>
        <v>0</v>
      </c>
      <c r="CE150" s="2">
        <f t="shared" si="74"/>
        <v>2608.2600000000002</v>
      </c>
      <c r="CF150" s="2">
        <f t="shared" si="74"/>
        <v>2608.2600000000002</v>
      </c>
      <c r="CG150" s="2">
        <f t="shared" si="74"/>
        <v>0</v>
      </c>
      <c r="CH150" s="2">
        <f t="shared" si="74"/>
        <v>2608.2600000000002</v>
      </c>
      <c r="CI150" s="2">
        <f t="shared" si="74"/>
        <v>0</v>
      </c>
      <c r="CJ150" s="2">
        <f t="shared" si="74"/>
        <v>0</v>
      </c>
      <c r="CK150" s="2">
        <f t="shared" si="74"/>
        <v>0</v>
      </c>
      <c r="CL150" s="2">
        <f t="shared" si="74"/>
        <v>0</v>
      </c>
      <c r="CM150" s="2">
        <f t="shared" si="74"/>
        <v>1111.47</v>
      </c>
      <c r="CN150" s="2">
        <f t="shared" si="74"/>
        <v>0</v>
      </c>
      <c r="CO150" s="2">
        <f t="shared" si="74"/>
        <v>0</v>
      </c>
      <c r="CP150" s="2">
        <f t="shared" si="74"/>
        <v>0</v>
      </c>
      <c r="CQ150" s="2">
        <f t="shared" si="74"/>
        <v>0</v>
      </c>
      <c r="CR150" s="2">
        <f t="shared" si="74"/>
        <v>0</v>
      </c>
      <c r="CS150" s="2">
        <f t="shared" si="74"/>
        <v>0</v>
      </c>
      <c r="CT150" s="2">
        <f t="shared" si="74"/>
        <v>0</v>
      </c>
      <c r="CU150" s="2">
        <f t="shared" si="74"/>
        <v>0</v>
      </c>
      <c r="CV150" s="2">
        <f t="shared" si="74"/>
        <v>0</v>
      </c>
      <c r="CW150" s="2">
        <f t="shared" si="74"/>
        <v>0</v>
      </c>
      <c r="CX150" s="2">
        <f t="shared" si="74"/>
        <v>0</v>
      </c>
      <c r="CY150" s="2">
        <f t="shared" si="74"/>
        <v>0</v>
      </c>
      <c r="CZ150" s="2">
        <f t="shared" si="74"/>
        <v>0</v>
      </c>
      <c r="DA150" s="2">
        <f t="shared" si="74"/>
        <v>0</v>
      </c>
      <c r="DB150" s="2">
        <f t="shared" si="74"/>
        <v>0</v>
      </c>
      <c r="DC150" s="2">
        <f t="shared" si="74"/>
        <v>0</v>
      </c>
      <c r="DD150" s="2">
        <f t="shared" si="74"/>
        <v>0</v>
      </c>
      <c r="DE150" s="2">
        <f t="shared" si="74"/>
        <v>0</v>
      </c>
      <c r="DF150" s="2">
        <f t="shared" si="74"/>
        <v>0</v>
      </c>
      <c r="DG150" s="3">
        <f t="shared" ref="DG150:EL150" si="75">DG158</f>
        <v>0</v>
      </c>
      <c r="DH150" s="3">
        <f t="shared" si="75"/>
        <v>0</v>
      </c>
      <c r="DI150" s="3">
        <f t="shared" si="75"/>
        <v>0</v>
      </c>
      <c r="DJ150" s="3">
        <f t="shared" si="75"/>
        <v>0</v>
      </c>
      <c r="DK150" s="3">
        <f t="shared" si="75"/>
        <v>0</v>
      </c>
      <c r="DL150" s="3">
        <f t="shared" si="75"/>
        <v>0</v>
      </c>
      <c r="DM150" s="3">
        <f t="shared" si="75"/>
        <v>0</v>
      </c>
      <c r="DN150" s="3">
        <f t="shared" si="75"/>
        <v>0</v>
      </c>
      <c r="DO150" s="3">
        <f t="shared" si="75"/>
        <v>0</v>
      </c>
      <c r="DP150" s="3">
        <f t="shared" si="75"/>
        <v>0</v>
      </c>
      <c r="DQ150" s="3">
        <f t="shared" si="75"/>
        <v>0</v>
      </c>
      <c r="DR150" s="3">
        <f t="shared" si="75"/>
        <v>0</v>
      </c>
      <c r="DS150" s="3">
        <f t="shared" si="75"/>
        <v>0</v>
      </c>
      <c r="DT150" s="3">
        <f t="shared" si="75"/>
        <v>0</v>
      </c>
      <c r="DU150" s="3">
        <f t="shared" si="75"/>
        <v>0</v>
      </c>
      <c r="DV150" s="3">
        <f t="shared" si="75"/>
        <v>0</v>
      </c>
      <c r="DW150" s="3">
        <f t="shared" si="75"/>
        <v>0</v>
      </c>
      <c r="DX150" s="3">
        <f t="shared" si="75"/>
        <v>0</v>
      </c>
      <c r="DY150" s="3">
        <f t="shared" si="75"/>
        <v>0</v>
      </c>
      <c r="DZ150" s="3">
        <f t="shared" si="75"/>
        <v>0</v>
      </c>
      <c r="EA150" s="3">
        <f t="shared" si="75"/>
        <v>0</v>
      </c>
      <c r="EB150" s="3">
        <f t="shared" si="75"/>
        <v>0</v>
      </c>
      <c r="EC150" s="3">
        <f t="shared" si="75"/>
        <v>0</v>
      </c>
      <c r="ED150" s="3">
        <f t="shared" si="75"/>
        <v>0</v>
      </c>
      <c r="EE150" s="3">
        <f t="shared" si="75"/>
        <v>0</v>
      </c>
      <c r="EF150" s="3">
        <f t="shared" si="75"/>
        <v>0</v>
      </c>
      <c r="EG150" s="3">
        <f t="shared" si="75"/>
        <v>0</v>
      </c>
      <c r="EH150" s="3">
        <f t="shared" si="75"/>
        <v>0</v>
      </c>
      <c r="EI150" s="3">
        <f t="shared" si="75"/>
        <v>0</v>
      </c>
      <c r="EJ150" s="3">
        <f t="shared" si="75"/>
        <v>0</v>
      </c>
      <c r="EK150" s="3">
        <f t="shared" si="75"/>
        <v>0</v>
      </c>
      <c r="EL150" s="3">
        <f t="shared" si="75"/>
        <v>0</v>
      </c>
      <c r="EM150" s="3">
        <f t="shared" ref="EM150:FR150" si="76">EM158</f>
        <v>0</v>
      </c>
      <c r="EN150" s="3">
        <f t="shared" si="76"/>
        <v>0</v>
      </c>
      <c r="EO150" s="3">
        <f t="shared" si="76"/>
        <v>0</v>
      </c>
      <c r="EP150" s="3">
        <f t="shared" si="76"/>
        <v>0</v>
      </c>
      <c r="EQ150" s="3">
        <f t="shared" si="76"/>
        <v>0</v>
      </c>
      <c r="ER150" s="3">
        <f t="shared" si="76"/>
        <v>0</v>
      </c>
      <c r="ES150" s="3">
        <f t="shared" si="76"/>
        <v>0</v>
      </c>
      <c r="ET150" s="3">
        <f t="shared" si="76"/>
        <v>0</v>
      </c>
      <c r="EU150" s="3">
        <f t="shared" si="76"/>
        <v>0</v>
      </c>
      <c r="EV150" s="3">
        <f t="shared" si="76"/>
        <v>0</v>
      </c>
      <c r="EW150" s="3">
        <f t="shared" si="76"/>
        <v>0</v>
      </c>
      <c r="EX150" s="3">
        <f t="shared" si="76"/>
        <v>0</v>
      </c>
      <c r="EY150" s="3">
        <f t="shared" si="76"/>
        <v>0</v>
      </c>
      <c r="EZ150" s="3">
        <f t="shared" si="76"/>
        <v>0</v>
      </c>
      <c r="FA150" s="3">
        <f t="shared" si="76"/>
        <v>0</v>
      </c>
      <c r="FB150" s="3">
        <f t="shared" si="76"/>
        <v>0</v>
      </c>
      <c r="FC150" s="3">
        <f t="shared" si="76"/>
        <v>0</v>
      </c>
      <c r="FD150" s="3">
        <f t="shared" si="76"/>
        <v>0</v>
      </c>
      <c r="FE150" s="3">
        <f t="shared" si="76"/>
        <v>0</v>
      </c>
      <c r="FF150" s="3">
        <f t="shared" si="76"/>
        <v>0</v>
      </c>
      <c r="FG150" s="3">
        <f t="shared" si="76"/>
        <v>0</v>
      </c>
      <c r="FH150" s="3">
        <f t="shared" si="76"/>
        <v>0</v>
      </c>
      <c r="FI150" s="3">
        <f t="shared" si="76"/>
        <v>0</v>
      </c>
      <c r="FJ150" s="3">
        <f t="shared" si="76"/>
        <v>0</v>
      </c>
      <c r="FK150" s="3">
        <f t="shared" si="76"/>
        <v>0</v>
      </c>
      <c r="FL150" s="3">
        <f t="shared" si="76"/>
        <v>0</v>
      </c>
      <c r="FM150" s="3">
        <f t="shared" si="76"/>
        <v>0</v>
      </c>
      <c r="FN150" s="3">
        <f t="shared" si="76"/>
        <v>0</v>
      </c>
      <c r="FO150" s="3">
        <f t="shared" si="76"/>
        <v>0</v>
      </c>
      <c r="FP150" s="3">
        <f t="shared" si="76"/>
        <v>0</v>
      </c>
      <c r="FQ150" s="3">
        <f t="shared" si="76"/>
        <v>0</v>
      </c>
      <c r="FR150" s="3">
        <f t="shared" si="76"/>
        <v>0</v>
      </c>
      <c r="FS150" s="3">
        <f t="shared" ref="FS150:GX150" si="77">FS158</f>
        <v>0</v>
      </c>
      <c r="FT150" s="3">
        <f t="shared" si="77"/>
        <v>0</v>
      </c>
      <c r="FU150" s="3">
        <f t="shared" si="77"/>
        <v>0</v>
      </c>
      <c r="FV150" s="3">
        <f t="shared" si="77"/>
        <v>0</v>
      </c>
      <c r="FW150" s="3">
        <f t="shared" si="77"/>
        <v>0</v>
      </c>
      <c r="FX150" s="3">
        <f t="shared" si="77"/>
        <v>0</v>
      </c>
      <c r="FY150" s="3">
        <f t="shared" si="77"/>
        <v>0</v>
      </c>
      <c r="FZ150" s="3">
        <f t="shared" si="77"/>
        <v>0</v>
      </c>
      <c r="GA150" s="3">
        <f t="shared" si="77"/>
        <v>0</v>
      </c>
      <c r="GB150" s="3">
        <f t="shared" si="77"/>
        <v>0</v>
      </c>
      <c r="GC150" s="3">
        <f t="shared" si="77"/>
        <v>0</v>
      </c>
      <c r="GD150" s="3">
        <f t="shared" si="77"/>
        <v>0</v>
      </c>
      <c r="GE150" s="3">
        <f t="shared" si="77"/>
        <v>0</v>
      </c>
      <c r="GF150" s="3">
        <f t="shared" si="77"/>
        <v>0</v>
      </c>
      <c r="GG150" s="3">
        <f t="shared" si="77"/>
        <v>0</v>
      </c>
      <c r="GH150" s="3">
        <f t="shared" si="77"/>
        <v>0</v>
      </c>
      <c r="GI150" s="3">
        <f t="shared" si="77"/>
        <v>0</v>
      </c>
      <c r="GJ150" s="3">
        <f t="shared" si="77"/>
        <v>0</v>
      </c>
      <c r="GK150" s="3">
        <f t="shared" si="77"/>
        <v>0</v>
      </c>
      <c r="GL150" s="3">
        <f t="shared" si="77"/>
        <v>0</v>
      </c>
      <c r="GM150" s="3">
        <f t="shared" si="77"/>
        <v>0</v>
      </c>
      <c r="GN150" s="3">
        <f t="shared" si="77"/>
        <v>0</v>
      </c>
      <c r="GO150" s="3">
        <f t="shared" si="77"/>
        <v>0</v>
      </c>
      <c r="GP150" s="3">
        <f t="shared" si="77"/>
        <v>0</v>
      </c>
      <c r="GQ150" s="3">
        <f t="shared" si="77"/>
        <v>0</v>
      </c>
      <c r="GR150" s="3">
        <f t="shared" si="77"/>
        <v>0</v>
      </c>
      <c r="GS150" s="3">
        <f t="shared" si="77"/>
        <v>0</v>
      </c>
      <c r="GT150" s="3">
        <f t="shared" si="77"/>
        <v>0</v>
      </c>
      <c r="GU150" s="3">
        <f t="shared" si="77"/>
        <v>0</v>
      </c>
      <c r="GV150" s="3">
        <f t="shared" si="77"/>
        <v>0</v>
      </c>
      <c r="GW150" s="3">
        <f t="shared" si="77"/>
        <v>0</v>
      </c>
      <c r="GX150" s="3">
        <f t="shared" si="77"/>
        <v>0</v>
      </c>
    </row>
    <row r="152" spans="1:245" x14ac:dyDescent="0.2">
      <c r="A152">
        <v>17</v>
      </c>
      <c r="B152">
        <v>1</v>
      </c>
      <c r="C152">
        <f>ROW(SmtRes!A123)</f>
        <v>123</v>
      </c>
      <c r="D152">
        <f>ROW(EtalonRes!A122)</f>
        <v>122</v>
      </c>
      <c r="E152" t="s">
        <v>159</v>
      </c>
      <c r="F152" t="s">
        <v>176</v>
      </c>
      <c r="G152" t="s">
        <v>177</v>
      </c>
      <c r="H152" t="s">
        <v>162</v>
      </c>
      <c r="I152">
        <v>0.11</v>
      </c>
      <c r="J152">
        <v>0</v>
      </c>
      <c r="K152">
        <v>0.11</v>
      </c>
      <c r="O152">
        <f>ROUND(CP152,2)</f>
        <v>3558.14</v>
      </c>
      <c r="P152">
        <f>SUMIF(SmtRes!AQ116:'SmtRes'!AQ123,"=1",SmtRes!DF116:'SmtRes'!DF123)</f>
        <v>1304.1300000000001</v>
      </c>
      <c r="Q152">
        <f>SUMIF(SmtRes!AQ116:'SmtRes'!AQ123,"=1",SmtRes!DG116:'SmtRes'!DG123)</f>
        <v>195.04</v>
      </c>
      <c r="R152">
        <f>SUMIF(SmtRes!AQ116:'SmtRes'!AQ123,"=1",SmtRes!DH116:'SmtRes'!DH123)</f>
        <v>147.13</v>
      </c>
      <c r="S152">
        <f>SUMIF(SmtRes!AQ116:'SmtRes'!AQ123,"=1",SmtRes!DI116:'SmtRes'!DI123)</f>
        <v>1911.84</v>
      </c>
      <c r="T152">
        <f>ROUND(CU152*I152,2)</f>
        <v>0</v>
      </c>
      <c r="U152">
        <f>CV152*I152</f>
        <v>8.5640499999999999</v>
      </c>
      <c r="V152">
        <f>CW152*I152</f>
        <v>0.57750000000000001</v>
      </c>
      <c r="W152">
        <f>ROUND(CX152*I152,2)</f>
        <v>0</v>
      </c>
      <c r="X152">
        <f t="shared" ref="X152:Y154" si="78">ROUND(CY152,2)</f>
        <v>2001.32</v>
      </c>
      <c r="Y152">
        <f t="shared" si="78"/>
        <v>962.57</v>
      </c>
      <c r="AA152">
        <v>59552816</v>
      </c>
      <c r="AB152">
        <f>ROUND((AC152+AD152+AF152+AE152),2)</f>
        <v>30258.18</v>
      </c>
      <c r="AC152">
        <f>ROUND((SUM(SmtRes!BQ116:'SmtRes'!BQ123)),2)</f>
        <v>9983.99</v>
      </c>
      <c r="AD152">
        <f>ROUND((SUM(SmtRes!BR116:'SmtRes'!BR123)),2)</f>
        <v>1556.28</v>
      </c>
      <c r="AE152">
        <f>ROUND((SUM(SmtRes!BS116:'SmtRes'!BS123)),2)</f>
        <v>1337.56</v>
      </c>
      <c r="AF152">
        <f>ROUND((SUM(SmtRes!BT116:'SmtRes'!BT123)),2)</f>
        <v>17380.349999999999</v>
      </c>
      <c r="AG152">
        <f>ROUND((AP152),2)</f>
        <v>0</v>
      </c>
      <c r="AH152">
        <f>(SUM(SmtRes!BU116:'SmtRes'!BU123))</f>
        <v>77.855000000000004</v>
      </c>
      <c r="AI152">
        <f>(SUM(SmtRes!BV116:'SmtRes'!BV123))</f>
        <v>5.25</v>
      </c>
      <c r="AJ152">
        <f>(AS152)</f>
        <v>0</v>
      </c>
      <c r="AK152">
        <v>27412.415700000001</v>
      </c>
      <c r="AL152">
        <v>9983.9907000000003</v>
      </c>
      <c r="AM152">
        <v>1245.0260000000001</v>
      </c>
      <c r="AN152">
        <v>1070.0509999999999</v>
      </c>
      <c r="AO152">
        <v>15113.348000000002</v>
      </c>
      <c r="AP152">
        <v>0</v>
      </c>
      <c r="AQ152">
        <v>67.7</v>
      </c>
      <c r="AR152">
        <v>4.2</v>
      </c>
      <c r="AS152">
        <v>0</v>
      </c>
      <c r="AT152">
        <v>97.2</v>
      </c>
      <c r="AU152">
        <v>46.75</v>
      </c>
      <c r="AV152">
        <v>1</v>
      </c>
      <c r="AW152">
        <v>1</v>
      </c>
      <c r="AZ152">
        <v>1</v>
      </c>
      <c r="BA152">
        <v>1</v>
      </c>
      <c r="BB152">
        <v>1</v>
      </c>
      <c r="BC152">
        <v>1</v>
      </c>
      <c r="BD152" t="s">
        <v>3</v>
      </c>
      <c r="BE152" t="s">
        <v>3</v>
      </c>
      <c r="BF152" t="s">
        <v>3</v>
      </c>
      <c r="BG152" t="s">
        <v>3</v>
      </c>
      <c r="BH152">
        <v>0</v>
      </c>
      <c r="BI152">
        <v>1</v>
      </c>
      <c r="BJ152" t="s">
        <v>178</v>
      </c>
      <c r="BM152">
        <v>10001</v>
      </c>
      <c r="BN152">
        <v>0</v>
      </c>
      <c r="BO152" t="s">
        <v>3</v>
      </c>
      <c r="BP152">
        <v>0</v>
      </c>
      <c r="BQ152">
        <v>2</v>
      </c>
      <c r="BR152">
        <v>0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1</v>
      </c>
      <c r="BY152" t="s">
        <v>3</v>
      </c>
      <c r="BZ152">
        <v>108</v>
      </c>
      <c r="CA152">
        <v>55</v>
      </c>
      <c r="CB152" t="s">
        <v>3</v>
      </c>
      <c r="CE152">
        <v>0</v>
      </c>
      <c r="CF152">
        <v>0</v>
      </c>
      <c r="CG152">
        <v>0</v>
      </c>
      <c r="CM152">
        <v>0</v>
      </c>
      <c r="CN152" t="s">
        <v>3</v>
      </c>
      <c r="CO152">
        <v>0</v>
      </c>
      <c r="CP152">
        <f>(P152+Q152+S152+R152)</f>
        <v>3558.1400000000003</v>
      </c>
      <c r="CQ152">
        <f>SUMIF(SmtRes!AQ116:'SmtRes'!AQ123,"=1",SmtRes!AA116:'SmtRes'!AA123)</f>
        <v>112387.7</v>
      </c>
      <c r="CR152">
        <f>SUMIF(SmtRes!AQ116:'SmtRes'!AQ123,"=1",SmtRes!AB116:'SmtRes'!AB123)</f>
        <v>588.93999999999994</v>
      </c>
      <c r="CS152">
        <f>SUMIF(SmtRes!AQ116:'SmtRes'!AQ123,"=1",SmtRes!AC116:'SmtRes'!AC123)</f>
        <v>504.28</v>
      </c>
      <c r="CT152">
        <f>SUMIF(SmtRes!AQ116:'SmtRes'!AQ123,"=1",SmtRes!AD116:'SmtRes'!AD123)</f>
        <v>223.24</v>
      </c>
      <c r="CU152">
        <f t="shared" ref="CU152:CX154" si="79">AG152</f>
        <v>0</v>
      </c>
      <c r="CV152">
        <f t="shared" si="79"/>
        <v>77.855000000000004</v>
      </c>
      <c r="CW152">
        <f t="shared" si="79"/>
        <v>5.25</v>
      </c>
      <c r="CX152">
        <f t="shared" si="79"/>
        <v>0</v>
      </c>
      <c r="CY152">
        <f>(((S152+R152)*AT152)/100)</f>
        <v>2001.3188399999999</v>
      </c>
      <c r="CZ152">
        <f>(((S152+R152)*AU152)/100)</f>
        <v>962.56847499999992</v>
      </c>
      <c r="DC152" t="s">
        <v>3</v>
      </c>
      <c r="DD152" t="s">
        <v>3</v>
      </c>
      <c r="DE152" t="s">
        <v>28</v>
      </c>
      <c r="DF152" t="s">
        <v>28</v>
      </c>
      <c r="DG152" t="s">
        <v>29</v>
      </c>
      <c r="DH152" t="s">
        <v>3</v>
      </c>
      <c r="DI152" t="s">
        <v>29</v>
      </c>
      <c r="DJ152" t="s">
        <v>28</v>
      </c>
      <c r="DK152" t="s">
        <v>3</v>
      </c>
      <c r="DL152" t="s">
        <v>30</v>
      </c>
      <c r="DM152" t="s">
        <v>31</v>
      </c>
      <c r="DN152">
        <v>0</v>
      </c>
      <c r="DO152">
        <v>0</v>
      </c>
      <c r="DP152">
        <v>1</v>
      </c>
      <c r="DQ152">
        <v>1</v>
      </c>
      <c r="DU152">
        <v>1013</v>
      </c>
      <c r="DV152" t="s">
        <v>162</v>
      </c>
      <c r="DW152" t="s">
        <v>162</v>
      </c>
      <c r="DX152">
        <v>1</v>
      </c>
      <c r="DZ152" t="s">
        <v>3</v>
      </c>
      <c r="EA152" t="s">
        <v>3</v>
      </c>
      <c r="EB152" t="s">
        <v>3</v>
      </c>
      <c r="EC152" t="s">
        <v>3</v>
      </c>
      <c r="EE152">
        <v>57922175</v>
      </c>
      <c r="EF152">
        <v>2</v>
      </c>
      <c r="EG152" t="s">
        <v>32</v>
      </c>
      <c r="EH152">
        <v>10</v>
      </c>
      <c r="EI152" t="s">
        <v>179</v>
      </c>
      <c r="EJ152">
        <v>1</v>
      </c>
      <c r="EK152">
        <v>10001</v>
      </c>
      <c r="EL152" t="s">
        <v>179</v>
      </c>
      <c r="EM152" t="s">
        <v>180</v>
      </c>
      <c r="EO152" t="s">
        <v>3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67.7</v>
      </c>
      <c r="EX152">
        <v>4.2</v>
      </c>
      <c r="EY152">
        <v>0</v>
      </c>
      <c r="FQ152">
        <v>0</v>
      </c>
      <c r="FR152">
        <f>ROUND(IF(BI152=3,GM152,0),2)</f>
        <v>0</v>
      </c>
      <c r="FS152">
        <v>0</v>
      </c>
      <c r="FX152">
        <v>97.2</v>
      </c>
      <c r="FY152">
        <v>46.75</v>
      </c>
      <c r="GA152" t="s">
        <v>3</v>
      </c>
      <c r="GD152">
        <v>1</v>
      </c>
      <c r="GF152">
        <v>-1315396912</v>
      </c>
      <c r="GG152">
        <v>2</v>
      </c>
      <c r="GH152">
        <v>1</v>
      </c>
      <c r="GI152">
        <v>-2</v>
      </c>
      <c r="GJ152">
        <v>0</v>
      </c>
      <c r="GK152">
        <v>0</v>
      </c>
      <c r="GL152">
        <f>ROUND(IF(AND(BH152=3,BI152=3,FS152&lt;&gt;0),P152,0),2)</f>
        <v>0</v>
      </c>
      <c r="GM152">
        <f>ROUND(O152+X152+Y152,2)+GX152</f>
        <v>6522.03</v>
      </c>
      <c r="GN152">
        <f>IF(OR(BI152=0,BI152=1),GM152,0)</f>
        <v>6522.03</v>
      </c>
      <c r="GO152">
        <f>IF(BI152=2,GM152,0)</f>
        <v>0</v>
      </c>
      <c r="GP152">
        <f>IF(BI152=4,GM152+GX152,0)</f>
        <v>0</v>
      </c>
      <c r="GR152">
        <v>0</v>
      </c>
      <c r="GS152">
        <v>3</v>
      </c>
      <c r="GT152">
        <v>0</v>
      </c>
      <c r="GU152" t="s">
        <v>3</v>
      </c>
      <c r="GV152">
        <f>ROUND((GT152),2)</f>
        <v>0</v>
      </c>
      <c r="GW152">
        <v>1</v>
      </c>
      <c r="GX152">
        <f>ROUND(HC152*I152,2)</f>
        <v>0</v>
      </c>
      <c r="HA152">
        <v>0</v>
      </c>
      <c r="HB152">
        <v>0</v>
      </c>
      <c r="HC152">
        <f>GV152*GW152</f>
        <v>0</v>
      </c>
      <c r="HE152" t="s">
        <v>3</v>
      </c>
      <c r="HF152" t="s">
        <v>3</v>
      </c>
      <c r="HM152" t="s">
        <v>3</v>
      </c>
      <c r="HN152" t="s">
        <v>181</v>
      </c>
      <c r="HO152" t="s">
        <v>182</v>
      </c>
      <c r="HP152" t="s">
        <v>179</v>
      </c>
      <c r="HQ152" t="s">
        <v>179</v>
      </c>
      <c r="IK152">
        <v>0</v>
      </c>
    </row>
    <row r="153" spans="1:245" x14ac:dyDescent="0.2">
      <c r="A153">
        <v>17</v>
      </c>
      <c r="B153">
        <v>1</v>
      </c>
      <c r="C153">
        <f>ROW(SmtRes!A131)</f>
        <v>131</v>
      </c>
      <c r="D153">
        <f>ROW(EtalonRes!A130)</f>
        <v>130</v>
      </c>
      <c r="E153" t="s">
        <v>14</v>
      </c>
      <c r="F153" t="s">
        <v>176</v>
      </c>
      <c r="G153" t="s">
        <v>183</v>
      </c>
      <c r="H153" t="s">
        <v>162</v>
      </c>
      <c r="I153">
        <v>0.11</v>
      </c>
      <c r="J153">
        <v>0</v>
      </c>
      <c r="K153">
        <v>0.11</v>
      </c>
      <c r="O153">
        <f>ROUND(CP153,2)</f>
        <v>3558.14</v>
      </c>
      <c r="P153">
        <f>SUMIF(SmtRes!AQ124:'SmtRes'!AQ131,"=1",SmtRes!DF124:'SmtRes'!DF131)</f>
        <v>1304.1300000000001</v>
      </c>
      <c r="Q153">
        <f>SUMIF(SmtRes!AQ124:'SmtRes'!AQ131,"=1",SmtRes!DG124:'SmtRes'!DG131)</f>
        <v>195.04</v>
      </c>
      <c r="R153">
        <f>SUMIF(SmtRes!AQ124:'SmtRes'!AQ131,"=1",SmtRes!DH124:'SmtRes'!DH131)</f>
        <v>147.13</v>
      </c>
      <c r="S153">
        <f>SUMIF(SmtRes!AQ124:'SmtRes'!AQ131,"=1",SmtRes!DI124:'SmtRes'!DI131)</f>
        <v>1911.84</v>
      </c>
      <c r="T153">
        <f>ROUND(CU153*I153,2)</f>
        <v>0</v>
      </c>
      <c r="U153">
        <f>CV153*I153</f>
        <v>8.5640499999999999</v>
      </c>
      <c r="V153">
        <f>CW153*I153</f>
        <v>0.57750000000000001</v>
      </c>
      <c r="W153">
        <f>ROUND(CX153*I153,2)</f>
        <v>0</v>
      </c>
      <c r="X153">
        <f t="shared" si="78"/>
        <v>2001.32</v>
      </c>
      <c r="Y153">
        <f t="shared" si="78"/>
        <v>962.57</v>
      </c>
      <c r="AA153">
        <v>59552816</v>
      </c>
      <c r="AB153">
        <f>ROUND((AC153+AD153+AF153+AE153),2)</f>
        <v>30258.18</v>
      </c>
      <c r="AC153">
        <f>ROUND((SUM(SmtRes!BQ124:'SmtRes'!BQ131)),2)</f>
        <v>9983.99</v>
      </c>
      <c r="AD153">
        <f>ROUND((SUM(SmtRes!BR124:'SmtRes'!BR131)),2)</f>
        <v>1556.28</v>
      </c>
      <c r="AE153">
        <f>ROUND((SUM(SmtRes!BS124:'SmtRes'!BS131)),2)</f>
        <v>1337.56</v>
      </c>
      <c r="AF153">
        <f>ROUND((SUM(SmtRes!BT124:'SmtRes'!BT131)),2)</f>
        <v>17380.349999999999</v>
      </c>
      <c r="AG153">
        <f>ROUND((AP153),2)</f>
        <v>0</v>
      </c>
      <c r="AH153">
        <f>(SUM(SmtRes!BU124:'SmtRes'!BU131))</f>
        <v>77.855000000000004</v>
      </c>
      <c r="AI153">
        <f>(SUM(SmtRes!BV124:'SmtRes'!BV131))</f>
        <v>5.25</v>
      </c>
      <c r="AJ153">
        <f>(AS153)</f>
        <v>0</v>
      </c>
      <c r="AK153">
        <v>27412.415700000001</v>
      </c>
      <c r="AL153">
        <v>9983.9907000000003</v>
      </c>
      <c r="AM153">
        <v>1245.0260000000001</v>
      </c>
      <c r="AN153">
        <v>1070.0509999999999</v>
      </c>
      <c r="AO153">
        <v>15113.348000000002</v>
      </c>
      <c r="AP153">
        <v>0</v>
      </c>
      <c r="AQ153">
        <v>67.7</v>
      </c>
      <c r="AR153">
        <v>4.2</v>
      </c>
      <c r="AS153">
        <v>0</v>
      </c>
      <c r="AT153">
        <v>97.2</v>
      </c>
      <c r="AU153">
        <v>46.75</v>
      </c>
      <c r="AV153">
        <v>1</v>
      </c>
      <c r="AW153">
        <v>1</v>
      </c>
      <c r="AZ153">
        <v>1</v>
      </c>
      <c r="BA153">
        <v>1</v>
      </c>
      <c r="BB153">
        <v>1</v>
      </c>
      <c r="BC153">
        <v>1</v>
      </c>
      <c r="BD153" t="s">
        <v>3</v>
      </c>
      <c r="BE153" t="s">
        <v>3</v>
      </c>
      <c r="BF153" t="s">
        <v>3</v>
      </c>
      <c r="BG153" t="s">
        <v>3</v>
      </c>
      <c r="BH153">
        <v>0</v>
      </c>
      <c r="BI153">
        <v>1</v>
      </c>
      <c r="BJ153" t="s">
        <v>178</v>
      </c>
      <c r="BM153">
        <v>10001</v>
      </c>
      <c r="BN153">
        <v>0</v>
      </c>
      <c r="BO153" t="s">
        <v>3</v>
      </c>
      <c r="BP153">
        <v>0</v>
      </c>
      <c r="BQ153">
        <v>2</v>
      </c>
      <c r="BR153">
        <v>0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 t="s">
        <v>3</v>
      </c>
      <c r="BZ153">
        <v>108</v>
      </c>
      <c r="CA153">
        <v>55</v>
      </c>
      <c r="CB153" t="s">
        <v>3</v>
      </c>
      <c r="CE153">
        <v>0</v>
      </c>
      <c r="CF153">
        <v>0</v>
      </c>
      <c r="CG153">
        <v>0</v>
      </c>
      <c r="CM153">
        <v>0</v>
      </c>
      <c r="CN153" t="s">
        <v>3</v>
      </c>
      <c r="CO153">
        <v>0</v>
      </c>
      <c r="CP153">
        <f>(P153+Q153+S153+R153)</f>
        <v>3558.1400000000003</v>
      </c>
      <c r="CQ153">
        <f>SUMIF(SmtRes!AQ124:'SmtRes'!AQ131,"=1",SmtRes!AA124:'SmtRes'!AA131)</f>
        <v>112387.7</v>
      </c>
      <c r="CR153">
        <f>SUMIF(SmtRes!AQ124:'SmtRes'!AQ131,"=1",SmtRes!AB124:'SmtRes'!AB131)</f>
        <v>588.93999999999994</v>
      </c>
      <c r="CS153">
        <f>SUMIF(SmtRes!AQ124:'SmtRes'!AQ131,"=1",SmtRes!AC124:'SmtRes'!AC131)</f>
        <v>504.28</v>
      </c>
      <c r="CT153">
        <f>SUMIF(SmtRes!AQ124:'SmtRes'!AQ131,"=1",SmtRes!AD124:'SmtRes'!AD131)</f>
        <v>223.24</v>
      </c>
      <c r="CU153">
        <f t="shared" si="79"/>
        <v>0</v>
      </c>
      <c r="CV153">
        <f t="shared" si="79"/>
        <v>77.855000000000004</v>
      </c>
      <c r="CW153">
        <f t="shared" si="79"/>
        <v>5.25</v>
      </c>
      <c r="CX153">
        <f t="shared" si="79"/>
        <v>0</v>
      </c>
      <c r="CY153">
        <f>(((S153+R153)*AT153)/100)</f>
        <v>2001.3188399999999</v>
      </c>
      <c r="CZ153">
        <f>(((S153+R153)*AU153)/100)</f>
        <v>962.56847499999992</v>
      </c>
      <c r="DC153" t="s">
        <v>3</v>
      </c>
      <c r="DD153" t="s">
        <v>3</v>
      </c>
      <c r="DE153" t="s">
        <v>28</v>
      </c>
      <c r="DF153" t="s">
        <v>28</v>
      </c>
      <c r="DG153" t="s">
        <v>29</v>
      </c>
      <c r="DH153" t="s">
        <v>3</v>
      </c>
      <c r="DI153" t="s">
        <v>29</v>
      </c>
      <c r="DJ153" t="s">
        <v>28</v>
      </c>
      <c r="DK153" t="s">
        <v>3</v>
      </c>
      <c r="DL153" t="s">
        <v>30</v>
      </c>
      <c r="DM153" t="s">
        <v>31</v>
      </c>
      <c r="DN153">
        <v>0</v>
      </c>
      <c r="DO153">
        <v>0</v>
      </c>
      <c r="DP153">
        <v>1</v>
      </c>
      <c r="DQ153">
        <v>1</v>
      </c>
      <c r="DU153">
        <v>1013</v>
      </c>
      <c r="DV153" t="s">
        <v>162</v>
      </c>
      <c r="DW153" t="s">
        <v>162</v>
      </c>
      <c r="DX153">
        <v>1</v>
      </c>
      <c r="DZ153" t="s">
        <v>3</v>
      </c>
      <c r="EA153" t="s">
        <v>3</v>
      </c>
      <c r="EB153" t="s">
        <v>3</v>
      </c>
      <c r="EC153" t="s">
        <v>3</v>
      </c>
      <c r="EE153">
        <v>57922175</v>
      </c>
      <c r="EF153">
        <v>2</v>
      </c>
      <c r="EG153" t="s">
        <v>32</v>
      </c>
      <c r="EH153">
        <v>10</v>
      </c>
      <c r="EI153" t="s">
        <v>179</v>
      </c>
      <c r="EJ153">
        <v>1</v>
      </c>
      <c r="EK153">
        <v>10001</v>
      </c>
      <c r="EL153" t="s">
        <v>179</v>
      </c>
      <c r="EM153" t="s">
        <v>180</v>
      </c>
      <c r="EO153" t="s">
        <v>3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67.7</v>
      </c>
      <c r="EX153">
        <v>4.2</v>
      </c>
      <c r="EY153">
        <v>0</v>
      </c>
      <c r="FQ153">
        <v>0</v>
      </c>
      <c r="FR153">
        <f>ROUND(IF(BI153=3,GM153,0),2)</f>
        <v>0</v>
      </c>
      <c r="FS153">
        <v>0</v>
      </c>
      <c r="FX153">
        <v>97.2</v>
      </c>
      <c r="FY153">
        <v>46.75</v>
      </c>
      <c r="GA153" t="s">
        <v>3</v>
      </c>
      <c r="GD153">
        <v>1</v>
      </c>
      <c r="GF153">
        <v>308944167</v>
      </c>
      <c r="GG153">
        <v>2</v>
      </c>
      <c r="GH153">
        <v>1</v>
      </c>
      <c r="GI153">
        <v>-2</v>
      </c>
      <c r="GJ153">
        <v>0</v>
      </c>
      <c r="GK153">
        <v>0</v>
      </c>
      <c r="GL153">
        <f>ROUND(IF(AND(BH153=3,BI153=3,FS153&lt;&gt;0),P153,0),2)</f>
        <v>0</v>
      </c>
      <c r="GM153">
        <f>ROUND(O153+X153+Y153,2)+GX153</f>
        <v>6522.03</v>
      </c>
      <c r="GN153">
        <f>IF(OR(BI153=0,BI153=1),GM153,0)</f>
        <v>6522.03</v>
      </c>
      <c r="GO153">
        <f>IF(BI153=2,GM153,0)</f>
        <v>0</v>
      </c>
      <c r="GP153">
        <f>IF(BI153=4,GM153+GX153,0)</f>
        <v>0</v>
      </c>
      <c r="GR153">
        <v>0</v>
      </c>
      <c r="GS153">
        <v>3</v>
      </c>
      <c r="GT153">
        <v>0</v>
      </c>
      <c r="GU153" t="s">
        <v>3</v>
      </c>
      <c r="GV153">
        <f>ROUND((GT153),2)</f>
        <v>0</v>
      </c>
      <c r="GW153">
        <v>1</v>
      </c>
      <c r="GX153">
        <f>ROUND(HC153*I153,2)</f>
        <v>0</v>
      </c>
      <c r="HA153">
        <v>0</v>
      </c>
      <c r="HB153">
        <v>0</v>
      </c>
      <c r="HC153">
        <f>GV153*GW153</f>
        <v>0</v>
      </c>
      <c r="HE153" t="s">
        <v>3</v>
      </c>
      <c r="HF153" t="s">
        <v>3</v>
      </c>
      <c r="HM153" t="s">
        <v>3</v>
      </c>
      <c r="HN153" t="s">
        <v>181</v>
      </c>
      <c r="HO153" t="s">
        <v>182</v>
      </c>
      <c r="HP153" t="s">
        <v>179</v>
      </c>
      <c r="HQ153" t="s">
        <v>179</v>
      </c>
      <c r="IK153">
        <v>0</v>
      </c>
    </row>
    <row r="154" spans="1:245" x14ac:dyDescent="0.2">
      <c r="A154">
        <v>17</v>
      </c>
      <c r="B154">
        <v>1</v>
      </c>
      <c r="C154">
        <f>ROW(SmtRes!A133)</f>
        <v>133</v>
      </c>
      <c r="D154">
        <f>ROW(EtalonRes!A132)</f>
        <v>132</v>
      </c>
      <c r="E154" t="s">
        <v>24</v>
      </c>
      <c r="F154" t="s">
        <v>184</v>
      </c>
      <c r="G154" t="s">
        <v>185</v>
      </c>
      <c r="H154" t="s">
        <v>186</v>
      </c>
      <c r="I154">
        <v>1.4999999999999999E-2</v>
      </c>
      <c r="J154">
        <v>0</v>
      </c>
      <c r="K154">
        <v>1.4999999999999999E-2</v>
      </c>
      <c r="O154">
        <f>ROUND(CP154,2)</f>
        <v>567.13</v>
      </c>
      <c r="P154">
        <f>SUMIF(SmtRes!AQ132:'SmtRes'!AQ133,"=1",SmtRes!DF132:'SmtRes'!DF133)</f>
        <v>0</v>
      </c>
      <c r="Q154">
        <f>SUMIF(SmtRes!AQ132:'SmtRes'!AQ133,"=1",SmtRes!DG132:'SmtRes'!DG133)</f>
        <v>0</v>
      </c>
      <c r="R154">
        <f>SUMIF(SmtRes!AQ132:'SmtRes'!AQ133,"=1",SmtRes!DH132:'SmtRes'!DH133)</f>
        <v>0</v>
      </c>
      <c r="S154">
        <f>SUMIF(SmtRes!AQ132:'SmtRes'!AQ133,"=1",SmtRes!DI132:'SmtRes'!DI133)</f>
        <v>567.13</v>
      </c>
      <c r="T154">
        <f>ROUND(CU154*I154,2)</f>
        <v>0</v>
      </c>
      <c r="U154">
        <f>CV154*I154</f>
        <v>2.82</v>
      </c>
      <c r="V154">
        <f>CW154*I154</f>
        <v>0</v>
      </c>
      <c r="W154">
        <f>ROUND(CX154*I154,2)</f>
        <v>0</v>
      </c>
      <c r="X154">
        <f t="shared" si="78"/>
        <v>521.76</v>
      </c>
      <c r="Y154">
        <f t="shared" si="78"/>
        <v>249.54</v>
      </c>
      <c r="AA154">
        <v>59552816</v>
      </c>
      <c r="AB154">
        <f>ROUND((AC154+AD154+AF154+AE154),2)</f>
        <v>37808.68</v>
      </c>
      <c r="AC154">
        <f>ROUND((0),2)</f>
        <v>0</v>
      </c>
      <c r="AD154">
        <f>ROUND((0),2)</f>
        <v>0</v>
      </c>
      <c r="AE154">
        <f>ROUND((0),2)</f>
        <v>0</v>
      </c>
      <c r="AF154">
        <f>ROUND((SUM(SmtRes!BT132:'SmtRes'!BT133)),2)</f>
        <v>37808.68</v>
      </c>
      <c r="AG154">
        <f>ROUND((AP154),2)</f>
        <v>0</v>
      </c>
      <c r="AH154">
        <f>(SUM(SmtRes!BU132:'SmtRes'!BU133))</f>
        <v>188</v>
      </c>
      <c r="AI154">
        <f>(0)</f>
        <v>0</v>
      </c>
      <c r="AJ154">
        <f>(AS154)</f>
        <v>0</v>
      </c>
      <c r="AK154">
        <v>37808.68</v>
      </c>
      <c r="AL154">
        <v>0</v>
      </c>
      <c r="AM154">
        <v>0</v>
      </c>
      <c r="AN154">
        <v>0</v>
      </c>
      <c r="AO154">
        <v>37808.68</v>
      </c>
      <c r="AP154">
        <v>0</v>
      </c>
      <c r="AQ154">
        <v>188</v>
      </c>
      <c r="AR154">
        <v>0</v>
      </c>
      <c r="AS154">
        <v>0</v>
      </c>
      <c r="AT154">
        <v>92</v>
      </c>
      <c r="AU154">
        <v>44</v>
      </c>
      <c r="AV154">
        <v>1</v>
      </c>
      <c r="AW154">
        <v>1</v>
      </c>
      <c r="AZ154">
        <v>1</v>
      </c>
      <c r="BA154">
        <v>1</v>
      </c>
      <c r="BB154">
        <v>1</v>
      </c>
      <c r="BC154">
        <v>1</v>
      </c>
      <c r="BD154" t="s">
        <v>3</v>
      </c>
      <c r="BE154" t="s">
        <v>3</v>
      </c>
      <c r="BF154" t="s">
        <v>3</v>
      </c>
      <c r="BG154" t="s">
        <v>3</v>
      </c>
      <c r="BH154">
        <v>0</v>
      </c>
      <c r="BI154">
        <v>1</v>
      </c>
      <c r="BJ154" t="s">
        <v>187</v>
      </c>
      <c r="BM154">
        <v>69001</v>
      </c>
      <c r="BN154">
        <v>0</v>
      </c>
      <c r="BO154" t="s">
        <v>3</v>
      </c>
      <c r="BP154">
        <v>0</v>
      </c>
      <c r="BQ154">
        <v>6</v>
      </c>
      <c r="BR154">
        <v>0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 t="s">
        <v>3</v>
      </c>
      <c r="BZ154">
        <v>92</v>
      </c>
      <c r="CA154">
        <v>44</v>
      </c>
      <c r="CB154" t="s">
        <v>3</v>
      </c>
      <c r="CE154">
        <v>0</v>
      </c>
      <c r="CF154">
        <v>0</v>
      </c>
      <c r="CG154">
        <v>0</v>
      </c>
      <c r="CM154">
        <v>0</v>
      </c>
      <c r="CN154" t="s">
        <v>3</v>
      </c>
      <c r="CO154">
        <v>0</v>
      </c>
      <c r="CP154">
        <f>(P154+Q154+S154+R154)</f>
        <v>567.13</v>
      </c>
      <c r="CQ154">
        <f>SUMIF(SmtRes!AQ132:'SmtRes'!AQ133,"=1",SmtRes!AA132:'SmtRes'!AA133)</f>
        <v>0</v>
      </c>
      <c r="CR154">
        <f>SUMIF(SmtRes!AQ132:'SmtRes'!AQ133,"=1",SmtRes!AB132:'SmtRes'!AB133)</f>
        <v>0</v>
      </c>
      <c r="CS154">
        <f>SUMIF(SmtRes!AQ132:'SmtRes'!AQ133,"=1",SmtRes!AC132:'SmtRes'!AC133)</f>
        <v>0</v>
      </c>
      <c r="CT154">
        <f>SUMIF(SmtRes!AQ132:'SmtRes'!AQ133,"=1",SmtRes!AD132:'SmtRes'!AD133)</f>
        <v>201.11</v>
      </c>
      <c r="CU154">
        <f t="shared" si="79"/>
        <v>0</v>
      </c>
      <c r="CV154">
        <f t="shared" si="79"/>
        <v>188</v>
      </c>
      <c r="CW154">
        <f t="shared" si="79"/>
        <v>0</v>
      </c>
      <c r="CX154">
        <f t="shared" si="79"/>
        <v>0</v>
      </c>
      <c r="CY154">
        <f>(((S154+R154)*AT154)/100)</f>
        <v>521.75959999999998</v>
      </c>
      <c r="CZ154">
        <f>(((S154+R154)*AU154)/100)</f>
        <v>249.53720000000001</v>
      </c>
      <c r="DC154" t="s">
        <v>3</v>
      </c>
      <c r="DD154" t="s">
        <v>3</v>
      </c>
      <c r="DE154" t="s">
        <v>3</v>
      </c>
      <c r="DF154" t="s">
        <v>3</v>
      </c>
      <c r="DG154" t="s">
        <v>3</v>
      </c>
      <c r="DH154" t="s">
        <v>3</v>
      </c>
      <c r="DI154" t="s">
        <v>3</v>
      </c>
      <c r="DJ154" t="s">
        <v>3</v>
      </c>
      <c r="DK154" t="s">
        <v>3</v>
      </c>
      <c r="DL154" t="s">
        <v>3</v>
      </c>
      <c r="DM154" t="s">
        <v>3</v>
      </c>
      <c r="DN154">
        <v>0</v>
      </c>
      <c r="DO154">
        <v>0</v>
      </c>
      <c r="DP154">
        <v>1</v>
      </c>
      <c r="DQ154">
        <v>1</v>
      </c>
      <c r="DU154">
        <v>1009</v>
      </c>
      <c r="DV154" t="s">
        <v>186</v>
      </c>
      <c r="DW154" t="s">
        <v>186</v>
      </c>
      <c r="DX154">
        <v>100000</v>
      </c>
      <c r="DZ154" t="s">
        <v>3</v>
      </c>
      <c r="EA154" t="s">
        <v>3</v>
      </c>
      <c r="EB154" t="s">
        <v>3</v>
      </c>
      <c r="EC154" t="s">
        <v>3</v>
      </c>
      <c r="EE154">
        <v>57922301</v>
      </c>
      <c r="EF154">
        <v>6</v>
      </c>
      <c r="EG154" t="s">
        <v>19</v>
      </c>
      <c r="EH154">
        <v>103</v>
      </c>
      <c r="EI154" t="s">
        <v>188</v>
      </c>
      <c r="EJ154">
        <v>1</v>
      </c>
      <c r="EK154">
        <v>69001</v>
      </c>
      <c r="EL154" t="s">
        <v>188</v>
      </c>
      <c r="EM154" t="s">
        <v>189</v>
      </c>
      <c r="EO154" t="s">
        <v>3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188</v>
      </c>
      <c r="EX154">
        <v>0</v>
      </c>
      <c r="EY154">
        <v>0</v>
      </c>
      <c r="FQ154">
        <v>0</v>
      </c>
      <c r="FR154">
        <f>ROUND(IF(BI154=3,GM154,0),2)</f>
        <v>0</v>
      </c>
      <c r="FS154">
        <v>0</v>
      </c>
      <c r="FX154">
        <v>92</v>
      </c>
      <c r="FY154">
        <v>44</v>
      </c>
      <c r="GA154" t="s">
        <v>3</v>
      </c>
      <c r="GD154">
        <v>1</v>
      </c>
      <c r="GF154">
        <v>-1797230163</v>
      </c>
      <c r="GG154">
        <v>2</v>
      </c>
      <c r="GH154">
        <v>1</v>
      </c>
      <c r="GI154">
        <v>-2</v>
      </c>
      <c r="GJ154">
        <v>0</v>
      </c>
      <c r="GK154">
        <v>0</v>
      </c>
      <c r="GL154">
        <f>ROUND(IF(AND(BH154=3,BI154=3,FS154&lt;&gt;0),P154,0),2)</f>
        <v>0</v>
      </c>
      <c r="GM154">
        <f>ROUND(O154+X154+Y154,2)+GX154</f>
        <v>1338.43</v>
      </c>
      <c r="GN154">
        <f>IF(OR(BI154=0,BI154=1),GM154,0)</f>
        <v>1338.43</v>
      </c>
      <c r="GO154">
        <f>IF(BI154=2,GM154,0)</f>
        <v>0</v>
      </c>
      <c r="GP154">
        <f>IF(BI154=4,GM154+GX154,0)</f>
        <v>0</v>
      </c>
      <c r="GR154">
        <v>0</v>
      </c>
      <c r="GS154">
        <v>3</v>
      </c>
      <c r="GT154">
        <v>0</v>
      </c>
      <c r="GU154" t="s">
        <v>3</v>
      </c>
      <c r="GV154">
        <f>ROUND((GT154),2)</f>
        <v>0</v>
      </c>
      <c r="GW154">
        <v>1</v>
      </c>
      <c r="GX154">
        <f>ROUND(HC154*I154,2)</f>
        <v>0</v>
      </c>
      <c r="HA154">
        <v>0</v>
      </c>
      <c r="HB154">
        <v>0</v>
      </c>
      <c r="HC154">
        <f>GV154*GW154</f>
        <v>0</v>
      </c>
      <c r="HE154" t="s">
        <v>3</v>
      </c>
      <c r="HF154" t="s">
        <v>3</v>
      </c>
      <c r="HM154" t="s">
        <v>3</v>
      </c>
      <c r="HN154" t="s">
        <v>190</v>
      </c>
      <c r="HO154" t="s">
        <v>191</v>
      </c>
      <c r="HP154" t="s">
        <v>188</v>
      </c>
      <c r="HQ154" t="s">
        <v>188</v>
      </c>
      <c r="IK154">
        <v>0</v>
      </c>
    </row>
    <row r="155" spans="1:245" x14ac:dyDescent="0.2">
      <c r="A155">
        <v>17</v>
      </c>
      <c r="B155">
        <v>1</v>
      </c>
      <c r="E155" t="s">
        <v>56</v>
      </c>
      <c r="F155" t="s">
        <v>192</v>
      </c>
      <c r="G155" t="s">
        <v>193</v>
      </c>
      <c r="H155" t="s">
        <v>194</v>
      </c>
      <c r="I155">
        <v>1.2508239999999999</v>
      </c>
      <c r="J155">
        <v>0</v>
      </c>
      <c r="K155">
        <v>1.2508239999999999</v>
      </c>
      <c r="O155">
        <f>0</f>
        <v>0</v>
      </c>
      <c r="P155">
        <f>0</f>
        <v>0</v>
      </c>
      <c r="Q155">
        <f>0</f>
        <v>0</v>
      </c>
      <c r="R155">
        <f>0</f>
        <v>0</v>
      </c>
      <c r="S155">
        <f>0</f>
        <v>0</v>
      </c>
      <c r="T155">
        <f>0</f>
        <v>0</v>
      </c>
      <c r="U155">
        <f>0</f>
        <v>0</v>
      </c>
      <c r="V155">
        <f>0</f>
        <v>0</v>
      </c>
      <c r="W155">
        <f>0</f>
        <v>0</v>
      </c>
      <c r="X155">
        <f>0</f>
        <v>0</v>
      </c>
      <c r="Y155">
        <f>0</f>
        <v>0</v>
      </c>
      <c r="AA155">
        <v>59552816</v>
      </c>
      <c r="AB155">
        <f>ROUND((AK155),2)</f>
        <v>722.52</v>
      </c>
      <c r="AC155">
        <f>0</f>
        <v>0</v>
      </c>
      <c r="AD155">
        <f>0</f>
        <v>0</v>
      </c>
      <c r="AE155">
        <f>0</f>
        <v>0</v>
      </c>
      <c r="AF155">
        <f>0</f>
        <v>0</v>
      </c>
      <c r="AG155">
        <f>0</f>
        <v>0</v>
      </c>
      <c r="AH155">
        <f>0</f>
        <v>0</v>
      </c>
      <c r="AI155">
        <f>0</f>
        <v>0</v>
      </c>
      <c r="AJ155">
        <f>0</f>
        <v>0</v>
      </c>
      <c r="AK155">
        <v>722.52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1</v>
      </c>
      <c r="BD155" t="s">
        <v>3</v>
      </c>
      <c r="BE155" t="s">
        <v>3</v>
      </c>
      <c r="BF155" t="s">
        <v>3</v>
      </c>
      <c r="BG155" t="s">
        <v>3</v>
      </c>
      <c r="BH155">
        <v>0</v>
      </c>
      <c r="BI155">
        <v>1</v>
      </c>
      <c r="BJ155" t="s">
        <v>192</v>
      </c>
      <c r="BM155">
        <v>700007</v>
      </c>
      <c r="BN155">
        <v>0</v>
      </c>
      <c r="BO155" t="s">
        <v>3</v>
      </c>
      <c r="BP155">
        <v>0</v>
      </c>
      <c r="BQ155">
        <v>19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94</v>
      </c>
      <c r="CA155">
        <v>42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3</v>
      </c>
      <c r="CO155">
        <v>0</v>
      </c>
      <c r="CP155">
        <f>AB155*AZ155</f>
        <v>722.52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C155" t="s">
        <v>3</v>
      </c>
      <c r="DD155" t="s">
        <v>3</v>
      </c>
      <c r="DE155" t="s">
        <v>3</v>
      </c>
      <c r="DF155" t="s">
        <v>3</v>
      </c>
      <c r="DG155" t="s">
        <v>3</v>
      </c>
      <c r="DH155" t="s">
        <v>3</v>
      </c>
      <c r="DI155" t="s">
        <v>3</v>
      </c>
      <c r="DJ155" t="s">
        <v>3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1013</v>
      </c>
      <c r="DV155" t="s">
        <v>194</v>
      </c>
      <c r="DW155" t="s">
        <v>194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57922634</v>
      </c>
      <c r="EF155">
        <v>19</v>
      </c>
      <c r="EG155" t="s">
        <v>195</v>
      </c>
      <c r="EH155">
        <v>106</v>
      </c>
      <c r="EI155" t="s">
        <v>195</v>
      </c>
      <c r="EJ155">
        <v>1</v>
      </c>
      <c r="EK155">
        <v>700007</v>
      </c>
      <c r="EL155" t="s">
        <v>195</v>
      </c>
      <c r="EM155" t="s">
        <v>196</v>
      </c>
      <c r="EO155" t="s">
        <v>3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FQ155">
        <v>0</v>
      </c>
      <c r="FR155">
        <f>ROUND(IF(BI155=3,GM155,0),2)</f>
        <v>0</v>
      </c>
      <c r="FS155">
        <v>0</v>
      </c>
      <c r="FX155">
        <v>0</v>
      </c>
      <c r="FY155">
        <v>0</v>
      </c>
      <c r="GA155" t="s">
        <v>3</v>
      </c>
      <c r="GD155">
        <v>1</v>
      </c>
      <c r="GF155">
        <v>-396978225</v>
      </c>
      <c r="GG155">
        <v>2</v>
      </c>
      <c r="GH155">
        <v>1</v>
      </c>
      <c r="GI155">
        <v>-2</v>
      </c>
      <c r="GJ155">
        <v>2</v>
      </c>
      <c r="GK155">
        <v>0</v>
      </c>
      <c r="GL155">
        <f>ROUND(IF(AND(BH155=3,BI155=3,FS155&lt;&gt;0),P155,0),2)</f>
        <v>0</v>
      </c>
      <c r="GM155">
        <f>ROUND(CP155*I155,2)</f>
        <v>903.75</v>
      </c>
      <c r="GN155">
        <f>IF(OR(BI155=0,BI155=1),GM155,0)</f>
        <v>903.75</v>
      </c>
      <c r="GO155">
        <f>IF(BI155=2,GM155,0)</f>
        <v>0</v>
      </c>
      <c r="GP155">
        <f>IF(BI155=4,GM155+GX155,0)</f>
        <v>0</v>
      </c>
      <c r="GR155">
        <v>0</v>
      </c>
      <c r="GS155">
        <v>3</v>
      </c>
      <c r="GT155">
        <v>0</v>
      </c>
      <c r="GU155" t="s">
        <v>3</v>
      </c>
      <c r="GV155">
        <f>0</f>
        <v>0</v>
      </c>
      <c r="GW155">
        <v>1</v>
      </c>
      <c r="GX155">
        <f>0</f>
        <v>0</v>
      </c>
      <c r="HA155">
        <v>0</v>
      </c>
      <c r="HB155">
        <v>0</v>
      </c>
      <c r="HC155">
        <v>0</v>
      </c>
      <c r="HD155">
        <f>GM155</f>
        <v>903.75</v>
      </c>
      <c r="HE155" t="s">
        <v>3</v>
      </c>
      <c r="HF155" t="s">
        <v>3</v>
      </c>
      <c r="HM155" t="s">
        <v>3</v>
      </c>
      <c r="HN155" t="s">
        <v>197</v>
      </c>
      <c r="HO155" t="s">
        <v>198</v>
      </c>
      <c r="HP155" t="s">
        <v>195</v>
      </c>
      <c r="HQ155" t="s">
        <v>195</v>
      </c>
      <c r="IK155">
        <v>0</v>
      </c>
    </row>
    <row r="156" spans="1:245" x14ac:dyDescent="0.2">
      <c r="A156">
        <v>17</v>
      </c>
      <c r="B156">
        <v>1</v>
      </c>
      <c r="E156" t="s">
        <v>43</v>
      </c>
      <c r="F156" t="s">
        <v>199</v>
      </c>
      <c r="G156" t="s">
        <v>200</v>
      </c>
      <c r="H156" t="s">
        <v>194</v>
      </c>
      <c r="I156">
        <v>1.2508239999999999</v>
      </c>
      <c r="J156">
        <v>0</v>
      </c>
      <c r="K156">
        <v>1.2508239999999999</v>
      </c>
      <c r="O156">
        <f>0</f>
        <v>0</v>
      </c>
      <c r="P156">
        <f>0</f>
        <v>0</v>
      </c>
      <c r="Q156">
        <f>0</f>
        <v>0</v>
      </c>
      <c r="R156">
        <f>0</f>
        <v>0</v>
      </c>
      <c r="S156">
        <f>0</f>
        <v>0</v>
      </c>
      <c r="T156">
        <f>0</f>
        <v>0</v>
      </c>
      <c r="U156">
        <f>0</f>
        <v>0</v>
      </c>
      <c r="V156">
        <f>0</f>
        <v>0</v>
      </c>
      <c r="W156">
        <f>0</f>
        <v>0</v>
      </c>
      <c r="X156">
        <f>0</f>
        <v>0</v>
      </c>
      <c r="Y156">
        <f>0</f>
        <v>0</v>
      </c>
      <c r="AA156">
        <v>59552816</v>
      </c>
      <c r="AB156">
        <f>ROUND((AK156),2)</f>
        <v>166.07</v>
      </c>
      <c r="AC156">
        <f>0</f>
        <v>0</v>
      </c>
      <c r="AD156">
        <f>0</f>
        <v>0</v>
      </c>
      <c r="AE156">
        <f>0</f>
        <v>0</v>
      </c>
      <c r="AF156">
        <f>0</f>
        <v>0</v>
      </c>
      <c r="AG156">
        <f>0</f>
        <v>0</v>
      </c>
      <c r="AH156">
        <f>0</f>
        <v>0</v>
      </c>
      <c r="AI156">
        <f>0</f>
        <v>0</v>
      </c>
      <c r="AJ156">
        <f>0</f>
        <v>0</v>
      </c>
      <c r="AK156">
        <v>166.07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1</v>
      </c>
      <c r="AW156">
        <v>1</v>
      </c>
      <c r="AZ156">
        <v>1</v>
      </c>
      <c r="BA156">
        <v>1</v>
      </c>
      <c r="BB156">
        <v>1</v>
      </c>
      <c r="BC156">
        <v>1</v>
      </c>
      <c r="BD156" t="s">
        <v>3</v>
      </c>
      <c r="BE156" t="s">
        <v>3</v>
      </c>
      <c r="BF156" t="s">
        <v>3</v>
      </c>
      <c r="BG156" t="s">
        <v>3</v>
      </c>
      <c r="BH156">
        <v>0</v>
      </c>
      <c r="BI156">
        <v>1</v>
      </c>
      <c r="BJ156" t="s">
        <v>199</v>
      </c>
      <c r="BM156">
        <v>700008</v>
      </c>
      <c r="BN156">
        <v>0</v>
      </c>
      <c r="BO156" t="s">
        <v>3</v>
      </c>
      <c r="BP156">
        <v>0</v>
      </c>
      <c r="BQ156">
        <v>10</v>
      </c>
      <c r="BR156">
        <v>0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 t="s">
        <v>3</v>
      </c>
      <c r="BZ156">
        <v>94</v>
      </c>
      <c r="CA156">
        <v>61</v>
      </c>
      <c r="CB156" t="s">
        <v>3</v>
      </c>
      <c r="CE156">
        <v>0</v>
      </c>
      <c r="CF156">
        <v>0</v>
      </c>
      <c r="CG156">
        <v>0</v>
      </c>
      <c r="CM156">
        <v>0</v>
      </c>
      <c r="CN156" t="s">
        <v>3</v>
      </c>
      <c r="CO156">
        <v>0</v>
      </c>
      <c r="CP156">
        <f>AB156*AZ156</f>
        <v>166.07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C156" t="s">
        <v>3</v>
      </c>
      <c r="DD156" t="s">
        <v>3</v>
      </c>
      <c r="DE156" t="s">
        <v>3</v>
      </c>
      <c r="DF156" t="s">
        <v>3</v>
      </c>
      <c r="DG156" t="s">
        <v>3</v>
      </c>
      <c r="DH156" t="s">
        <v>3</v>
      </c>
      <c r="DI156" t="s">
        <v>3</v>
      </c>
      <c r="DJ156" t="s">
        <v>3</v>
      </c>
      <c r="DK156" t="s">
        <v>3</v>
      </c>
      <c r="DL156" t="s">
        <v>3</v>
      </c>
      <c r="DM156" t="s">
        <v>3</v>
      </c>
      <c r="DN156">
        <v>0</v>
      </c>
      <c r="DO156">
        <v>0</v>
      </c>
      <c r="DP156">
        <v>1</v>
      </c>
      <c r="DQ156">
        <v>1</v>
      </c>
      <c r="DU156">
        <v>1013</v>
      </c>
      <c r="DV156" t="s">
        <v>194</v>
      </c>
      <c r="DW156" t="s">
        <v>194</v>
      </c>
      <c r="DX156">
        <v>1</v>
      </c>
      <c r="DZ156" t="s">
        <v>3</v>
      </c>
      <c r="EA156" t="s">
        <v>3</v>
      </c>
      <c r="EB156" t="s">
        <v>3</v>
      </c>
      <c r="EC156" t="s">
        <v>3</v>
      </c>
      <c r="EE156">
        <v>57922635</v>
      </c>
      <c r="EF156">
        <v>10</v>
      </c>
      <c r="EG156" t="s">
        <v>201</v>
      </c>
      <c r="EH156">
        <v>107</v>
      </c>
      <c r="EI156" t="s">
        <v>202</v>
      </c>
      <c r="EJ156">
        <v>1</v>
      </c>
      <c r="EK156">
        <v>700008</v>
      </c>
      <c r="EL156" t="s">
        <v>203</v>
      </c>
      <c r="EM156" t="s">
        <v>204</v>
      </c>
      <c r="EO156" t="s">
        <v>3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FQ156">
        <v>0</v>
      </c>
      <c r="FR156">
        <f>ROUND(IF(BI156=3,GM156,0),2)</f>
        <v>0</v>
      </c>
      <c r="FS156">
        <v>0</v>
      </c>
      <c r="FX156">
        <v>0</v>
      </c>
      <c r="FY156">
        <v>0</v>
      </c>
      <c r="GA156" t="s">
        <v>3</v>
      </c>
      <c r="GD156">
        <v>1</v>
      </c>
      <c r="GF156">
        <v>731204195</v>
      </c>
      <c r="GG156">
        <v>2</v>
      </c>
      <c r="GH156">
        <v>1</v>
      </c>
      <c r="GI156">
        <v>-2</v>
      </c>
      <c r="GJ156">
        <v>2</v>
      </c>
      <c r="GK156">
        <v>0</v>
      </c>
      <c r="GL156">
        <f>ROUND(IF(AND(BH156=3,BI156=3,FS156&lt;&gt;0),P156,0),2)</f>
        <v>0</v>
      </c>
      <c r="GM156">
        <f>ROUND(CP156*I156,2)</f>
        <v>207.72</v>
      </c>
      <c r="GN156">
        <f>IF(OR(BI156=0,BI156=1),GM156,0)</f>
        <v>207.72</v>
      </c>
      <c r="GO156">
        <f>IF(BI156=2,GM156,0)</f>
        <v>0</v>
      </c>
      <c r="GP156">
        <f>IF(BI156=4,GM156+GX156,0)</f>
        <v>0</v>
      </c>
      <c r="GR156">
        <v>0</v>
      </c>
      <c r="GS156">
        <v>3</v>
      </c>
      <c r="GT156">
        <v>0</v>
      </c>
      <c r="GU156" t="s">
        <v>3</v>
      </c>
      <c r="GV156">
        <f>0</f>
        <v>0</v>
      </c>
      <c r="GW156">
        <v>1</v>
      </c>
      <c r="GX156">
        <f>0</f>
        <v>0</v>
      </c>
      <c r="HA156">
        <v>0</v>
      </c>
      <c r="HB156">
        <v>0</v>
      </c>
      <c r="HC156">
        <v>0</v>
      </c>
      <c r="HD156">
        <f>GM156</f>
        <v>207.72</v>
      </c>
      <c r="HE156" t="s">
        <v>3</v>
      </c>
      <c r="HF156" t="s">
        <v>3</v>
      </c>
      <c r="HM156" t="s">
        <v>3</v>
      </c>
      <c r="HN156" t="s">
        <v>205</v>
      </c>
      <c r="HO156" t="s">
        <v>206</v>
      </c>
      <c r="HP156" t="s">
        <v>202</v>
      </c>
      <c r="HQ156" t="s">
        <v>202</v>
      </c>
      <c r="IK156">
        <v>0</v>
      </c>
    </row>
    <row r="158" spans="1:245" x14ac:dyDescent="0.2">
      <c r="A158" s="2">
        <v>51</v>
      </c>
      <c r="B158" s="2">
        <f>B148</f>
        <v>1</v>
      </c>
      <c r="C158" s="2">
        <f>A148</f>
        <v>4</v>
      </c>
      <c r="D158" s="2">
        <f>ROW(A148)</f>
        <v>148</v>
      </c>
      <c r="E158" s="2"/>
      <c r="F158" s="2" t="str">
        <f>IF(F148&lt;&gt;"",F148,"")</f>
        <v>Новый раздел</v>
      </c>
      <c r="G158" s="2" t="str">
        <f>IF(G148&lt;&gt;"",G148,"")</f>
        <v>Разные работы</v>
      </c>
      <c r="H158" s="2">
        <v>0</v>
      </c>
      <c r="I158" s="2"/>
      <c r="J158" s="2"/>
      <c r="K158" s="2"/>
      <c r="L158" s="2"/>
      <c r="M158" s="2"/>
      <c r="N158" s="2"/>
      <c r="O158" s="2">
        <f t="shared" ref="O158:T158" si="80">ROUND(AB158,2)</f>
        <v>7683.41</v>
      </c>
      <c r="P158" s="2">
        <f t="shared" si="80"/>
        <v>2608.2600000000002</v>
      </c>
      <c r="Q158" s="2">
        <f t="shared" si="80"/>
        <v>390.08</v>
      </c>
      <c r="R158" s="2">
        <f t="shared" si="80"/>
        <v>294.26</v>
      </c>
      <c r="S158" s="2">
        <f t="shared" si="80"/>
        <v>4390.8100000000004</v>
      </c>
      <c r="T158" s="2">
        <f t="shared" si="80"/>
        <v>0</v>
      </c>
      <c r="U158" s="2">
        <f>AH158</f>
        <v>19.9481</v>
      </c>
      <c r="V158" s="2">
        <f>AI158</f>
        <v>1.155</v>
      </c>
      <c r="W158" s="2">
        <f>ROUND(AJ158,2)</f>
        <v>0</v>
      </c>
      <c r="X158" s="2">
        <f>ROUND(AK158,2)</f>
        <v>4524.3999999999996</v>
      </c>
      <c r="Y158" s="2">
        <f>ROUND(AL158,2)</f>
        <v>2174.6799999999998</v>
      </c>
      <c r="Z158" s="2"/>
      <c r="AA158" s="2"/>
      <c r="AB158" s="2">
        <f>ROUND(SUMIF(AA152:AA156,"=59552816",O152:O156),2)</f>
        <v>7683.41</v>
      </c>
      <c r="AC158" s="2">
        <f>ROUND(SUMIF(AA152:AA156,"=59552816",P152:P156),2)</f>
        <v>2608.2600000000002</v>
      </c>
      <c r="AD158" s="2">
        <f>ROUND(SUMIF(AA152:AA156,"=59552816",Q152:Q156),2)</f>
        <v>390.08</v>
      </c>
      <c r="AE158" s="2">
        <f>ROUND(SUMIF(AA152:AA156,"=59552816",R152:R156),2)</f>
        <v>294.26</v>
      </c>
      <c r="AF158" s="2">
        <f>ROUND(SUMIF(AA152:AA156,"=59552816",S152:S156),2)</f>
        <v>4390.8100000000004</v>
      </c>
      <c r="AG158" s="2">
        <f>ROUND(SUMIF(AA152:AA156,"=59552816",T152:T156),2)</f>
        <v>0</v>
      </c>
      <c r="AH158" s="2">
        <f>SUMIF(AA152:AA156,"=59552816",U152:U156)</f>
        <v>19.9481</v>
      </c>
      <c r="AI158" s="2">
        <f>SUMIF(AA152:AA156,"=59552816",V152:V156)</f>
        <v>1.155</v>
      </c>
      <c r="AJ158" s="2">
        <f>ROUND(SUMIF(AA152:AA156,"=59552816",W152:W156),2)</f>
        <v>0</v>
      </c>
      <c r="AK158" s="2">
        <f>ROUND(SUMIF(AA152:AA156,"=59552816",X152:X156),2)</f>
        <v>4524.3999999999996</v>
      </c>
      <c r="AL158" s="2">
        <f>ROUND(SUMIF(AA152:AA156,"=59552816",Y152:Y156),2)</f>
        <v>2174.6799999999998</v>
      </c>
      <c r="AM158" s="2"/>
      <c r="AN158" s="2"/>
      <c r="AO158" s="2">
        <f t="shared" ref="AO158:BD158" si="81">ROUND(BX158,2)</f>
        <v>0</v>
      </c>
      <c r="AP158" s="2">
        <f t="shared" si="81"/>
        <v>0</v>
      </c>
      <c r="AQ158" s="2">
        <f t="shared" si="81"/>
        <v>0</v>
      </c>
      <c r="AR158" s="2">
        <f t="shared" si="81"/>
        <v>15493.96</v>
      </c>
      <c r="AS158" s="2">
        <f t="shared" si="81"/>
        <v>15493.96</v>
      </c>
      <c r="AT158" s="2">
        <f t="shared" si="81"/>
        <v>0</v>
      </c>
      <c r="AU158" s="2">
        <f t="shared" si="81"/>
        <v>0</v>
      </c>
      <c r="AV158" s="2">
        <f t="shared" si="81"/>
        <v>2608.2600000000002</v>
      </c>
      <c r="AW158" s="2">
        <f t="shared" si="81"/>
        <v>2608.2600000000002</v>
      </c>
      <c r="AX158" s="2">
        <f t="shared" si="81"/>
        <v>0</v>
      </c>
      <c r="AY158" s="2">
        <f t="shared" si="81"/>
        <v>2608.2600000000002</v>
      </c>
      <c r="AZ158" s="2">
        <f t="shared" si="81"/>
        <v>0</v>
      </c>
      <c r="BA158" s="2">
        <f t="shared" si="81"/>
        <v>0</v>
      </c>
      <c r="BB158" s="2">
        <f t="shared" si="81"/>
        <v>0</v>
      </c>
      <c r="BC158" s="2">
        <f t="shared" si="81"/>
        <v>0</v>
      </c>
      <c r="BD158" s="2">
        <f t="shared" si="81"/>
        <v>1111.47</v>
      </c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>
        <f>ROUND(SUMIF(AA152:AA156,"=59552816",FQ152:FQ156),2)</f>
        <v>0</v>
      </c>
      <c r="BY158" s="2">
        <f>ROUND(SUMIF(AA152:AA156,"=59552816",FR152:FR156),2)</f>
        <v>0</v>
      </c>
      <c r="BZ158" s="2">
        <f>ROUND(SUMIF(AA152:AA156,"=59552816",GL152:GL156),2)</f>
        <v>0</v>
      </c>
      <c r="CA158" s="2">
        <f>ROUND(SUMIF(AA152:AA156,"=59552816",GM152:GM156),2)</f>
        <v>15493.96</v>
      </c>
      <c r="CB158" s="2">
        <f>ROUND(SUMIF(AA152:AA156,"=59552816",GN152:GN156),2)</f>
        <v>15493.96</v>
      </c>
      <c r="CC158" s="2">
        <f>ROUND(SUMIF(AA152:AA156,"=59552816",GO152:GO156),2)</f>
        <v>0</v>
      </c>
      <c r="CD158" s="2">
        <f>ROUND(SUMIF(AA152:AA156,"=59552816",GP152:GP156),2)</f>
        <v>0</v>
      </c>
      <c r="CE158" s="2">
        <f>AC158-BX158</f>
        <v>2608.2600000000002</v>
      </c>
      <c r="CF158" s="2">
        <f>AC158-BY158</f>
        <v>2608.2600000000002</v>
      </c>
      <c r="CG158" s="2">
        <f>BX158-BZ158</f>
        <v>0</v>
      </c>
      <c r="CH158" s="2">
        <f>AC158-BX158-BY158+BZ158</f>
        <v>2608.2600000000002</v>
      </c>
      <c r="CI158" s="2">
        <f>BY158-BZ158</f>
        <v>0</v>
      </c>
      <c r="CJ158" s="2">
        <f>ROUND(SUMIF(AA152:AA156,"=59552816",GX152:GX156),2)</f>
        <v>0</v>
      </c>
      <c r="CK158" s="2">
        <f>ROUND(SUMIF(AA152:AA156,"=59552816",GY152:GY156),2)</f>
        <v>0</v>
      </c>
      <c r="CL158" s="2">
        <f>ROUND(SUMIF(AA152:AA156,"=59552816",GZ152:GZ156),2)</f>
        <v>0</v>
      </c>
      <c r="CM158" s="2">
        <f>ROUND(SUMIF(AA152:AA156,"=59552816",HD152:HD156),2)</f>
        <v>1111.47</v>
      </c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>
        <v>0</v>
      </c>
    </row>
    <row r="160" spans="1:245" x14ac:dyDescent="0.2">
      <c r="A160" s="4">
        <v>50</v>
      </c>
      <c r="B160" s="4">
        <v>0</v>
      </c>
      <c r="C160" s="4">
        <v>0</v>
      </c>
      <c r="D160" s="4">
        <v>1</v>
      </c>
      <c r="E160" s="4">
        <v>201</v>
      </c>
      <c r="F160" s="4">
        <f>ROUND(Source!O158,O160)</f>
        <v>7683.41</v>
      </c>
      <c r="G160" s="4" t="s">
        <v>104</v>
      </c>
      <c r="H160" s="4" t="s">
        <v>105</v>
      </c>
      <c r="I160" s="4"/>
      <c r="J160" s="4"/>
      <c r="K160" s="4">
        <v>201</v>
      </c>
      <c r="L160" s="4">
        <v>1</v>
      </c>
      <c r="M160" s="4">
        <v>3</v>
      </c>
      <c r="N160" s="4" t="s">
        <v>3</v>
      </c>
      <c r="O160" s="4">
        <v>2</v>
      </c>
      <c r="P160" s="4"/>
      <c r="Q160" s="4"/>
      <c r="R160" s="4"/>
      <c r="S160" s="4"/>
      <c r="T160" s="4"/>
      <c r="U160" s="4"/>
      <c r="V160" s="4"/>
      <c r="W160" s="4">
        <v>8794.8799999999992</v>
      </c>
      <c r="X160" s="4">
        <v>1</v>
      </c>
      <c r="Y160" s="4">
        <v>8794.8799999999992</v>
      </c>
      <c r="Z160" s="4"/>
      <c r="AA160" s="4"/>
      <c r="AB160" s="4"/>
    </row>
    <row r="161" spans="1:28" x14ac:dyDescent="0.2">
      <c r="A161" s="4">
        <v>50</v>
      </c>
      <c r="B161" s="4">
        <v>0</v>
      </c>
      <c r="C161" s="4">
        <v>0</v>
      </c>
      <c r="D161" s="4">
        <v>1</v>
      </c>
      <c r="E161" s="4">
        <v>202</v>
      </c>
      <c r="F161" s="4">
        <f>ROUND(Source!P158,O161)</f>
        <v>2608.2600000000002</v>
      </c>
      <c r="G161" s="4" t="s">
        <v>106</v>
      </c>
      <c r="H161" s="4" t="s">
        <v>107</v>
      </c>
      <c r="I161" s="4"/>
      <c r="J161" s="4"/>
      <c r="K161" s="4">
        <v>202</v>
      </c>
      <c r="L161" s="4">
        <v>2</v>
      </c>
      <c r="M161" s="4">
        <v>3</v>
      </c>
      <c r="N161" s="4" t="s">
        <v>3</v>
      </c>
      <c r="O161" s="4">
        <v>2</v>
      </c>
      <c r="P161" s="4"/>
      <c r="Q161" s="4"/>
      <c r="R161" s="4"/>
      <c r="S161" s="4"/>
      <c r="T161" s="4"/>
      <c r="U161" s="4"/>
      <c r="V161" s="4"/>
      <c r="W161" s="4">
        <v>2608.2600000000002</v>
      </c>
      <c r="X161" s="4">
        <v>1</v>
      </c>
      <c r="Y161" s="4">
        <v>2608.2600000000002</v>
      </c>
      <c r="Z161" s="4"/>
      <c r="AA161" s="4"/>
      <c r="AB161" s="4"/>
    </row>
    <row r="162" spans="1:28" x14ac:dyDescent="0.2">
      <c r="A162" s="4">
        <v>50</v>
      </c>
      <c r="B162" s="4">
        <v>0</v>
      </c>
      <c r="C162" s="4">
        <v>0</v>
      </c>
      <c r="D162" s="4">
        <v>1</v>
      </c>
      <c r="E162" s="4">
        <v>222</v>
      </c>
      <c r="F162" s="4">
        <f>ROUND(Source!AO158,O162)</f>
        <v>0</v>
      </c>
      <c r="G162" s="4" t="s">
        <v>108</v>
      </c>
      <c r="H162" s="4" t="s">
        <v>109</v>
      </c>
      <c r="I162" s="4"/>
      <c r="J162" s="4"/>
      <c r="K162" s="4">
        <v>222</v>
      </c>
      <c r="L162" s="4">
        <v>3</v>
      </c>
      <c r="M162" s="4">
        <v>3</v>
      </c>
      <c r="N162" s="4" t="s">
        <v>3</v>
      </c>
      <c r="O162" s="4">
        <v>2</v>
      </c>
      <c r="P162" s="4"/>
      <c r="Q162" s="4"/>
      <c r="R162" s="4"/>
      <c r="S162" s="4"/>
      <c r="T162" s="4"/>
      <c r="U162" s="4"/>
      <c r="V162" s="4"/>
      <c r="W162" s="4">
        <v>0</v>
      </c>
      <c r="X162" s="4">
        <v>1</v>
      </c>
      <c r="Y162" s="4">
        <v>0</v>
      </c>
      <c r="Z162" s="4"/>
      <c r="AA162" s="4"/>
      <c r="AB162" s="4"/>
    </row>
    <row r="163" spans="1:28" x14ac:dyDescent="0.2">
      <c r="A163" s="4">
        <v>50</v>
      </c>
      <c r="B163" s="4">
        <v>0</v>
      </c>
      <c r="C163" s="4">
        <v>0</v>
      </c>
      <c r="D163" s="4">
        <v>1</v>
      </c>
      <c r="E163" s="4">
        <v>225</v>
      </c>
      <c r="F163" s="4">
        <f>ROUND(Source!AV158,O163)</f>
        <v>2608.2600000000002</v>
      </c>
      <c r="G163" s="4" t="s">
        <v>110</v>
      </c>
      <c r="H163" s="4" t="s">
        <v>111</v>
      </c>
      <c r="I163" s="4"/>
      <c r="J163" s="4"/>
      <c r="K163" s="4">
        <v>225</v>
      </c>
      <c r="L163" s="4">
        <v>4</v>
      </c>
      <c r="M163" s="4">
        <v>3</v>
      </c>
      <c r="N163" s="4" t="s">
        <v>3</v>
      </c>
      <c r="O163" s="4">
        <v>2</v>
      </c>
      <c r="P163" s="4"/>
      <c r="Q163" s="4"/>
      <c r="R163" s="4"/>
      <c r="S163" s="4"/>
      <c r="T163" s="4"/>
      <c r="U163" s="4"/>
      <c r="V163" s="4"/>
      <c r="W163" s="4">
        <v>2608.2600000000002</v>
      </c>
      <c r="X163" s="4">
        <v>1</v>
      </c>
      <c r="Y163" s="4">
        <v>2608.2600000000002</v>
      </c>
      <c r="Z163" s="4"/>
      <c r="AA163" s="4"/>
      <c r="AB163" s="4"/>
    </row>
    <row r="164" spans="1:28" x14ac:dyDescent="0.2">
      <c r="A164" s="4">
        <v>50</v>
      </c>
      <c r="B164" s="4">
        <v>0</v>
      </c>
      <c r="C164" s="4">
        <v>0</v>
      </c>
      <c r="D164" s="4">
        <v>1</v>
      </c>
      <c r="E164" s="4">
        <v>226</v>
      </c>
      <c r="F164" s="4">
        <f>ROUND(Source!AW158,O164)</f>
        <v>2608.2600000000002</v>
      </c>
      <c r="G164" s="4" t="s">
        <v>112</v>
      </c>
      <c r="H164" s="4" t="s">
        <v>113</v>
      </c>
      <c r="I164" s="4"/>
      <c r="J164" s="4"/>
      <c r="K164" s="4">
        <v>226</v>
      </c>
      <c r="L164" s="4">
        <v>5</v>
      </c>
      <c r="M164" s="4">
        <v>3</v>
      </c>
      <c r="N164" s="4" t="s">
        <v>3</v>
      </c>
      <c r="O164" s="4">
        <v>2</v>
      </c>
      <c r="P164" s="4"/>
      <c r="Q164" s="4"/>
      <c r="R164" s="4"/>
      <c r="S164" s="4"/>
      <c r="T164" s="4"/>
      <c r="U164" s="4"/>
      <c r="V164" s="4"/>
      <c r="W164" s="4">
        <v>2608.2600000000002</v>
      </c>
      <c r="X164" s="4">
        <v>1</v>
      </c>
      <c r="Y164" s="4">
        <v>2608.2600000000002</v>
      </c>
      <c r="Z164" s="4"/>
      <c r="AA164" s="4"/>
      <c r="AB164" s="4"/>
    </row>
    <row r="165" spans="1:28" x14ac:dyDescent="0.2">
      <c r="A165" s="4">
        <v>50</v>
      </c>
      <c r="B165" s="4">
        <v>0</v>
      </c>
      <c r="C165" s="4">
        <v>0</v>
      </c>
      <c r="D165" s="4">
        <v>1</v>
      </c>
      <c r="E165" s="4">
        <v>227</v>
      </c>
      <c r="F165" s="4">
        <f>ROUND(Source!AX158,O165)</f>
        <v>0</v>
      </c>
      <c r="G165" s="4" t="s">
        <v>114</v>
      </c>
      <c r="H165" s="4" t="s">
        <v>115</v>
      </c>
      <c r="I165" s="4"/>
      <c r="J165" s="4"/>
      <c r="K165" s="4">
        <v>227</v>
      </c>
      <c r="L165" s="4">
        <v>6</v>
      </c>
      <c r="M165" s="4">
        <v>3</v>
      </c>
      <c r="N165" s="4" t="s">
        <v>3</v>
      </c>
      <c r="O165" s="4">
        <v>2</v>
      </c>
      <c r="P165" s="4"/>
      <c r="Q165" s="4"/>
      <c r="R165" s="4"/>
      <c r="S165" s="4"/>
      <c r="T165" s="4"/>
      <c r="U165" s="4"/>
      <c r="V165" s="4"/>
      <c r="W165" s="4">
        <v>0</v>
      </c>
      <c r="X165" s="4">
        <v>1</v>
      </c>
      <c r="Y165" s="4">
        <v>0</v>
      </c>
      <c r="Z165" s="4"/>
      <c r="AA165" s="4"/>
      <c r="AB165" s="4"/>
    </row>
    <row r="166" spans="1:28" x14ac:dyDescent="0.2">
      <c r="A166" s="4">
        <v>50</v>
      </c>
      <c r="B166" s="4">
        <v>0</v>
      </c>
      <c r="C166" s="4">
        <v>0</v>
      </c>
      <c r="D166" s="4">
        <v>1</v>
      </c>
      <c r="E166" s="4">
        <v>228</v>
      </c>
      <c r="F166" s="4">
        <f>ROUND(Source!AY158,O166)</f>
        <v>2608.2600000000002</v>
      </c>
      <c r="G166" s="4" t="s">
        <v>116</v>
      </c>
      <c r="H166" s="4" t="s">
        <v>117</v>
      </c>
      <c r="I166" s="4"/>
      <c r="J166" s="4"/>
      <c r="K166" s="4">
        <v>228</v>
      </c>
      <c r="L166" s="4">
        <v>7</v>
      </c>
      <c r="M166" s="4">
        <v>3</v>
      </c>
      <c r="N166" s="4" t="s">
        <v>3</v>
      </c>
      <c r="O166" s="4">
        <v>2</v>
      </c>
      <c r="P166" s="4"/>
      <c r="Q166" s="4"/>
      <c r="R166" s="4"/>
      <c r="S166" s="4"/>
      <c r="T166" s="4"/>
      <c r="U166" s="4"/>
      <c r="V166" s="4"/>
      <c r="W166" s="4">
        <v>2608.2600000000002</v>
      </c>
      <c r="X166" s="4">
        <v>1</v>
      </c>
      <c r="Y166" s="4">
        <v>2608.2600000000002</v>
      </c>
      <c r="Z166" s="4"/>
      <c r="AA166" s="4"/>
      <c r="AB166" s="4"/>
    </row>
    <row r="167" spans="1:28" x14ac:dyDescent="0.2">
      <c r="A167" s="4">
        <v>50</v>
      </c>
      <c r="B167" s="4">
        <v>0</v>
      </c>
      <c r="C167" s="4">
        <v>0</v>
      </c>
      <c r="D167" s="4">
        <v>1</v>
      </c>
      <c r="E167" s="4">
        <v>216</v>
      </c>
      <c r="F167" s="4">
        <f>ROUND(Source!AP158,O167)</f>
        <v>0</v>
      </c>
      <c r="G167" s="4" t="s">
        <v>118</v>
      </c>
      <c r="H167" s="4" t="s">
        <v>119</v>
      </c>
      <c r="I167" s="4"/>
      <c r="J167" s="4"/>
      <c r="K167" s="4">
        <v>216</v>
      </c>
      <c r="L167" s="4">
        <v>8</v>
      </c>
      <c r="M167" s="4">
        <v>3</v>
      </c>
      <c r="N167" s="4" t="s">
        <v>3</v>
      </c>
      <c r="O167" s="4">
        <v>2</v>
      </c>
      <c r="P167" s="4"/>
      <c r="Q167" s="4"/>
      <c r="R167" s="4"/>
      <c r="S167" s="4"/>
      <c r="T167" s="4"/>
      <c r="U167" s="4"/>
      <c r="V167" s="4"/>
      <c r="W167" s="4">
        <v>0</v>
      </c>
      <c r="X167" s="4">
        <v>1</v>
      </c>
      <c r="Y167" s="4">
        <v>0</v>
      </c>
      <c r="Z167" s="4"/>
      <c r="AA167" s="4"/>
      <c r="AB167" s="4"/>
    </row>
    <row r="168" spans="1:28" x14ac:dyDescent="0.2">
      <c r="A168" s="4">
        <v>50</v>
      </c>
      <c r="B168" s="4">
        <v>0</v>
      </c>
      <c r="C168" s="4">
        <v>0</v>
      </c>
      <c r="D168" s="4">
        <v>1</v>
      </c>
      <c r="E168" s="4">
        <v>223</v>
      </c>
      <c r="F168" s="4">
        <f>ROUND(Source!AQ158,O168)</f>
        <v>0</v>
      </c>
      <c r="G168" s="4" t="s">
        <v>120</v>
      </c>
      <c r="H168" s="4" t="s">
        <v>121</v>
      </c>
      <c r="I168" s="4"/>
      <c r="J168" s="4"/>
      <c r="K168" s="4">
        <v>223</v>
      </c>
      <c r="L168" s="4">
        <v>9</v>
      </c>
      <c r="M168" s="4">
        <v>3</v>
      </c>
      <c r="N168" s="4" t="s">
        <v>3</v>
      </c>
      <c r="O168" s="4">
        <v>2</v>
      </c>
      <c r="P168" s="4"/>
      <c r="Q168" s="4"/>
      <c r="R168" s="4"/>
      <c r="S168" s="4"/>
      <c r="T168" s="4"/>
      <c r="U168" s="4"/>
      <c r="V168" s="4"/>
      <c r="W168" s="4">
        <v>0</v>
      </c>
      <c r="X168" s="4">
        <v>1</v>
      </c>
      <c r="Y168" s="4">
        <v>0</v>
      </c>
      <c r="Z168" s="4"/>
      <c r="AA168" s="4"/>
      <c r="AB168" s="4"/>
    </row>
    <row r="169" spans="1:28" x14ac:dyDescent="0.2">
      <c r="A169" s="4">
        <v>50</v>
      </c>
      <c r="B169" s="4">
        <v>0</v>
      </c>
      <c r="C169" s="4">
        <v>0</v>
      </c>
      <c r="D169" s="4">
        <v>1</v>
      </c>
      <c r="E169" s="4">
        <v>229</v>
      </c>
      <c r="F169" s="4">
        <f>ROUND(Source!AZ158,O169)</f>
        <v>0</v>
      </c>
      <c r="G169" s="4" t="s">
        <v>122</v>
      </c>
      <c r="H169" s="4" t="s">
        <v>123</v>
      </c>
      <c r="I169" s="4"/>
      <c r="J169" s="4"/>
      <c r="K169" s="4">
        <v>229</v>
      </c>
      <c r="L169" s="4">
        <v>10</v>
      </c>
      <c r="M169" s="4">
        <v>3</v>
      </c>
      <c r="N169" s="4" t="s">
        <v>3</v>
      </c>
      <c r="O169" s="4">
        <v>2</v>
      </c>
      <c r="P169" s="4"/>
      <c r="Q169" s="4"/>
      <c r="R169" s="4"/>
      <c r="S169" s="4"/>
      <c r="T169" s="4"/>
      <c r="U169" s="4"/>
      <c r="V169" s="4"/>
      <c r="W169" s="4">
        <v>0</v>
      </c>
      <c r="X169" s="4">
        <v>1</v>
      </c>
      <c r="Y169" s="4">
        <v>0</v>
      </c>
      <c r="Z169" s="4"/>
      <c r="AA169" s="4"/>
      <c r="AB169" s="4"/>
    </row>
    <row r="170" spans="1:28" x14ac:dyDescent="0.2">
      <c r="A170" s="4">
        <v>50</v>
      </c>
      <c r="B170" s="4">
        <v>0</v>
      </c>
      <c r="C170" s="4">
        <v>0</v>
      </c>
      <c r="D170" s="4">
        <v>1</v>
      </c>
      <c r="E170" s="4">
        <v>203</v>
      </c>
      <c r="F170" s="4">
        <f>ROUND(Source!Q158,O170)</f>
        <v>390.08</v>
      </c>
      <c r="G170" s="4" t="s">
        <v>124</v>
      </c>
      <c r="H170" s="4" t="s">
        <v>125</v>
      </c>
      <c r="I170" s="4"/>
      <c r="J170" s="4"/>
      <c r="K170" s="4">
        <v>203</v>
      </c>
      <c r="L170" s="4">
        <v>11</v>
      </c>
      <c r="M170" s="4">
        <v>3</v>
      </c>
      <c r="N170" s="4" t="s">
        <v>3</v>
      </c>
      <c r="O170" s="4">
        <v>2</v>
      </c>
      <c r="P170" s="4"/>
      <c r="Q170" s="4"/>
      <c r="R170" s="4"/>
      <c r="S170" s="4"/>
      <c r="T170" s="4"/>
      <c r="U170" s="4"/>
      <c r="V170" s="4"/>
      <c r="W170" s="4">
        <v>390.08</v>
      </c>
      <c r="X170" s="4">
        <v>1</v>
      </c>
      <c r="Y170" s="4">
        <v>390.08</v>
      </c>
      <c r="Z170" s="4"/>
      <c r="AA170" s="4"/>
      <c r="AB170" s="4"/>
    </row>
    <row r="171" spans="1:28" x14ac:dyDescent="0.2">
      <c r="A171" s="4">
        <v>50</v>
      </c>
      <c r="B171" s="4">
        <v>0</v>
      </c>
      <c r="C171" s="4">
        <v>0</v>
      </c>
      <c r="D171" s="4">
        <v>1</v>
      </c>
      <c r="E171" s="4">
        <v>231</v>
      </c>
      <c r="F171" s="4">
        <f>ROUND(Source!BB158,O171)</f>
        <v>0</v>
      </c>
      <c r="G171" s="4" t="s">
        <v>126</v>
      </c>
      <c r="H171" s="4" t="s">
        <v>127</v>
      </c>
      <c r="I171" s="4"/>
      <c r="J171" s="4"/>
      <c r="K171" s="4">
        <v>231</v>
      </c>
      <c r="L171" s="4">
        <v>12</v>
      </c>
      <c r="M171" s="4">
        <v>3</v>
      </c>
      <c r="N171" s="4" t="s">
        <v>3</v>
      </c>
      <c r="O171" s="4">
        <v>2</v>
      </c>
      <c r="P171" s="4"/>
      <c r="Q171" s="4"/>
      <c r="R171" s="4"/>
      <c r="S171" s="4"/>
      <c r="T171" s="4"/>
      <c r="U171" s="4"/>
      <c r="V171" s="4"/>
      <c r="W171" s="4">
        <v>0</v>
      </c>
      <c r="X171" s="4">
        <v>1</v>
      </c>
      <c r="Y171" s="4">
        <v>0</v>
      </c>
      <c r="Z171" s="4"/>
      <c r="AA171" s="4"/>
      <c r="AB171" s="4"/>
    </row>
    <row r="172" spans="1:28" x14ac:dyDescent="0.2">
      <c r="A172" s="4">
        <v>50</v>
      </c>
      <c r="B172" s="4">
        <v>0</v>
      </c>
      <c r="C172" s="4">
        <v>0</v>
      </c>
      <c r="D172" s="4">
        <v>1</v>
      </c>
      <c r="E172" s="4">
        <v>204</v>
      </c>
      <c r="F172" s="4">
        <f>ROUND(Source!R158,O172)</f>
        <v>294.26</v>
      </c>
      <c r="G172" s="4" t="s">
        <v>128</v>
      </c>
      <c r="H172" s="4" t="s">
        <v>129</v>
      </c>
      <c r="I172" s="4"/>
      <c r="J172" s="4"/>
      <c r="K172" s="4">
        <v>204</v>
      </c>
      <c r="L172" s="4">
        <v>13</v>
      </c>
      <c r="M172" s="4">
        <v>3</v>
      </c>
      <c r="N172" s="4" t="s">
        <v>3</v>
      </c>
      <c r="O172" s="4">
        <v>2</v>
      </c>
      <c r="P172" s="4"/>
      <c r="Q172" s="4"/>
      <c r="R172" s="4"/>
      <c r="S172" s="4"/>
      <c r="T172" s="4"/>
      <c r="U172" s="4"/>
      <c r="V172" s="4"/>
      <c r="W172" s="4">
        <v>294.26</v>
      </c>
      <c r="X172" s="4">
        <v>1</v>
      </c>
      <c r="Y172" s="4">
        <v>294.26</v>
      </c>
      <c r="Z172" s="4"/>
      <c r="AA172" s="4"/>
      <c r="AB172" s="4"/>
    </row>
    <row r="173" spans="1:28" x14ac:dyDescent="0.2">
      <c r="A173" s="4">
        <v>50</v>
      </c>
      <c r="B173" s="4">
        <v>0</v>
      </c>
      <c r="C173" s="4">
        <v>0</v>
      </c>
      <c r="D173" s="4">
        <v>1</v>
      </c>
      <c r="E173" s="4">
        <v>205</v>
      </c>
      <c r="F173" s="4">
        <f>ROUND(Source!S158,O173)</f>
        <v>4390.8100000000004</v>
      </c>
      <c r="G173" s="4" t="s">
        <v>130</v>
      </c>
      <c r="H173" s="4" t="s">
        <v>131</v>
      </c>
      <c r="I173" s="4"/>
      <c r="J173" s="4"/>
      <c r="K173" s="4">
        <v>205</v>
      </c>
      <c r="L173" s="4">
        <v>14</v>
      </c>
      <c r="M173" s="4">
        <v>3</v>
      </c>
      <c r="N173" s="4" t="s">
        <v>3</v>
      </c>
      <c r="O173" s="4">
        <v>2</v>
      </c>
      <c r="P173" s="4"/>
      <c r="Q173" s="4"/>
      <c r="R173" s="4"/>
      <c r="S173" s="4"/>
      <c r="T173" s="4"/>
      <c r="U173" s="4"/>
      <c r="V173" s="4"/>
      <c r="W173" s="4">
        <v>4390.8099999999995</v>
      </c>
      <c r="X173" s="4">
        <v>1</v>
      </c>
      <c r="Y173" s="4">
        <v>4390.8099999999995</v>
      </c>
      <c r="Z173" s="4"/>
      <c r="AA173" s="4"/>
      <c r="AB173" s="4"/>
    </row>
    <row r="174" spans="1:28" x14ac:dyDescent="0.2">
      <c r="A174" s="4">
        <v>50</v>
      </c>
      <c r="B174" s="4">
        <v>0</v>
      </c>
      <c r="C174" s="4">
        <v>0</v>
      </c>
      <c r="D174" s="4">
        <v>1</v>
      </c>
      <c r="E174" s="4">
        <v>232</v>
      </c>
      <c r="F174" s="4">
        <f>ROUND(Source!BC158,O174)</f>
        <v>0</v>
      </c>
      <c r="G174" s="4" t="s">
        <v>132</v>
      </c>
      <c r="H174" s="4" t="s">
        <v>133</v>
      </c>
      <c r="I174" s="4"/>
      <c r="J174" s="4"/>
      <c r="K174" s="4">
        <v>232</v>
      </c>
      <c r="L174" s="4">
        <v>15</v>
      </c>
      <c r="M174" s="4">
        <v>3</v>
      </c>
      <c r="N174" s="4" t="s">
        <v>3</v>
      </c>
      <c r="O174" s="4">
        <v>2</v>
      </c>
      <c r="P174" s="4"/>
      <c r="Q174" s="4"/>
      <c r="R174" s="4"/>
      <c r="S174" s="4"/>
      <c r="T174" s="4"/>
      <c r="U174" s="4"/>
      <c r="V174" s="4"/>
      <c r="W174" s="4">
        <v>0</v>
      </c>
      <c r="X174" s="4">
        <v>1</v>
      </c>
      <c r="Y174" s="4">
        <v>0</v>
      </c>
      <c r="Z174" s="4"/>
      <c r="AA174" s="4"/>
      <c r="AB174" s="4"/>
    </row>
    <row r="175" spans="1:28" x14ac:dyDescent="0.2">
      <c r="A175" s="4">
        <v>50</v>
      </c>
      <c r="B175" s="4">
        <v>0</v>
      </c>
      <c r="C175" s="4">
        <v>0</v>
      </c>
      <c r="D175" s="4">
        <v>1</v>
      </c>
      <c r="E175" s="4">
        <v>214</v>
      </c>
      <c r="F175" s="4">
        <f>ROUND(Source!AS158,O175)</f>
        <v>15493.96</v>
      </c>
      <c r="G175" s="4" t="s">
        <v>134</v>
      </c>
      <c r="H175" s="4" t="s">
        <v>135</v>
      </c>
      <c r="I175" s="4"/>
      <c r="J175" s="4"/>
      <c r="K175" s="4">
        <v>214</v>
      </c>
      <c r="L175" s="4">
        <v>16</v>
      </c>
      <c r="M175" s="4">
        <v>3</v>
      </c>
      <c r="N175" s="4" t="s">
        <v>3</v>
      </c>
      <c r="O175" s="4">
        <v>2</v>
      </c>
      <c r="P175" s="4"/>
      <c r="Q175" s="4"/>
      <c r="R175" s="4"/>
      <c r="S175" s="4"/>
      <c r="T175" s="4"/>
      <c r="U175" s="4"/>
      <c r="V175" s="4"/>
      <c r="W175" s="4">
        <v>15493.96</v>
      </c>
      <c r="X175" s="4">
        <v>1</v>
      </c>
      <c r="Y175" s="4">
        <v>15493.96</v>
      </c>
      <c r="Z175" s="4"/>
      <c r="AA175" s="4"/>
      <c r="AB175" s="4"/>
    </row>
    <row r="176" spans="1:28" x14ac:dyDescent="0.2">
      <c r="A176" s="4">
        <v>50</v>
      </c>
      <c r="B176" s="4">
        <v>0</v>
      </c>
      <c r="C176" s="4">
        <v>0</v>
      </c>
      <c r="D176" s="4">
        <v>1</v>
      </c>
      <c r="E176" s="4">
        <v>215</v>
      </c>
      <c r="F176" s="4">
        <f>ROUND(Source!AT158,O176)</f>
        <v>0</v>
      </c>
      <c r="G176" s="4" t="s">
        <v>136</v>
      </c>
      <c r="H176" s="4" t="s">
        <v>137</v>
      </c>
      <c r="I176" s="4"/>
      <c r="J176" s="4"/>
      <c r="K176" s="4">
        <v>215</v>
      </c>
      <c r="L176" s="4">
        <v>17</v>
      </c>
      <c r="M176" s="4">
        <v>3</v>
      </c>
      <c r="N176" s="4" t="s">
        <v>3</v>
      </c>
      <c r="O176" s="4">
        <v>2</v>
      </c>
      <c r="P176" s="4"/>
      <c r="Q176" s="4"/>
      <c r="R176" s="4"/>
      <c r="S176" s="4"/>
      <c r="T176" s="4"/>
      <c r="U176" s="4"/>
      <c r="V176" s="4"/>
      <c r="W176" s="4">
        <v>0</v>
      </c>
      <c r="X176" s="4">
        <v>1</v>
      </c>
      <c r="Y176" s="4">
        <v>0</v>
      </c>
      <c r="Z176" s="4"/>
      <c r="AA176" s="4"/>
      <c r="AB176" s="4"/>
    </row>
    <row r="177" spans="1:206" x14ac:dyDescent="0.2">
      <c r="A177" s="4">
        <v>50</v>
      </c>
      <c r="B177" s="4">
        <v>0</v>
      </c>
      <c r="C177" s="4">
        <v>0</v>
      </c>
      <c r="D177" s="4">
        <v>1</v>
      </c>
      <c r="E177" s="4">
        <v>217</v>
      </c>
      <c r="F177" s="4">
        <f>ROUND(Source!AU158,O177)</f>
        <v>0</v>
      </c>
      <c r="G177" s="4" t="s">
        <v>138</v>
      </c>
      <c r="H177" s="4" t="s">
        <v>139</v>
      </c>
      <c r="I177" s="4"/>
      <c r="J177" s="4"/>
      <c r="K177" s="4">
        <v>217</v>
      </c>
      <c r="L177" s="4">
        <v>18</v>
      </c>
      <c r="M177" s="4">
        <v>3</v>
      </c>
      <c r="N177" s="4" t="s">
        <v>3</v>
      </c>
      <c r="O177" s="4">
        <v>2</v>
      </c>
      <c r="P177" s="4"/>
      <c r="Q177" s="4"/>
      <c r="R177" s="4"/>
      <c r="S177" s="4"/>
      <c r="T177" s="4"/>
      <c r="U177" s="4"/>
      <c r="V177" s="4"/>
      <c r="W177" s="4">
        <v>0</v>
      </c>
      <c r="X177" s="4">
        <v>1</v>
      </c>
      <c r="Y177" s="4">
        <v>0</v>
      </c>
      <c r="Z177" s="4"/>
      <c r="AA177" s="4"/>
      <c r="AB177" s="4"/>
    </row>
    <row r="178" spans="1:206" x14ac:dyDescent="0.2">
      <c r="A178" s="4">
        <v>50</v>
      </c>
      <c r="B178" s="4">
        <v>0</v>
      </c>
      <c r="C178" s="4">
        <v>0</v>
      </c>
      <c r="D178" s="4">
        <v>1</v>
      </c>
      <c r="E178" s="4">
        <v>230</v>
      </c>
      <c r="F178" s="4">
        <f>ROUND(Source!BA158,O178)</f>
        <v>0</v>
      </c>
      <c r="G178" s="4" t="s">
        <v>140</v>
      </c>
      <c r="H178" s="4" t="s">
        <v>141</v>
      </c>
      <c r="I178" s="4"/>
      <c r="J178" s="4"/>
      <c r="K178" s="4">
        <v>230</v>
      </c>
      <c r="L178" s="4">
        <v>19</v>
      </c>
      <c r="M178" s="4">
        <v>3</v>
      </c>
      <c r="N178" s="4" t="s">
        <v>3</v>
      </c>
      <c r="O178" s="4">
        <v>2</v>
      </c>
      <c r="P178" s="4"/>
      <c r="Q178" s="4"/>
      <c r="R178" s="4"/>
      <c r="S178" s="4"/>
      <c r="T178" s="4"/>
      <c r="U178" s="4"/>
      <c r="V178" s="4"/>
      <c r="W178" s="4">
        <v>0</v>
      </c>
      <c r="X178" s="4">
        <v>1</v>
      </c>
      <c r="Y178" s="4">
        <v>0</v>
      </c>
      <c r="Z178" s="4"/>
      <c r="AA178" s="4"/>
      <c r="AB178" s="4"/>
    </row>
    <row r="179" spans="1:206" x14ac:dyDescent="0.2">
      <c r="A179" s="4">
        <v>50</v>
      </c>
      <c r="B179" s="4">
        <v>0</v>
      </c>
      <c r="C179" s="4">
        <v>0</v>
      </c>
      <c r="D179" s="4">
        <v>1</v>
      </c>
      <c r="E179" s="4">
        <v>206</v>
      </c>
      <c r="F179" s="4">
        <f>ROUND(Source!T158,O179)</f>
        <v>0</v>
      </c>
      <c r="G179" s="4" t="s">
        <v>142</v>
      </c>
      <c r="H179" s="4" t="s">
        <v>143</v>
      </c>
      <c r="I179" s="4"/>
      <c r="J179" s="4"/>
      <c r="K179" s="4">
        <v>206</v>
      </c>
      <c r="L179" s="4">
        <v>20</v>
      </c>
      <c r="M179" s="4">
        <v>3</v>
      </c>
      <c r="N179" s="4" t="s">
        <v>3</v>
      </c>
      <c r="O179" s="4">
        <v>2</v>
      </c>
      <c r="P179" s="4"/>
      <c r="Q179" s="4"/>
      <c r="R179" s="4"/>
      <c r="S179" s="4"/>
      <c r="T179" s="4"/>
      <c r="U179" s="4"/>
      <c r="V179" s="4"/>
      <c r="W179" s="4">
        <v>0</v>
      </c>
      <c r="X179" s="4">
        <v>1</v>
      </c>
      <c r="Y179" s="4">
        <v>0</v>
      </c>
      <c r="Z179" s="4"/>
      <c r="AA179" s="4"/>
      <c r="AB179" s="4"/>
    </row>
    <row r="180" spans="1:206" x14ac:dyDescent="0.2">
      <c r="A180" s="4">
        <v>50</v>
      </c>
      <c r="B180" s="4">
        <v>0</v>
      </c>
      <c r="C180" s="4">
        <v>0</v>
      </c>
      <c r="D180" s="4">
        <v>1</v>
      </c>
      <c r="E180" s="4">
        <v>207</v>
      </c>
      <c r="F180" s="4">
        <f>Source!U158</f>
        <v>19.9481</v>
      </c>
      <c r="G180" s="4" t="s">
        <v>144</v>
      </c>
      <c r="H180" s="4" t="s">
        <v>145</v>
      </c>
      <c r="I180" s="4"/>
      <c r="J180" s="4"/>
      <c r="K180" s="4">
        <v>207</v>
      </c>
      <c r="L180" s="4">
        <v>21</v>
      </c>
      <c r="M180" s="4">
        <v>3</v>
      </c>
      <c r="N180" s="4" t="s">
        <v>3</v>
      </c>
      <c r="O180" s="4">
        <v>-1</v>
      </c>
      <c r="P180" s="4"/>
      <c r="Q180" s="4"/>
      <c r="R180" s="4"/>
      <c r="S180" s="4"/>
      <c r="T180" s="4"/>
      <c r="U180" s="4"/>
      <c r="V180" s="4"/>
      <c r="W180" s="4">
        <v>19.9481</v>
      </c>
      <c r="X180" s="4">
        <v>1</v>
      </c>
      <c r="Y180" s="4">
        <v>19.9481</v>
      </c>
      <c r="Z180" s="4"/>
      <c r="AA180" s="4"/>
      <c r="AB180" s="4"/>
    </row>
    <row r="181" spans="1:206" x14ac:dyDescent="0.2">
      <c r="A181" s="4">
        <v>50</v>
      </c>
      <c r="B181" s="4">
        <v>0</v>
      </c>
      <c r="C181" s="4">
        <v>0</v>
      </c>
      <c r="D181" s="4">
        <v>1</v>
      </c>
      <c r="E181" s="4">
        <v>208</v>
      </c>
      <c r="F181" s="4">
        <f>Source!V158</f>
        <v>1.155</v>
      </c>
      <c r="G181" s="4" t="s">
        <v>146</v>
      </c>
      <c r="H181" s="4" t="s">
        <v>147</v>
      </c>
      <c r="I181" s="4"/>
      <c r="J181" s="4"/>
      <c r="K181" s="4">
        <v>208</v>
      </c>
      <c r="L181" s="4">
        <v>22</v>
      </c>
      <c r="M181" s="4">
        <v>3</v>
      </c>
      <c r="N181" s="4" t="s">
        <v>3</v>
      </c>
      <c r="O181" s="4">
        <v>-1</v>
      </c>
      <c r="P181" s="4"/>
      <c r="Q181" s="4"/>
      <c r="R181" s="4"/>
      <c r="S181" s="4"/>
      <c r="T181" s="4"/>
      <c r="U181" s="4"/>
      <c r="V181" s="4"/>
      <c r="W181" s="4">
        <v>1.155</v>
      </c>
      <c r="X181" s="4">
        <v>1</v>
      </c>
      <c r="Y181" s="4">
        <v>1.155</v>
      </c>
      <c r="Z181" s="4"/>
      <c r="AA181" s="4"/>
      <c r="AB181" s="4"/>
    </row>
    <row r="182" spans="1:206" x14ac:dyDescent="0.2">
      <c r="A182" s="4">
        <v>50</v>
      </c>
      <c r="B182" s="4">
        <v>0</v>
      </c>
      <c r="C182" s="4">
        <v>0</v>
      </c>
      <c r="D182" s="4">
        <v>1</v>
      </c>
      <c r="E182" s="4">
        <v>209</v>
      </c>
      <c r="F182" s="4">
        <f>ROUND(Source!W158,O182)</f>
        <v>0</v>
      </c>
      <c r="G182" s="4" t="s">
        <v>148</v>
      </c>
      <c r="H182" s="4" t="s">
        <v>149</v>
      </c>
      <c r="I182" s="4"/>
      <c r="J182" s="4"/>
      <c r="K182" s="4">
        <v>209</v>
      </c>
      <c r="L182" s="4">
        <v>23</v>
      </c>
      <c r="M182" s="4">
        <v>3</v>
      </c>
      <c r="N182" s="4" t="s">
        <v>3</v>
      </c>
      <c r="O182" s="4">
        <v>2</v>
      </c>
      <c r="P182" s="4"/>
      <c r="Q182" s="4"/>
      <c r="R182" s="4"/>
      <c r="S182" s="4"/>
      <c r="T182" s="4"/>
      <c r="U182" s="4"/>
      <c r="V182" s="4"/>
      <c r="W182" s="4">
        <v>0</v>
      </c>
      <c r="X182" s="4">
        <v>1</v>
      </c>
      <c r="Y182" s="4">
        <v>0</v>
      </c>
      <c r="Z182" s="4"/>
      <c r="AA182" s="4"/>
      <c r="AB182" s="4"/>
    </row>
    <row r="183" spans="1:206" x14ac:dyDescent="0.2">
      <c r="A183" s="4">
        <v>50</v>
      </c>
      <c r="B183" s="4">
        <v>0</v>
      </c>
      <c r="C183" s="4">
        <v>0</v>
      </c>
      <c r="D183" s="4">
        <v>1</v>
      </c>
      <c r="E183" s="4">
        <v>233</v>
      </c>
      <c r="F183" s="4">
        <f>ROUND(Source!BD158,O183)</f>
        <v>1111.47</v>
      </c>
      <c r="G183" s="4" t="s">
        <v>150</v>
      </c>
      <c r="H183" s="4" t="s">
        <v>151</v>
      </c>
      <c r="I183" s="4"/>
      <c r="J183" s="4"/>
      <c r="K183" s="4">
        <v>233</v>
      </c>
      <c r="L183" s="4">
        <v>24</v>
      </c>
      <c r="M183" s="4">
        <v>3</v>
      </c>
      <c r="N183" s="4" t="s">
        <v>3</v>
      </c>
      <c r="O183" s="4">
        <v>2</v>
      </c>
      <c r="P183" s="4"/>
      <c r="Q183" s="4"/>
      <c r="R183" s="4"/>
      <c r="S183" s="4"/>
      <c r="T183" s="4"/>
      <c r="U183" s="4"/>
      <c r="V183" s="4"/>
      <c r="W183" s="4">
        <v>1111.47</v>
      </c>
      <c r="X183" s="4">
        <v>1</v>
      </c>
      <c r="Y183" s="4">
        <v>1111.47</v>
      </c>
      <c r="Z183" s="4"/>
      <c r="AA183" s="4"/>
      <c r="AB183" s="4"/>
    </row>
    <row r="184" spans="1:206" x14ac:dyDescent="0.2">
      <c r="A184" s="4">
        <v>50</v>
      </c>
      <c r="B184" s="4">
        <v>0</v>
      </c>
      <c r="C184" s="4">
        <v>0</v>
      </c>
      <c r="D184" s="4">
        <v>1</v>
      </c>
      <c r="E184" s="4">
        <v>210</v>
      </c>
      <c r="F184" s="4">
        <f>ROUND(Source!X158,O184)</f>
        <v>4524.3999999999996</v>
      </c>
      <c r="G184" s="4" t="s">
        <v>152</v>
      </c>
      <c r="H184" s="4" t="s">
        <v>153</v>
      </c>
      <c r="I184" s="4"/>
      <c r="J184" s="4"/>
      <c r="K184" s="4">
        <v>210</v>
      </c>
      <c r="L184" s="4">
        <v>25</v>
      </c>
      <c r="M184" s="4">
        <v>3</v>
      </c>
      <c r="N184" s="4" t="s">
        <v>3</v>
      </c>
      <c r="O184" s="4">
        <v>2</v>
      </c>
      <c r="P184" s="4"/>
      <c r="Q184" s="4"/>
      <c r="R184" s="4"/>
      <c r="S184" s="4"/>
      <c r="T184" s="4"/>
      <c r="U184" s="4"/>
      <c r="V184" s="4"/>
      <c r="W184" s="4">
        <v>4524.3999999999996</v>
      </c>
      <c r="X184" s="4">
        <v>1</v>
      </c>
      <c r="Y184" s="4">
        <v>4524.3999999999996</v>
      </c>
      <c r="Z184" s="4"/>
      <c r="AA184" s="4"/>
      <c r="AB184" s="4"/>
    </row>
    <row r="185" spans="1:206" x14ac:dyDescent="0.2">
      <c r="A185" s="4">
        <v>50</v>
      </c>
      <c r="B185" s="4">
        <v>0</v>
      </c>
      <c r="C185" s="4">
        <v>0</v>
      </c>
      <c r="D185" s="4">
        <v>1</v>
      </c>
      <c r="E185" s="4">
        <v>211</v>
      </c>
      <c r="F185" s="4">
        <f>ROUND(Source!Y158,O185)</f>
        <v>2174.6799999999998</v>
      </c>
      <c r="G185" s="4" t="s">
        <v>154</v>
      </c>
      <c r="H185" s="4" t="s">
        <v>155</v>
      </c>
      <c r="I185" s="4"/>
      <c r="J185" s="4"/>
      <c r="K185" s="4">
        <v>211</v>
      </c>
      <c r="L185" s="4">
        <v>26</v>
      </c>
      <c r="M185" s="4">
        <v>3</v>
      </c>
      <c r="N185" s="4" t="s">
        <v>3</v>
      </c>
      <c r="O185" s="4">
        <v>2</v>
      </c>
      <c r="P185" s="4"/>
      <c r="Q185" s="4"/>
      <c r="R185" s="4"/>
      <c r="S185" s="4"/>
      <c r="T185" s="4"/>
      <c r="U185" s="4"/>
      <c r="V185" s="4"/>
      <c r="W185" s="4">
        <v>2174.6799999999998</v>
      </c>
      <c r="X185" s="4">
        <v>1</v>
      </c>
      <c r="Y185" s="4">
        <v>2174.6799999999998</v>
      </c>
      <c r="Z185" s="4"/>
      <c r="AA185" s="4"/>
      <c r="AB185" s="4"/>
    </row>
    <row r="186" spans="1:206" x14ac:dyDescent="0.2">
      <c r="A186" s="4">
        <v>50</v>
      </c>
      <c r="B186" s="4">
        <v>0</v>
      </c>
      <c r="C186" s="4">
        <v>0</v>
      </c>
      <c r="D186" s="4">
        <v>1</v>
      </c>
      <c r="E186" s="4">
        <v>224</v>
      </c>
      <c r="F186" s="4">
        <f>ROUND(Source!AR158,O186)</f>
        <v>15493.96</v>
      </c>
      <c r="G186" s="4" t="s">
        <v>156</v>
      </c>
      <c r="H186" s="4" t="s">
        <v>157</v>
      </c>
      <c r="I186" s="4"/>
      <c r="J186" s="4"/>
      <c r="K186" s="4">
        <v>224</v>
      </c>
      <c r="L186" s="4">
        <v>27</v>
      </c>
      <c r="M186" s="4">
        <v>3</v>
      </c>
      <c r="N186" s="4" t="s">
        <v>3</v>
      </c>
      <c r="O186" s="4">
        <v>2</v>
      </c>
      <c r="P186" s="4"/>
      <c r="Q186" s="4"/>
      <c r="R186" s="4"/>
      <c r="S186" s="4"/>
      <c r="T186" s="4"/>
      <c r="U186" s="4"/>
      <c r="V186" s="4"/>
      <c r="W186" s="4">
        <v>15493.96</v>
      </c>
      <c r="X186" s="4">
        <v>1</v>
      </c>
      <c r="Y186" s="4">
        <v>15493.96</v>
      </c>
      <c r="Z186" s="4"/>
      <c r="AA186" s="4"/>
      <c r="AB186" s="4"/>
    </row>
    <row r="188" spans="1:206" x14ac:dyDescent="0.2">
      <c r="A188" s="2">
        <v>51</v>
      </c>
      <c r="B188" s="2">
        <f>B20</f>
        <v>1</v>
      </c>
      <c r="C188" s="2">
        <f>A20</f>
        <v>3</v>
      </c>
      <c r="D188" s="2">
        <f>ROW(A20)</f>
        <v>20</v>
      </c>
      <c r="E188" s="2"/>
      <c r="F188" s="2" t="str">
        <f>IF(F20&lt;&gt;"",F20,"")</f>
        <v/>
      </c>
      <c r="G188" s="2" t="str">
        <f>IF(G20&lt;&gt;"",G20,"")</f>
        <v>Новая локальная смета</v>
      </c>
      <c r="H188" s="2">
        <v>0</v>
      </c>
      <c r="I188" s="2"/>
      <c r="J188" s="2"/>
      <c r="K188" s="2"/>
      <c r="L188" s="2"/>
      <c r="M188" s="2"/>
      <c r="N188" s="2"/>
      <c r="O188" s="2">
        <f t="shared" ref="O188:T188" si="82">ROUND(O45+O82+O118+O158+AB188,2)</f>
        <v>210633.82</v>
      </c>
      <c r="P188" s="2">
        <f t="shared" si="82"/>
        <v>129838.11</v>
      </c>
      <c r="Q188" s="2">
        <f t="shared" si="82"/>
        <v>840.39</v>
      </c>
      <c r="R188" s="2">
        <f t="shared" si="82"/>
        <v>520.04</v>
      </c>
      <c r="S188" s="2">
        <f t="shared" si="82"/>
        <v>79435.28</v>
      </c>
      <c r="T188" s="2">
        <f t="shared" si="82"/>
        <v>0</v>
      </c>
      <c r="U188" s="2">
        <f>U45+U82+U118+U158+AH188</f>
        <v>336.12007495</v>
      </c>
      <c r="V188" s="2">
        <f>V45+V82+V118+V158+AI188</f>
        <v>1.9966502500000001</v>
      </c>
      <c r="W188" s="2">
        <f>ROUND(W45+W82+W118+W158+AJ188,2)</f>
        <v>0</v>
      </c>
      <c r="X188" s="2">
        <f>ROUND(X45+X82+X118+X158+AK188,2)</f>
        <v>74915.31</v>
      </c>
      <c r="Y188" s="2">
        <f>ROUND(Y45+Y82+Y118+Y158+AL188,2)</f>
        <v>38339.4</v>
      </c>
      <c r="Z188" s="2"/>
      <c r="AA188" s="2"/>
      <c r="AB188" s="2">
        <f>ROUND(SUMIF(AA24:AA27,"=59552816",O24:O27),2)</f>
        <v>88443.87</v>
      </c>
      <c r="AC188" s="2">
        <f>ROUND(SUMIF(AA24:AA27,"=59552816",P24:P27),2)</f>
        <v>80618.039999999994</v>
      </c>
      <c r="AD188" s="2">
        <f>ROUND(SUMIF(AA24:AA27,"=59552816",Q24:Q27),2)</f>
        <v>78.819999999999993</v>
      </c>
      <c r="AE188" s="2">
        <f>ROUND(SUMIF(AA24:AA27,"=59552816",R24:R27),2)</f>
        <v>39.44</v>
      </c>
      <c r="AF188" s="2">
        <f>ROUND(SUMIF(AA24:AA27,"=59552816",S24:S27),2)</f>
        <v>7707.57</v>
      </c>
      <c r="AG188" s="2">
        <f>ROUND(SUMIF(AA24:AA27,"=59552816",T24:T27),2)</f>
        <v>0</v>
      </c>
      <c r="AH188" s="2">
        <f>SUMIF(AA24:AA27,"=59552816",U24:U27)</f>
        <v>32.407093000000003</v>
      </c>
      <c r="AI188" s="2">
        <f>SUMIF(AA24:AA27,"=59552816",V24:V27)</f>
        <v>0.14995000000000003</v>
      </c>
      <c r="AJ188" s="2">
        <f>ROUND(SUMIF(AA24:AA27,"=59552816",W24:W27),2)</f>
        <v>0</v>
      </c>
      <c r="AK188" s="2">
        <f>ROUND(SUMIF(AA24:AA27,"=59552816",X24:X27),2)</f>
        <v>8089.77</v>
      </c>
      <c r="AL188" s="2">
        <f>ROUND(SUMIF(AA24:AA27,"=59552816",Y24:Y27),2)</f>
        <v>4535.66</v>
      </c>
      <c r="AM188" s="2"/>
      <c r="AN188" s="2"/>
      <c r="AO188" s="2">
        <f t="shared" ref="AO188:BD188" si="83">ROUND(AO45+AO82+AO118+AO158+BX188,2)</f>
        <v>0</v>
      </c>
      <c r="AP188" s="2">
        <f t="shared" si="83"/>
        <v>0</v>
      </c>
      <c r="AQ188" s="2">
        <f t="shared" si="83"/>
        <v>0</v>
      </c>
      <c r="AR188" s="2">
        <f t="shared" si="83"/>
        <v>325000</v>
      </c>
      <c r="AS188" s="2">
        <f t="shared" si="83"/>
        <v>302909.68</v>
      </c>
      <c r="AT188" s="2">
        <f t="shared" si="83"/>
        <v>22090.32</v>
      </c>
      <c r="AU188" s="2">
        <f t="shared" si="83"/>
        <v>0</v>
      </c>
      <c r="AV188" s="2">
        <f t="shared" si="83"/>
        <v>129838.11</v>
      </c>
      <c r="AW188" s="2">
        <f t="shared" si="83"/>
        <v>129838.11</v>
      </c>
      <c r="AX188" s="2">
        <f t="shared" si="83"/>
        <v>0</v>
      </c>
      <c r="AY188" s="2">
        <f t="shared" si="83"/>
        <v>129838.11</v>
      </c>
      <c r="AZ188" s="2">
        <f t="shared" si="83"/>
        <v>0</v>
      </c>
      <c r="BA188" s="2">
        <f t="shared" si="83"/>
        <v>0</v>
      </c>
      <c r="BB188" s="2">
        <f t="shared" si="83"/>
        <v>0</v>
      </c>
      <c r="BC188" s="2">
        <f t="shared" si="83"/>
        <v>0</v>
      </c>
      <c r="BD188" s="2">
        <f t="shared" si="83"/>
        <v>1111.47</v>
      </c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>
        <f>ROUND(SUMIF(AA24:AA27,"=59552816",FQ24:FQ27),2)</f>
        <v>0</v>
      </c>
      <c r="BY188" s="2">
        <f>ROUND(SUMIF(AA24:AA27,"=59552816",FR24:FR27),2)</f>
        <v>0</v>
      </c>
      <c r="BZ188" s="2">
        <f>ROUND(SUMIF(AA24:AA27,"=59552816",GL24:GL27),2)</f>
        <v>0</v>
      </c>
      <c r="CA188" s="2">
        <f>ROUND(SUMIF(AA24:AA27,"=59552816",GM24:GM27),2)</f>
        <v>101069.3</v>
      </c>
      <c r="CB188" s="2">
        <f>ROUND(SUMIF(AA24:AA27,"=59552816",GN24:GN27),2)</f>
        <v>101069.3</v>
      </c>
      <c r="CC188" s="2">
        <f>ROUND(SUMIF(AA24:AA27,"=59552816",GO24:GO27),2)</f>
        <v>0</v>
      </c>
      <c r="CD188" s="2">
        <f>ROUND(SUMIF(AA24:AA27,"=59552816",GP24:GP27),2)</f>
        <v>0</v>
      </c>
      <c r="CE188" s="2">
        <f>AC188-BX188</f>
        <v>80618.039999999994</v>
      </c>
      <c r="CF188" s="2">
        <f>AC188-BY188</f>
        <v>80618.039999999994</v>
      </c>
      <c r="CG188" s="2">
        <f>BX188-BZ188</f>
        <v>0</v>
      </c>
      <c r="CH188" s="2">
        <f>AC188-BX188-BY188+BZ188</f>
        <v>80618.039999999994</v>
      </c>
      <c r="CI188" s="2">
        <f>BY188-BZ188</f>
        <v>0</v>
      </c>
      <c r="CJ188" s="2">
        <f>ROUND(SUMIF(AA24:AA27,"=59552816",GX24:GX27),2)</f>
        <v>0</v>
      </c>
      <c r="CK188" s="2">
        <f>ROUND(SUMIF(AA24:AA27,"=59552816",GY24:GY27),2)</f>
        <v>0</v>
      </c>
      <c r="CL188" s="2">
        <f>ROUND(SUMIF(AA24:AA27,"=59552816",GZ24:GZ27),2)</f>
        <v>0</v>
      </c>
      <c r="CM188" s="2">
        <f>ROUND(SUMIF(AA24:AA27,"=59552816",HD24:HD27),2)</f>
        <v>0</v>
      </c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>
        <v>0</v>
      </c>
    </row>
    <row r="190" spans="1:206" x14ac:dyDescent="0.2">
      <c r="A190" s="4">
        <v>50</v>
      </c>
      <c r="B190" s="4">
        <v>0</v>
      </c>
      <c r="C190" s="4">
        <v>0</v>
      </c>
      <c r="D190" s="4">
        <v>1</v>
      </c>
      <c r="E190" s="4">
        <v>201</v>
      </c>
      <c r="F190" s="4">
        <f>ROUND(Source!O188,O190)</f>
        <v>210633.82</v>
      </c>
      <c r="G190" s="4" t="s">
        <v>104</v>
      </c>
      <c r="H190" s="4" t="s">
        <v>105</v>
      </c>
      <c r="I190" s="4"/>
      <c r="J190" s="4"/>
      <c r="K190" s="4">
        <v>201</v>
      </c>
      <c r="L190" s="4">
        <v>1</v>
      </c>
      <c r="M190" s="4">
        <v>3</v>
      </c>
      <c r="N190" s="4" t="s">
        <v>3</v>
      </c>
      <c r="O190" s="4">
        <v>2</v>
      </c>
      <c r="P190" s="4"/>
      <c r="Q190" s="4"/>
      <c r="R190" s="4"/>
      <c r="S190" s="4"/>
      <c r="T190" s="4"/>
      <c r="U190" s="4"/>
      <c r="V190" s="4"/>
      <c r="W190" s="4">
        <v>211745.28999999998</v>
      </c>
      <c r="X190" s="4">
        <v>1</v>
      </c>
      <c r="Y190" s="4">
        <v>211745.28999999998</v>
      </c>
      <c r="Z190" s="4"/>
      <c r="AA190" s="4"/>
      <c r="AB190" s="4"/>
    </row>
    <row r="191" spans="1:206" x14ac:dyDescent="0.2">
      <c r="A191" s="4">
        <v>50</v>
      </c>
      <c r="B191" s="4">
        <v>0</v>
      </c>
      <c r="C191" s="4">
        <v>0</v>
      </c>
      <c r="D191" s="4">
        <v>1</v>
      </c>
      <c r="E191" s="4">
        <v>202</v>
      </c>
      <c r="F191" s="4">
        <f>ROUND(Source!P188,O191)</f>
        <v>129838.11</v>
      </c>
      <c r="G191" s="4" t="s">
        <v>106</v>
      </c>
      <c r="H191" s="4" t="s">
        <v>107</v>
      </c>
      <c r="I191" s="4"/>
      <c r="J191" s="4"/>
      <c r="K191" s="4">
        <v>202</v>
      </c>
      <c r="L191" s="4">
        <v>2</v>
      </c>
      <c r="M191" s="4">
        <v>3</v>
      </c>
      <c r="N191" s="4" t="s">
        <v>3</v>
      </c>
      <c r="O191" s="4">
        <v>2</v>
      </c>
      <c r="P191" s="4"/>
      <c r="Q191" s="4"/>
      <c r="R191" s="4"/>
      <c r="S191" s="4"/>
      <c r="T191" s="4"/>
      <c r="U191" s="4"/>
      <c r="V191" s="4"/>
      <c r="W191" s="4">
        <v>129838.11</v>
      </c>
      <c r="X191" s="4">
        <v>1</v>
      </c>
      <c r="Y191" s="4">
        <v>129838.11</v>
      </c>
      <c r="Z191" s="4"/>
      <c r="AA191" s="4"/>
      <c r="AB191" s="4"/>
    </row>
    <row r="192" spans="1:206" x14ac:dyDescent="0.2">
      <c r="A192" s="4">
        <v>50</v>
      </c>
      <c r="B192" s="4">
        <v>0</v>
      </c>
      <c r="C192" s="4">
        <v>0</v>
      </c>
      <c r="D192" s="4">
        <v>1</v>
      </c>
      <c r="E192" s="4">
        <v>222</v>
      </c>
      <c r="F192" s="4">
        <f>ROUND(Source!AO188,O192)</f>
        <v>0</v>
      </c>
      <c r="G192" s="4" t="s">
        <v>108</v>
      </c>
      <c r="H192" s="4" t="s">
        <v>109</v>
      </c>
      <c r="I192" s="4"/>
      <c r="J192" s="4"/>
      <c r="K192" s="4">
        <v>222</v>
      </c>
      <c r="L192" s="4">
        <v>3</v>
      </c>
      <c r="M192" s="4">
        <v>3</v>
      </c>
      <c r="N192" s="4" t="s">
        <v>3</v>
      </c>
      <c r="O192" s="4">
        <v>2</v>
      </c>
      <c r="P192" s="4"/>
      <c r="Q192" s="4"/>
      <c r="R192" s="4"/>
      <c r="S192" s="4"/>
      <c r="T192" s="4"/>
      <c r="U192" s="4"/>
      <c r="V192" s="4"/>
      <c r="W192" s="4">
        <v>0</v>
      </c>
      <c r="X192" s="4">
        <v>1</v>
      </c>
      <c r="Y192" s="4">
        <v>0</v>
      </c>
      <c r="Z192" s="4"/>
      <c r="AA192" s="4"/>
      <c r="AB192" s="4"/>
    </row>
    <row r="193" spans="1:28" x14ac:dyDescent="0.2">
      <c r="A193" s="4">
        <v>50</v>
      </c>
      <c r="B193" s="4">
        <v>0</v>
      </c>
      <c r="C193" s="4">
        <v>0</v>
      </c>
      <c r="D193" s="4">
        <v>1</v>
      </c>
      <c r="E193" s="4">
        <v>225</v>
      </c>
      <c r="F193" s="4">
        <f>ROUND(Source!AV188,O193)</f>
        <v>129838.11</v>
      </c>
      <c r="G193" s="4" t="s">
        <v>110</v>
      </c>
      <c r="H193" s="4" t="s">
        <v>111</v>
      </c>
      <c r="I193" s="4"/>
      <c r="J193" s="4"/>
      <c r="K193" s="4">
        <v>225</v>
      </c>
      <c r="L193" s="4">
        <v>4</v>
      </c>
      <c r="M193" s="4">
        <v>3</v>
      </c>
      <c r="N193" s="4" t="s">
        <v>3</v>
      </c>
      <c r="O193" s="4">
        <v>2</v>
      </c>
      <c r="P193" s="4"/>
      <c r="Q193" s="4"/>
      <c r="R193" s="4"/>
      <c r="S193" s="4"/>
      <c r="T193" s="4"/>
      <c r="U193" s="4"/>
      <c r="V193" s="4"/>
      <c r="W193" s="4">
        <v>129838.11</v>
      </c>
      <c r="X193" s="4">
        <v>1</v>
      </c>
      <c r="Y193" s="4">
        <v>129838.11</v>
      </c>
      <c r="Z193" s="4"/>
      <c r="AA193" s="4"/>
      <c r="AB193" s="4"/>
    </row>
    <row r="194" spans="1:28" x14ac:dyDescent="0.2">
      <c r="A194" s="4">
        <v>50</v>
      </c>
      <c r="B194" s="4">
        <v>0</v>
      </c>
      <c r="C194" s="4">
        <v>0</v>
      </c>
      <c r="D194" s="4">
        <v>1</v>
      </c>
      <c r="E194" s="4">
        <v>226</v>
      </c>
      <c r="F194" s="4">
        <f>ROUND(Source!AW188,O194)</f>
        <v>129838.11</v>
      </c>
      <c r="G194" s="4" t="s">
        <v>112</v>
      </c>
      <c r="H194" s="4" t="s">
        <v>113</v>
      </c>
      <c r="I194" s="4"/>
      <c r="J194" s="4"/>
      <c r="K194" s="4">
        <v>226</v>
      </c>
      <c r="L194" s="4">
        <v>5</v>
      </c>
      <c r="M194" s="4">
        <v>3</v>
      </c>
      <c r="N194" s="4" t="s">
        <v>3</v>
      </c>
      <c r="O194" s="4">
        <v>2</v>
      </c>
      <c r="P194" s="4"/>
      <c r="Q194" s="4"/>
      <c r="R194" s="4"/>
      <c r="S194" s="4"/>
      <c r="T194" s="4"/>
      <c r="U194" s="4"/>
      <c r="V194" s="4"/>
      <c r="W194" s="4">
        <v>129838.11</v>
      </c>
      <c r="X194" s="4">
        <v>1</v>
      </c>
      <c r="Y194" s="4">
        <v>129838.11</v>
      </c>
      <c r="Z194" s="4"/>
      <c r="AA194" s="4"/>
      <c r="AB194" s="4"/>
    </row>
    <row r="195" spans="1:28" x14ac:dyDescent="0.2">
      <c r="A195" s="4">
        <v>50</v>
      </c>
      <c r="B195" s="4">
        <v>0</v>
      </c>
      <c r="C195" s="4">
        <v>0</v>
      </c>
      <c r="D195" s="4">
        <v>1</v>
      </c>
      <c r="E195" s="4">
        <v>227</v>
      </c>
      <c r="F195" s="4">
        <f>ROUND(Source!AX188,O195)</f>
        <v>0</v>
      </c>
      <c r="G195" s="4" t="s">
        <v>114</v>
      </c>
      <c r="H195" s="4" t="s">
        <v>115</v>
      </c>
      <c r="I195" s="4"/>
      <c r="J195" s="4"/>
      <c r="K195" s="4">
        <v>227</v>
      </c>
      <c r="L195" s="4">
        <v>6</v>
      </c>
      <c r="M195" s="4">
        <v>3</v>
      </c>
      <c r="N195" s="4" t="s">
        <v>3</v>
      </c>
      <c r="O195" s="4">
        <v>2</v>
      </c>
      <c r="P195" s="4"/>
      <c r="Q195" s="4"/>
      <c r="R195" s="4"/>
      <c r="S195" s="4"/>
      <c r="T195" s="4"/>
      <c r="U195" s="4"/>
      <c r="V195" s="4"/>
      <c r="W195" s="4">
        <v>0</v>
      </c>
      <c r="X195" s="4">
        <v>1</v>
      </c>
      <c r="Y195" s="4">
        <v>0</v>
      </c>
      <c r="Z195" s="4"/>
      <c r="AA195" s="4"/>
      <c r="AB195" s="4"/>
    </row>
    <row r="196" spans="1:28" x14ac:dyDescent="0.2">
      <c r="A196" s="4">
        <v>50</v>
      </c>
      <c r="B196" s="4">
        <v>0</v>
      </c>
      <c r="C196" s="4">
        <v>0</v>
      </c>
      <c r="D196" s="4">
        <v>1</v>
      </c>
      <c r="E196" s="4">
        <v>228</v>
      </c>
      <c r="F196" s="4">
        <f>ROUND(Source!AY188,O196)</f>
        <v>129838.11</v>
      </c>
      <c r="G196" s="4" t="s">
        <v>116</v>
      </c>
      <c r="H196" s="4" t="s">
        <v>117</v>
      </c>
      <c r="I196" s="4"/>
      <c r="J196" s="4"/>
      <c r="K196" s="4">
        <v>228</v>
      </c>
      <c r="L196" s="4">
        <v>7</v>
      </c>
      <c r="M196" s="4">
        <v>3</v>
      </c>
      <c r="N196" s="4" t="s">
        <v>3</v>
      </c>
      <c r="O196" s="4">
        <v>2</v>
      </c>
      <c r="P196" s="4"/>
      <c r="Q196" s="4"/>
      <c r="R196" s="4"/>
      <c r="S196" s="4"/>
      <c r="T196" s="4"/>
      <c r="U196" s="4"/>
      <c r="V196" s="4"/>
      <c r="W196" s="4">
        <v>129838.11</v>
      </c>
      <c r="X196" s="4">
        <v>1</v>
      </c>
      <c r="Y196" s="4">
        <v>129838.11</v>
      </c>
      <c r="Z196" s="4"/>
      <c r="AA196" s="4"/>
      <c r="AB196" s="4"/>
    </row>
    <row r="197" spans="1:28" x14ac:dyDescent="0.2">
      <c r="A197" s="4">
        <v>50</v>
      </c>
      <c r="B197" s="4">
        <v>0</v>
      </c>
      <c r="C197" s="4">
        <v>0</v>
      </c>
      <c r="D197" s="4">
        <v>1</v>
      </c>
      <c r="E197" s="4">
        <v>216</v>
      </c>
      <c r="F197" s="4">
        <f>ROUND(Source!AP188,O197)</f>
        <v>0</v>
      </c>
      <c r="G197" s="4" t="s">
        <v>118</v>
      </c>
      <c r="H197" s="4" t="s">
        <v>119</v>
      </c>
      <c r="I197" s="4"/>
      <c r="J197" s="4"/>
      <c r="K197" s="4">
        <v>216</v>
      </c>
      <c r="L197" s="4">
        <v>8</v>
      </c>
      <c r="M197" s="4">
        <v>3</v>
      </c>
      <c r="N197" s="4" t="s">
        <v>3</v>
      </c>
      <c r="O197" s="4">
        <v>2</v>
      </c>
      <c r="P197" s="4"/>
      <c r="Q197" s="4"/>
      <c r="R197" s="4"/>
      <c r="S197" s="4"/>
      <c r="T197" s="4"/>
      <c r="U197" s="4"/>
      <c r="V197" s="4"/>
      <c r="W197" s="4">
        <v>0</v>
      </c>
      <c r="X197" s="4">
        <v>1</v>
      </c>
      <c r="Y197" s="4">
        <v>0</v>
      </c>
      <c r="Z197" s="4"/>
      <c r="AA197" s="4"/>
      <c r="AB197" s="4"/>
    </row>
    <row r="198" spans="1:28" x14ac:dyDescent="0.2">
      <c r="A198" s="4">
        <v>50</v>
      </c>
      <c r="B198" s="4">
        <v>0</v>
      </c>
      <c r="C198" s="4">
        <v>0</v>
      </c>
      <c r="D198" s="4">
        <v>1</v>
      </c>
      <c r="E198" s="4">
        <v>223</v>
      </c>
      <c r="F198" s="4">
        <f>ROUND(Source!AQ188,O198)</f>
        <v>0</v>
      </c>
      <c r="G198" s="4" t="s">
        <v>120</v>
      </c>
      <c r="H198" s="4" t="s">
        <v>121</v>
      </c>
      <c r="I198" s="4"/>
      <c r="J198" s="4"/>
      <c r="K198" s="4">
        <v>223</v>
      </c>
      <c r="L198" s="4">
        <v>9</v>
      </c>
      <c r="M198" s="4">
        <v>3</v>
      </c>
      <c r="N198" s="4" t="s">
        <v>3</v>
      </c>
      <c r="O198" s="4">
        <v>2</v>
      </c>
      <c r="P198" s="4"/>
      <c r="Q198" s="4"/>
      <c r="R198" s="4"/>
      <c r="S198" s="4"/>
      <c r="T198" s="4"/>
      <c r="U198" s="4"/>
      <c r="V198" s="4"/>
      <c r="W198" s="4">
        <v>0</v>
      </c>
      <c r="X198" s="4">
        <v>1</v>
      </c>
      <c r="Y198" s="4">
        <v>0</v>
      </c>
      <c r="Z198" s="4"/>
      <c r="AA198" s="4"/>
      <c r="AB198" s="4"/>
    </row>
    <row r="199" spans="1:28" x14ac:dyDescent="0.2">
      <c r="A199" s="4">
        <v>50</v>
      </c>
      <c r="B199" s="4">
        <v>0</v>
      </c>
      <c r="C199" s="4">
        <v>0</v>
      </c>
      <c r="D199" s="4">
        <v>1</v>
      </c>
      <c r="E199" s="4">
        <v>229</v>
      </c>
      <c r="F199" s="4">
        <f>ROUND(Source!AZ188,O199)</f>
        <v>0</v>
      </c>
      <c r="G199" s="4" t="s">
        <v>122</v>
      </c>
      <c r="H199" s="4" t="s">
        <v>123</v>
      </c>
      <c r="I199" s="4"/>
      <c r="J199" s="4"/>
      <c r="K199" s="4">
        <v>229</v>
      </c>
      <c r="L199" s="4">
        <v>10</v>
      </c>
      <c r="M199" s="4">
        <v>3</v>
      </c>
      <c r="N199" s="4" t="s">
        <v>3</v>
      </c>
      <c r="O199" s="4">
        <v>2</v>
      </c>
      <c r="P199" s="4"/>
      <c r="Q199" s="4"/>
      <c r="R199" s="4"/>
      <c r="S199" s="4"/>
      <c r="T199" s="4"/>
      <c r="U199" s="4"/>
      <c r="V199" s="4"/>
      <c r="W199" s="4">
        <v>0</v>
      </c>
      <c r="X199" s="4">
        <v>1</v>
      </c>
      <c r="Y199" s="4">
        <v>0</v>
      </c>
      <c r="Z199" s="4"/>
      <c r="AA199" s="4"/>
      <c r="AB199" s="4"/>
    </row>
    <row r="200" spans="1:28" x14ac:dyDescent="0.2">
      <c r="A200" s="4">
        <v>50</v>
      </c>
      <c r="B200" s="4">
        <v>0</v>
      </c>
      <c r="C200" s="4">
        <v>0</v>
      </c>
      <c r="D200" s="4">
        <v>1</v>
      </c>
      <c r="E200" s="4">
        <v>203</v>
      </c>
      <c r="F200" s="4">
        <f>ROUND(Source!Q188,O200)</f>
        <v>840.39</v>
      </c>
      <c r="G200" s="4" t="s">
        <v>124</v>
      </c>
      <c r="H200" s="4" t="s">
        <v>125</v>
      </c>
      <c r="I200" s="4"/>
      <c r="J200" s="4"/>
      <c r="K200" s="4">
        <v>203</v>
      </c>
      <c r="L200" s="4">
        <v>11</v>
      </c>
      <c r="M200" s="4">
        <v>3</v>
      </c>
      <c r="N200" s="4" t="s">
        <v>3</v>
      </c>
      <c r="O200" s="4">
        <v>2</v>
      </c>
      <c r="P200" s="4"/>
      <c r="Q200" s="4"/>
      <c r="R200" s="4"/>
      <c r="S200" s="4"/>
      <c r="T200" s="4"/>
      <c r="U200" s="4"/>
      <c r="V200" s="4"/>
      <c r="W200" s="4">
        <v>840.39</v>
      </c>
      <c r="X200" s="4">
        <v>1</v>
      </c>
      <c r="Y200" s="4">
        <v>840.39</v>
      </c>
      <c r="Z200" s="4"/>
      <c r="AA200" s="4"/>
      <c r="AB200" s="4"/>
    </row>
    <row r="201" spans="1:28" x14ac:dyDescent="0.2">
      <c r="A201" s="4">
        <v>50</v>
      </c>
      <c r="B201" s="4">
        <v>0</v>
      </c>
      <c r="C201" s="4">
        <v>0</v>
      </c>
      <c r="D201" s="4">
        <v>1</v>
      </c>
      <c r="E201" s="4">
        <v>231</v>
      </c>
      <c r="F201" s="4">
        <f>ROUND(Source!BB188,O201)</f>
        <v>0</v>
      </c>
      <c r="G201" s="4" t="s">
        <v>126</v>
      </c>
      <c r="H201" s="4" t="s">
        <v>127</v>
      </c>
      <c r="I201" s="4"/>
      <c r="J201" s="4"/>
      <c r="K201" s="4">
        <v>231</v>
      </c>
      <c r="L201" s="4">
        <v>12</v>
      </c>
      <c r="M201" s="4">
        <v>3</v>
      </c>
      <c r="N201" s="4" t="s">
        <v>3</v>
      </c>
      <c r="O201" s="4">
        <v>2</v>
      </c>
      <c r="P201" s="4"/>
      <c r="Q201" s="4"/>
      <c r="R201" s="4"/>
      <c r="S201" s="4"/>
      <c r="T201" s="4"/>
      <c r="U201" s="4"/>
      <c r="V201" s="4"/>
      <c r="W201" s="4">
        <v>0</v>
      </c>
      <c r="X201" s="4">
        <v>1</v>
      </c>
      <c r="Y201" s="4">
        <v>0</v>
      </c>
      <c r="Z201" s="4"/>
      <c r="AA201" s="4"/>
      <c r="AB201" s="4"/>
    </row>
    <row r="202" spans="1:28" x14ac:dyDescent="0.2">
      <c r="A202" s="4">
        <v>50</v>
      </c>
      <c r="B202" s="4">
        <v>0</v>
      </c>
      <c r="C202" s="4">
        <v>0</v>
      </c>
      <c r="D202" s="4">
        <v>1</v>
      </c>
      <c r="E202" s="4">
        <v>204</v>
      </c>
      <c r="F202" s="4">
        <f>ROUND(Source!R188,O202)</f>
        <v>520.04</v>
      </c>
      <c r="G202" s="4" t="s">
        <v>128</v>
      </c>
      <c r="H202" s="4" t="s">
        <v>129</v>
      </c>
      <c r="I202" s="4"/>
      <c r="J202" s="4"/>
      <c r="K202" s="4">
        <v>204</v>
      </c>
      <c r="L202" s="4">
        <v>13</v>
      </c>
      <c r="M202" s="4">
        <v>3</v>
      </c>
      <c r="N202" s="4" t="s">
        <v>3</v>
      </c>
      <c r="O202" s="4">
        <v>2</v>
      </c>
      <c r="P202" s="4"/>
      <c r="Q202" s="4"/>
      <c r="R202" s="4"/>
      <c r="S202" s="4"/>
      <c r="T202" s="4"/>
      <c r="U202" s="4"/>
      <c r="V202" s="4"/>
      <c r="W202" s="4">
        <v>520.04</v>
      </c>
      <c r="X202" s="4">
        <v>1</v>
      </c>
      <c r="Y202" s="4">
        <v>520.04</v>
      </c>
      <c r="Z202" s="4"/>
      <c r="AA202" s="4"/>
      <c r="AB202" s="4"/>
    </row>
    <row r="203" spans="1:28" x14ac:dyDescent="0.2">
      <c r="A203" s="4">
        <v>50</v>
      </c>
      <c r="B203" s="4">
        <v>0</v>
      </c>
      <c r="C203" s="4">
        <v>0</v>
      </c>
      <c r="D203" s="4">
        <v>1</v>
      </c>
      <c r="E203" s="4">
        <v>205</v>
      </c>
      <c r="F203" s="4">
        <f>ROUND(Source!S188,O203)</f>
        <v>79435.28</v>
      </c>
      <c r="G203" s="4" t="s">
        <v>130</v>
      </c>
      <c r="H203" s="4" t="s">
        <v>131</v>
      </c>
      <c r="I203" s="4"/>
      <c r="J203" s="4"/>
      <c r="K203" s="4">
        <v>205</v>
      </c>
      <c r="L203" s="4">
        <v>14</v>
      </c>
      <c r="M203" s="4">
        <v>3</v>
      </c>
      <c r="N203" s="4" t="s">
        <v>3</v>
      </c>
      <c r="O203" s="4">
        <v>2</v>
      </c>
      <c r="P203" s="4"/>
      <c r="Q203" s="4"/>
      <c r="R203" s="4"/>
      <c r="S203" s="4"/>
      <c r="T203" s="4"/>
      <c r="U203" s="4"/>
      <c r="V203" s="4"/>
      <c r="W203" s="4">
        <v>79435.279999999984</v>
      </c>
      <c r="X203" s="4">
        <v>1</v>
      </c>
      <c r="Y203" s="4">
        <v>79435.279999999984</v>
      </c>
      <c r="Z203" s="4"/>
      <c r="AA203" s="4"/>
      <c r="AB203" s="4"/>
    </row>
    <row r="204" spans="1:28" x14ac:dyDescent="0.2">
      <c r="A204" s="4">
        <v>50</v>
      </c>
      <c r="B204" s="4">
        <v>0</v>
      </c>
      <c r="C204" s="4">
        <v>0</v>
      </c>
      <c r="D204" s="4">
        <v>1</v>
      </c>
      <c r="E204" s="4">
        <v>232</v>
      </c>
      <c r="F204" s="4">
        <f>ROUND(Source!BC188,O204)</f>
        <v>0</v>
      </c>
      <c r="G204" s="4" t="s">
        <v>132</v>
      </c>
      <c r="H204" s="4" t="s">
        <v>133</v>
      </c>
      <c r="I204" s="4"/>
      <c r="J204" s="4"/>
      <c r="K204" s="4">
        <v>232</v>
      </c>
      <c r="L204" s="4">
        <v>15</v>
      </c>
      <c r="M204" s="4">
        <v>3</v>
      </c>
      <c r="N204" s="4" t="s">
        <v>3</v>
      </c>
      <c r="O204" s="4">
        <v>2</v>
      </c>
      <c r="P204" s="4"/>
      <c r="Q204" s="4"/>
      <c r="R204" s="4"/>
      <c r="S204" s="4"/>
      <c r="T204" s="4"/>
      <c r="U204" s="4"/>
      <c r="V204" s="4"/>
      <c r="W204" s="4">
        <v>0</v>
      </c>
      <c r="X204" s="4">
        <v>1</v>
      </c>
      <c r="Y204" s="4">
        <v>0</v>
      </c>
      <c r="Z204" s="4"/>
      <c r="AA204" s="4"/>
      <c r="AB204" s="4"/>
    </row>
    <row r="205" spans="1:28" x14ac:dyDescent="0.2">
      <c r="A205" s="4">
        <v>50</v>
      </c>
      <c r="B205" s="4">
        <v>0</v>
      </c>
      <c r="C205" s="4">
        <v>0</v>
      </c>
      <c r="D205" s="4">
        <v>1</v>
      </c>
      <c r="E205" s="4">
        <v>214</v>
      </c>
      <c r="F205" s="4">
        <f>ROUND(Source!AS188,O205)</f>
        <v>302909.68</v>
      </c>
      <c r="G205" s="4" t="s">
        <v>134</v>
      </c>
      <c r="H205" s="4" t="s">
        <v>135</v>
      </c>
      <c r="I205" s="4"/>
      <c r="J205" s="4"/>
      <c r="K205" s="4">
        <v>214</v>
      </c>
      <c r="L205" s="4">
        <v>16</v>
      </c>
      <c r="M205" s="4">
        <v>3</v>
      </c>
      <c r="N205" s="4" t="s">
        <v>3</v>
      </c>
      <c r="O205" s="4">
        <v>2</v>
      </c>
      <c r="P205" s="4"/>
      <c r="Q205" s="4"/>
      <c r="R205" s="4"/>
      <c r="S205" s="4"/>
      <c r="T205" s="4"/>
      <c r="U205" s="4"/>
      <c r="V205" s="4"/>
      <c r="W205" s="4">
        <v>302909.68</v>
      </c>
      <c r="X205" s="4">
        <v>1</v>
      </c>
      <c r="Y205" s="4">
        <v>302909.68</v>
      </c>
      <c r="Z205" s="4"/>
      <c r="AA205" s="4"/>
      <c r="AB205" s="4"/>
    </row>
    <row r="206" spans="1:28" x14ac:dyDescent="0.2">
      <c r="A206" s="4">
        <v>50</v>
      </c>
      <c r="B206" s="4">
        <v>0</v>
      </c>
      <c r="C206" s="4">
        <v>0</v>
      </c>
      <c r="D206" s="4">
        <v>1</v>
      </c>
      <c r="E206" s="4">
        <v>215</v>
      </c>
      <c r="F206" s="4">
        <f>ROUND(Source!AT188,O206)</f>
        <v>22090.32</v>
      </c>
      <c r="G206" s="4" t="s">
        <v>136</v>
      </c>
      <c r="H206" s="4" t="s">
        <v>137</v>
      </c>
      <c r="I206" s="4"/>
      <c r="J206" s="4"/>
      <c r="K206" s="4">
        <v>215</v>
      </c>
      <c r="L206" s="4">
        <v>17</v>
      </c>
      <c r="M206" s="4">
        <v>3</v>
      </c>
      <c r="N206" s="4" t="s">
        <v>3</v>
      </c>
      <c r="O206" s="4">
        <v>2</v>
      </c>
      <c r="P206" s="4"/>
      <c r="Q206" s="4"/>
      <c r="R206" s="4"/>
      <c r="S206" s="4"/>
      <c r="T206" s="4"/>
      <c r="U206" s="4"/>
      <c r="V206" s="4"/>
      <c r="W206" s="4">
        <v>22090.32</v>
      </c>
      <c r="X206" s="4">
        <v>1</v>
      </c>
      <c r="Y206" s="4">
        <v>22090.32</v>
      </c>
      <c r="Z206" s="4"/>
      <c r="AA206" s="4"/>
      <c r="AB206" s="4"/>
    </row>
    <row r="207" spans="1:28" x14ac:dyDescent="0.2">
      <c r="A207" s="4">
        <v>50</v>
      </c>
      <c r="B207" s="4">
        <v>0</v>
      </c>
      <c r="C207" s="4">
        <v>0</v>
      </c>
      <c r="D207" s="4">
        <v>1</v>
      </c>
      <c r="E207" s="4">
        <v>217</v>
      </c>
      <c r="F207" s="4">
        <f>ROUND(Source!AU188,O207)</f>
        <v>0</v>
      </c>
      <c r="G207" s="4" t="s">
        <v>138</v>
      </c>
      <c r="H207" s="4" t="s">
        <v>139</v>
      </c>
      <c r="I207" s="4"/>
      <c r="J207" s="4"/>
      <c r="K207" s="4">
        <v>217</v>
      </c>
      <c r="L207" s="4">
        <v>18</v>
      </c>
      <c r="M207" s="4">
        <v>3</v>
      </c>
      <c r="N207" s="4" t="s">
        <v>3</v>
      </c>
      <c r="O207" s="4">
        <v>2</v>
      </c>
      <c r="P207" s="4"/>
      <c r="Q207" s="4"/>
      <c r="R207" s="4"/>
      <c r="S207" s="4"/>
      <c r="T207" s="4"/>
      <c r="U207" s="4"/>
      <c r="V207" s="4"/>
      <c r="W207" s="4">
        <v>0</v>
      </c>
      <c r="X207" s="4">
        <v>1</v>
      </c>
      <c r="Y207" s="4">
        <v>0</v>
      </c>
      <c r="Z207" s="4"/>
      <c r="AA207" s="4"/>
      <c r="AB207" s="4"/>
    </row>
    <row r="208" spans="1:28" x14ac:dyDescent="0.2">
      <c r="A208" s="4">
        <v>50</v>
      </c>
      <c r="B208" s="4">
        <v>0</v>
      </c>
      <c r="C208" s="4">
        <v>0</v>
      </c>
      <c r="D208" s="4">
        <v>1</v>
      </c>
      <c r="E208" s="4">
        <v>230</v>
      </c>
      <c r="F208" s="4">
        <f>ROUND(Source!BA188,O208)</f>
        <v>0</v>
      </c>
      <c r="G208" s="4" t="s">
        <v>140</v>
      </c>
      <c r="H208" s="4" t="s">
        <v>141</v>
      </c>
      <c r="I208" s="4"/>
      <c r="J208" s="4"/>
      <c r="K208" s="4">
        <v>230</v>
      </c>
      <c r="L208" s="4">
        <v>19</v>
      </c>
      <c r="M208" s="4">
        <v>3</v>
      </c>
      <c r="N208" s="4" t="s">
        <v>3</v>
      </c>
      <c r="O208" s="4">
        <v>2</v>
      </c>
      <c r="P208" s="4"/>
      <c r="Q208" s="4"/>
      <c r="R208" s="4"/>
      <c r="S208" s="4"/>
      <c r="T208" s="4"/>
      <c r="U208" s="4"/>
      <c r="V208" s="4"/>
      <c r="W208" s="4">
        <v>0</v>
      </c>
      <c r="X208" s="4">
        <v>1</v>
      </c>
      <c r="Y208" s="4">
        <v>0</v>
      </c>
      <c r="Z208" s="4"/>
      <c r="AA208" s="4"/>
      <c r="AB208" s="4"/>
    </row>
    <row r="209" spans="1:206" x14ac:dyDescent="0.2">
      <c r="A209" s="4">
        <v>50</v>
      </c>
      <c r="B209" s="4">
        <v>0</v>
      </c>
      <c r="C209" s="4">
        <v>0</v>
      </c>
      <c r="D209" s="4">
        <v>1</v>
      </c>
      <c r="E209" s="4">
        <v>206</v>
      </c>
      <c r="F209" s="4">
        <f>ROUND(Source!T188,O209)</f>
        <v>0</v>
      </c>
      <c r="G209" s="4" t="s">
        <v>142</v>
      </c>
      <c r="H209" s="4" t="s">
        <v>143</v>
      </c>
      <c r="I209" s="4"/>
      <c r="J209" s="4"/>
      <c r="K209" s="4">
        <v>206</v>
      </c>
      <c r="L209" s="4">
        <v>20</v>
      </c>
      <c r="M209" s="4">
        <v>3</v>
      </c>
      <c r="N209" s="4" t="s">
        <v>3</v>
      </c>
      <c r="O209" s="4">
        <v>2</v>
      </c>
      <c r="P209" s="4"/>
      <c r="Q209" s="4"/>
      <c r="R209" s="4"/>
      <c r="S209" s="4"/>
      <c r="T209" s="4"/>
      <c r="U209" s="4"/>
      <c r="V209" s="4"/>
      <c r="W209" s="4">
        <v>0</v>
      </c>
      <c r="X209" s="4">
        <v>1</v>
      </c>
      <c r="Y209" s="4">
        <v>0</v>
      </c>
      <c r="Z209" s="4"/>
      <c r="AA209" s="4"/>
      <c r="AB209" s="4"/>
    </row>
    <row r="210" spans="1:206" x14ac:dyDescent="0.2">
      <c r="A210" s="4">
        <v>50</v>
      </c>
      <c r="B210" s="4">
        <v>0</v>
      </c>
      <c r="C210" s="4">
        <v>0</v>
      </c>
      <c r="D210" s="4">
        <v>1</v>
      </c>
      <c r="E210" s="4">
        <v>207</v>
      </c>
      <c r="F210" s="4">
        <f>Source!U188</f>
        <v>336.12007495</v>
      </c>
      <c r="G210" s="4" t="s">
        <v>144</v>
      </c>
      <c r="H210" s="4" t="s">
        <v>145</v>
      </c>
      <c r="I210" s="4"/>
      <c r="J210" s="4"/>
      <c r="K210" s="4">
        <v>207</v>
      </c>
      <c r="L210" s="4">
        <v>21</v>
      </c>
      <c r="M210" s="4">
        <v>3</v>
      </c>
      <c r="N210" s="4" t="s">
        <v>3</v>
      </c>
      <c r="O210" s="4">
        <v>-1</v>
      </c>
      <c r="P210" s="4"/>
      <c r="Q210" s="4"/>
      <c r="R210" s="4"/>
      <c r="S210" s="4"/>
      <c r="T210" s="4"/>
      <c r="U210" s="4"/>
      <c r="V210" s="4"/>
      <c r="W210" s="4">
        <v>336.12007499999999</v>
      </c>
      <c r="X210" s="4">
        <v>1</v>
      </c>
      <c r="Y210" s="4">
        <v>336.12007499999999</v>
      </c>
      <c r="Z210" s="4"/>
      <c r="AA210" s="4"/>
      <c r="AB210" s="4"/>
    </row>
    <row r="211" spans="1:206" x14ac:dyDescent="0.2">
      <c r="A211" s="4">
        <v>50</v>
      </c>
      <c r="B211" s="4">
        <v>0</v>
      </c>
      <c r="C211" s="4">
        <v>0</v>
      </c>
      <c r="D211" s="4">
        <v>1</v>
      </c>
      <c r="E211" s="4">
        <v>208</v>
      </c>
      <c r="F211" s="4">
        <f>Source!V188</f>
        <v>1.9966502500000001</v>
      </c>
      <c r="G211" s="4" t="s">
        <v>146</v>
      </c>
      <c r="H211" s="4" t="s">
        <v>147</v>
      </c>
      <c r="I211" s="4"/>
      <c r="J211" s="4"/>
      <c r="K211" s="4">
        <v>208</v>
      </c>
      <c r="L211" s="4">
        <v>22</v>
      </c>
      <c r="M211" s="4">
        <v>3</v>
      </c>
      <c r="N211" s="4" t="s">
        <v>3</v>
      </c>
      <c r="O211" s="4">
        <v>-1</v>
      </c>
      <c r="P211" s="4"/>
      <c r="Q211" s="4"/>
      <c r="R211" s="4"/>
      <c r="S211" s="4"/>
      <c r="T211" s="4"/>
      <c r="U211" s="4"/>
      <c r="V211" s="4"/>
      <c r="W211" s="4">
        <v>1.9945628</v>
      </c>
      <c r="X211" s="4">
        <v>1</v>
      </c>
      <c r="Y211" s="4">
        <v>1.9945628</v>
      </c>
      <c r="Z211" s="4"/>
      <c r="AA211" s="4"/>
      <c r="AB211" s="4"/>
    </row>
    <row r="212" spans="1:206" x14ac:dyDescent="0.2">
      <c r="A212" s="4">
        <v>50</v>
      </c>
      <c r="B212" s="4">
        <v>0</v>
      </c>
      <c r="C212" s="4">
        <v>0</v>
      </c>
      <c r="D212" s="4">
        <v>1</v>
      </c>
      <c r="E212" s="4">
        <v>209</v>
      </c>
      <c r="F212" s="4">
        <f>ROUND(Source!W188,O212)</f>
        <v>0</v>
      </c>
      <c r="G212" s="4" t="s">
        <v>148</v>
      </c>
      <c r="H212" s="4" t="s">
        <v>149</v>
      </c>
      <c r="I212" s="4"/>
      <c r="J212" s="4"/>
      <c r="K212" s="4">
        <v>209</v>
      </c>
      <c r="L212" s="4">
        <v>23</v>
      </c>
      <c r="M212" s="4">
        <v>3</v>
      </c>
      <c r="N212" s="4" t="s">
        <v>3</v>
      </c>
      <c r="O212" s="4">
        <v>2</v>
      </c>
      <c r="P212" s="4"/>
      <c r="Q212" s="4"/>
      <c r="R212" s="4"/>
      <c r="S212" s="4"/>
      <c r="T212" s="4"/>
      <c r="U212" s="4"/>
      <c r="V212" s="4"/>
      <c r="W212" s="4">
        <v>0</v>
      </c>
      <c r="X212" s="4">
        <v>1</v>
      </c>
      <c r="Y212" s="4">
        <v>0</v>
      </c>
      <c r="Z212" s="4"/>
      <c r="AA212" s="4"/>
      <c r="AB212" s="4"/>
    </row>
    <row r="213" spans="1:206" x14ac:dyDescent="0.2">
      <c r="A213" s="4">
        <v>50</v>
      </c>
      <c r="B213" s="4">
        <v>0</v>
      </c>
      <c r="C213" s="4">
        <v>0</v>
      </c>
      <c r="D213" s="4">
        <v>1</v>
      </c>
      <c r="E213" s="4">
        <v>233</v>
      </c>
      <c r="F213" s="4">
        <f>ROUND(Source!BD188,O213)</f>
        <v>1111.47</v>
      </c>
      <c r="G213" s="4" t="s">
        <v>150</v>
      </c>
      <c r="H213" s="4" t="s">
        <v>151</v>
      </c>
      <c r="I213" s="4"/>
      <c r="J213" s="4"/>
      <c r="K213" s="4">
        <v>233</v>
      </c>
      <c r="L213" s="4">
        <v>24</v>
      </c>
      <c r="M213" s="4">
        <v>3</v>
      </c>
      <c r="N213" s="4" t="s">
        <v>3</v>
      </c>
      <c r="O213" s="4">
        <v>2</v>
      </c>
      <c r="P213" s="4"/>
      <c r="Q213" s="4"/>
      <c r="R213" s="4"/>
      <c r="S213" s="4"/>
      <c r="T213" s="4"/>
      <c r="U213" s="4"/>
      <c r="V213" s="4"/>
      <c r="W213" s="4">
        <v>1111.47</v>
      </c>
      <c r="X213" s="4">
        <v>1</v>
      </c>
      <c r="Y213" s="4">
        <v>1111.47</v>
      </c>
      <c r="Z213" s="4"/>
      <c r="AA213" s="4"/>
      <c r="AB213" s="4"/>
    </row>
    <row r="214" spans="1:206" x14ac:dyDescent="0.2">
      <c r="A214" s="4">
        <v>50</v>
      </c>
      <c r="B214" s="4">
        <v>0</v>
      </c>
      <c r="C214" s="4">
        <v>0</v>
      </c>
      <c r="D214" s="4">
        <v>1</v>
      </c>
      <c r="E214" s="4">
        <v>210</v>
      </c>
      <c r="F214" s="4">
        <f>ROUND(Source!X188,O214)</f>
        <v>74915.31</v>
      </c>
      <c r="G214" s="4" t="s">
        <v>152</v>
      </c>
      <c r="H214" s="4" t="s">
        <v>153</v>
      </c>
      <c r="I214" s="4"/>
      <c r="J214" s="4"/>
      <c r="K214" s="4">
        <v>210</v>
      </c>
      <c r="L214" s="4">
        <v>25</v>
      </c>
      <c r="M214" s="4">
        <v>3</v>
      </c>
      <c r="N214" s="4" t="s">
        <v>3</v>
      </c>
      <c r="O214" s="4">
        <v>2</v>
      </c>
      <c r="P214" s="4"/>
      <c r="Q214" s="4"/>
      <c r="R214" s="4"/>
      <c r="S214" s="4"/>
      <c r="T214" s="4"/>
      <c r="U214" s="4"/>
      <c r="V214" s="4"/>
      <c r="W214" s="4">
        <v>74915.31</v>
      </c>
      <c r="X214" s="4">
        <v>1</v>
      </c>
      <c r="Y214" s="4">
        <v>74915.31</v>
      </c>
      <c r="Z214" s="4"/>
      <c r="AA214" s="4"/>
      <c r="AB214" s="4"/>
    </row>
    <row r="215" spans="1:206" x14ac:dyDescent="0.2">
      <c r="A215" s="4">
        <v>50</v>
      </c>
      <c r="B215" s="4">
        <v>0</v>
      </c>
      <c r="C215" s="4">
        <v>0</v>
      </c>
      <c r="D215" s="4">
        <v>1</v>
      </c>
      <c r="E215" s="4">
        <v>211</v>
      </c>
      <c r="F215" s="4">
        <f>ROUND(Source!Y188,O215)</f>
        <v>38339.4</v>
      </c>
      <c r="G215" s="4" t="s">
        <v>154</v>
      </c>
      <c r="H215" s="4" t="s">
        <v>155</v>
      </c>
      <c r="I215" s="4"/>
      <c r="J215" s="4"/>
      <c r="K215" s="4">
        <v>211</v>
      </c>
      <c r="L215" s="4">
        <v>26</v>
      </c>
      <c r="M215" s="4">
        <v>3</v>
      </c>
      <c r="N215" s="4" t="s">
        <v>3</v>
      </c>
      <c r="O215" s="4">
        <v>2</v>
      </c>
      <c r="P215" s="4"/>
      <c r="Q215" s="4"/>
      <c r="R215" s="4"/>
      <c r="S215" s="4"/>
      <c r="T215" s="4"/>
      <c r="U215" s="4"/>
      <c r="V215" s="4"/>
      <c r="W215" s="4">
        <v>38339.4</v>
      </c>
      <c r="X215" s="4">
        <v>1</v>
      </c>
      <c r="Y215" s="4">
        <v>38339.4</v>
      </c>
      <c r="Z215" s="4"/>
      <c r="AA215" s="4"/>
      <c r="AB215" s="4"/>
    </row>
    <row r="216" spans="1:206" x14ac:dyDescent="0.2">
      <c r="A216" s="4">
        <v>50</v>
      </c>
      <c r="B216" s="4">
        <v>0</v>
      </c>
      <c r="C216" s="4">
        <v>0</v>
      </c>
      <c r="D216" s="4">
        <v>1</v>
      </c>
      <c r="E216" s="4">
        <v>224</v>
      </c>
      <c r="F216" s="4">
        <f>ROUND(Source!AR188,O216)</f>
        <v>325000</v>
      </c>
      <c r="G216" s="4" t="s">
        <v>156</v>
      </c>
      <c r="H216" s="4" t="s">
        <v>157</v>
      </c>
      <c r="I216" s="4"/>
      <c r="J216" s="4"/>
      <c r="K216" s="4">
        <v>224</v>
      </c>
      <c r="L216" s="4">
        <v>27</v>
      </c>
      <c r="M216" s="4">
        <v>3</v>
      </c>
      <c r="N216" s="4" t="s">
        <v>3</v>
      </c>
      <c r="O216" s="4">
        <v>2</v>
      </c>
      <c r="P216" s="4"/>
      <c r="Q216" s="4"/>
      <c r="R216" s="4"/>
      <c r="S216" s="4"/>
      <c r="T216" s="4"/>
      <c r="U216" s="4"/>
      <c r="V216" s="4"/>
      <c r="W216" s="4">
        <v>325000</v>
      </c>
      <c r="X216" s="4">
        <v>1</v>
      </c>
      <c r="Y216" s="4">
        <v>325000</v>
      </c>
      <c r="Z216" s="4"/>
      <c r="AA216" s="4"/>
      <c r="AB216" s="4"/>
    </row>
    <row r="218" spans="1:206" x14ac:dyDescent="0.2">
      <c r="A218" s="2">
        <v>51</v>
      </c>
      <c r="B218" s="2">
        <f>B12</f>
        <v>274</v>
      </c>
      <c r="C218" s="2">
        <f>A12</f>
        <v>1</v>
      </c>
      <c r="D218" s="2">
        <f>ROW(A12)</f>
        <v>12</v>
      </c>
      <c r="E218" s="2"/>
      <c r="F218" s="2" t="str">
        <f>IF(F12&lt;&gt;"",F12,"")</f>
        <v>Новый объект</v>
      </c>
      <c r="G218" s="2" t="str">
        <f>IF(G12&lt;&gt;"",G12,"")</f>
        <v>Текущий ремонт помещения №10  Налоговой инспекции, по адресу: г.Орел, Московское шоссе, д.19</v>
      </c>
      <c r="H218" s="2">
        <v>0</v>
      </c>
      <c r="I218" s="2"/>
      <c r="J218" s="2"/>
      <c r="K218" s="2"/>
      <c r="L218" s="2"/>
      <c r="M218" s="2"/>
      <c r="N218" s="2"/>
      <c r="O218" s="2">
        <f t="shared" ref="O218:T218" si="84">ROUND(O188,2)</f>
        <v>210633.82</v>
      </c>
      <c r="P218" s="2">
        <f t="shared" si="84"/>
        <v>129838.11</v>
      </c>
      <c r="Q218" s="2">
        <f t="shared" si="84"/>
        <v>840.39</v>
      </c>
      <c r="R218" s="2">
        <f t="shared" si="84"/>
        <v>520.04</v>
      </c>
      <c r="S218" s="2">
        <f t="shared" si="84"/>
        <v>79435.28</v>
      </c>
      <c r="T218" s="2">
        <f t="shared" si="84"/>
        <v>0</v>
      </c>
      <c r="U218" s="2">
        <f>U188</f>
        <v>336.12007495</v>
      </c>
      <c r="V218" s="2">
        <f>V188</f>
        <v>1.9966502500000001</v>
      </c>
      <c r="W218" s="2">
        <f>ROUND(W188,2)</f>
        <v>0</v>
      </c>
      <c r="X218" s="2">
        <f>ROUND(X188,2)</f>
        <v>74915.31</v>
      </c>
      <c r="Y218" s="2">
        <f>ROUND(Y188,2)</f>
        <v>38339.4</v>
      </c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>
        <f t="shared" ref="AO218:BD218" si="85">ROUND(AO188,2)</f>
        <v>0</v>
      </c>
      <c r="AP218" s="2">
        <f t="shared" si="85"/>
        <v>0</v>
      </c>
      <c r="AQ218" s="2">
        <f t="shared" si="85"/>
        <v>0</v>
      </c>
      <c r="AR218" s="2">
        <f t="shared" si="85"/>
        <v>325000</v>
      </c>
      <c r="AS218" s="2">
        <f t="shared" si="85"/>
        <v>302909.68</v>
      </c>
      <c r="AT218" s="2">
        <f t="shared" si="85"/>
        <v>22090.32</v>
      </c>
      <c r="AU218" s="2">
        <f t="shared" si="85"/>
        <v>0</v>
      </c>
      <c r="AV218" s="2">
        <f t="shared" si="85"/>
        <v>129838.11</v>
      </c>
      <c r="AW218" s="2">
        <f t="shared" si="85"/>
        <v>129838.11</v>
      </c>
      <c r="AX218" s="2">
        <f t="shared" si="85"/>
        <v>0</v>
      </c>
      <c r="AY218" s="2">
        <f t="shared" si="85"/>
        <v>129838.11</v>
      </c>
      <c r="AZ218" s="2">
        <f t="shared" si="85"/>
        <v>0</v>
      </c>
      <c r="BA218" s="2">
        <f t="shared" si="85"/>
        <v>0</v>
      </c>
      <c r="BB218" s="2">
        <f t="shared" si="85"/>
        <v>0</v>
      </c>
      <c r="BC218" s="2">
        <f t="shared" si="85"/>
        <v>0</v>
      </c>
      <c r="BD218" s="2">
        <f t="shared" si="85"/>
        <v>1111.47</v>
      </c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>
        <v>0</v>
      </c>
    </row>
    <row r="220" spans="1:206" x14ac:dyDescent="0.2">
      <c r="A220" s="4">
        <v>50</v>
      </c>
      <c r="B220" s="4">
        <v>0</v>
      </c>
      <c r="C220" s="4">
        <v>0</v>
      </c>
      <c r="D220" s="4">
        <v>1</v>
      </c>
      <c r="E220" s="4">
        <v>201</v>
      </c>
      <c r="F220" s="4">
        <f>ROUND(Source!O218,O220)</f>
        <v>210633.82</v>
      </c>
      <c r="G220" s="4" t="s">
        <v>104</v>
      </c>
      <c r="H220" s="4" t="s">
        <v>105</v>
      </c>
      <c r="I220" s="4"/>
      <c r="J220" s="4"/>
      <c r="K220" s="4">
        <v>201</v>
      </c>
      <c r="L220" s="4">
        <v>1</v>
      </c>
      <c r="M220" s="4">
        <v>3</v>
      </c>
      <c r="N220" s="4" t="s">
        <v>3</v>
      </c>
      <c r="O220" s="4">
        <v>2</v>
      </c>
      <c r="P220" s="4"/>
      <c r="Q220" s="4"/>
      <c r="R220" s="4"/>
      <c r="S220" s="4"/>
      <c r="T220" s="4"/>
      <c r="U220" s="4"/>
      <c r="V220" s="4"/>
      <c r="W220" s="4">
        <v>211745.29</v>
      </c>
      <c r="X220" s="4">
        <v>1</v>
      </c>
      <c r="Y220" s="4">
        <v>211745.29</v>
      </c>
      <c r="Z220" s="4"/>
      <c r="AA220" s="4"/>
      <c r="AB220" s="4"/>
    </row>
    <row r="221" spans="1:206" x14ac:dyDescent="0.2">
      <c r="A221" s="4">
        <v>50</v>
      </c>
      <c r="B221" s="4">
        <v>0</v>
      </c>
      <c r="C221" s="4">
        <v>0</v>
      </c>
      <c r="D221" s="4">
        <v>1</v>
      </c>
      <c r="E221" s="4">
        <v>202</v>
      </c>
      <c r="F221" s="4">
        <f>ROUND(Source!P218,O221)</f>
        <v>129838.11</v>
      </c>
      <c r="G221" s="4" t="s">
        <v>106</v>
      </c>
      <c r="H221" s="4" t="s">
        <v>107</v>
      </c>
      <c r="I221" s="4"/>
      <c r="J221" s="4"/>
      <c r="K221" s="4">
        <v>202</v>
      </c>
      <c r="L221" s="4">
        <v>2</v>
      </c>
      <c r="M221" s="4">
        <v>3</v>
      </c>
      <c r="N221" s="4" t="s">
        <v>3</v>
      </c>
      <c r="O221" s="4">
        <v>2</v>
      </c>
      <c r="P221" s="4"/>
      <c r="Q221" s="4"/>
      <c r="R221" s="4"/>
      <c r="S221" s="4"/>
      <c r="T221" s="4"/>
      <c r="U221" s="4"/>
      <c r="V221" s="4"/>
      <c r="W221" s="4">
        <v>129838.11</v>
      </c>
      <c r="X221" s="4">
        <v>1</v>
      </c>
      <c r="Y221" s="4">
        <v>129838.11</v>
      </c>
      <c r="Z221" s="4"/>
      <c r="AA221" s="4"/>
      <c r="AB221" s="4"/>
    </row>
    <row r="222" spans="1:206" x14ac:dyDescent="0.2">
      <c r="A222" s="4">
        <v>50</v>
      </c>
      <c r="B222" s="4">
        <v>0</v>
      </c>
      <c r="C222" s="4">
        <v>0</v>
      </c>
      <c r="D222" s="4">
        <v>1</v>
      </c>
      <c r="E222" s="4">
        <v>222</v>
      </c>
      <c r="F222" s="4">
        <f>ROUND(Source!AO218,O222)</f>
        <v>0</v>
      </c>
      <c r="G222" s="4" t="s">
        <v>108</v>
      </c>
      <c r="H222" s="4" t="s">
        <v>109</v>
      </c>
      <c r="I222" s="4"/>
      <c r="J222" s="4"/>
      <c r="K222" s="4">
        <v>222</v>
      </c>
      <c r="L222" s="4">
        <v>3</v>
      </c>
      <c r="M222" s="4">
        <v>3</v>
      </c>
      <c r="N222" s="4" t="s">
        <v>3</v>
      </c>
      <c r="O222" s="4">
        <v>2</v>
      </c>
      <c r="P222" s="4"/>
      <c r="Q222" s="4"/>
      <c r="R222" s="4"/>
      <c r="S222" s="4"/>
      <c r="T222" s="4"/>
      <c r="U222" s="4"/>
      <c r="V222" s="4"/>
      <c r="W222" s="4">
        <v>0</v>
      </c>
      <c r="X222" s="4">
        <v>1</v>
      </c>
      <c r="Y222" s="4">
        <v>0</v>
      </c>
      <c r="Z222" s="4"/>
      <c r="AA222" s="4"/>
      <c r="AB222" s="4"/>
    </row>
    <row r="223" spans="1:206" x14ac:dyDescent="0.2">
      <c r="A223" s="4">
        <v>50</v>
      </c>
      <c r="B223" s="4">
        <v>0</v>
      </c>
      <c r="C223" s="4">
        <v>0</v>
      </c>
      <c r="D223" s="4">
        <v>1</v>
      </c>
      <c r="E223" s="4">
        <v>225</v>
      </c>
      <c r="F223" s="4">
        <f>ROUND(Source!AV218,O223)</f>
        <v>129838.11</v>
      </c>
      <c r="G223" s="4" t="s">
        <v>110</v>
      </c>
      <c r="H223" s="4" t="s">
        <v>111</v>
      </c>
      <c r="I223" s="4"/>
      <c r="J223" s="4"/>
      <c r="K223" s="4">
        <v>225</v>
      </c>
      <c r="L223" s="4">
        <v>4</v>
      </c>
      <c r="M223" s="4">
        <v>3</v>
      </c>
      <c r="N223" s="4" t="s">
        <v>3</v>
      </c>
      <c r="O223" s="4">
        <v>2</v>
      </c>
      <c r="P223" s="4"/>
      <c r="Q223" s="4"/>
      <c r="R223" s="4"/>
      <c r="S223" s="4"/>
      <c r="T223" s="4"/>
      <c r="U223" s="4"/>
      <c r="V223" s="4"/>
      <c r="W223" s="4">
        <v>129838.11</v>
      </c>
      <c r="X223" s="4">
        <v>1</v>
      </c>
      <c r="Y223" s="4">
        <v>129838.11</v>
      </c>
      <c r="Z223" s="4"/>
      <c r="AA223" s="4"/>
      <c r="AB223" s="4"/>
    </row>
    <row r="224" spans="1:206" x14ac:dyDescent="0.2">
      <c r="A224" s="4">
        <v>50</v>
      </c>
      <c r="B224" s="4">
        <v>0</v>
      </c>
      <c r="C224" s="4">
        <v>0</v>
      </c>
      <c r="D224" s="4">
        <v>1</v>
      </c>
      <c r="E224" s="4">
        <v>226</v>
      </c>
      <c r="F224" s="4">
        <f>ROUND(Source!AW218,O224)</f>
        <v>129838.11</v>
      </c>
      <c r="G224" s="4" t="s">
        <v>112</v>
      </c>
      <c r="H224" s="4" t="s">
        <v>113</v>
      </c>
      <c r="I224" s="4"/>
      <c r="J224" s="4"/>
      <c r="K224" s="4">
        <v>226</v>
      </c>
      <c r="L224" s="4">
        <v>5</v>
      </c>
      <c r="M224" s="4">
        <v>3</v>
      </c>
      <c r="N224" s="4" t="s">
        <v>3</v>
      </c>
      <c r="O224" s="4">
        <v>2</v>
      </c>
      <c r="P224" s="4"/>
      <c r="Q224" s="4"/>
      <c r="R224" s="4"/>
      <c r="S224" s="4"/>
      <c r="T224" s="4"/>
      <c r="U224" s="4"/>
      <c r="V224" s="4"/>
      <c r="W224" s="4">
        <v>129838.11</v>
      </c>
      <c r="X224" s="4">
        <v>1</v>
      </c>
      <c r="Y224" s="4">
        <v>129838.11</v>
      </c>
      <c r="Z224" s="4"/>
      <c r="AA224" s="4"/>
      <c r="AB224" s="4"/>
    </row>
    <row r="225" spans="1:28" x14ac:dyDescent="0.2">
      <c r="A225" s="4">
        <v>50</v>
      </c>
      <c r="B225" s="4">
        <v>0</v>
      </c>
      <c r="C225" s="4">
        <v>0</v>
      </c>
      <c r="D225" s="4">
        <v>1</v>
      </c>
      <c r="E225" s="4">
        <v>227</v>
      </c>
      <c r="F225" s="4">
        <f>ROUND(Source!AX218,O225)</f>
        <v>0</v>
      </c>
      <c r="G225" s="4" t="s">
        <v>114</v>
      </c>
      <c r="H225" s="4" t="s">
        <v>115</v>
      </c>
      <c r="I225" s="4"/>
      <c r="J225" s="4"/>
      <c r="K225" s="4">
        <v>227</v>
      </c>
      <c r="L225" s="4">
        <v>6</v>
      </c>
      <c r="M225" s="4">
        <v>3</v>
      </c>
      <c r="N225" s="4" t="s">
        <v>3</v>
      </c>
      <c r="O225" s="4">
        <v>2</v>
      </c>
      <c r="P225" s="4"/>
      <c r="Q225" s="4"/>
      <c r="R225" s="4"/>
      <c r="S225" s="4"/>
      <c r="T225" s="4"/>
      <c r="U225" s="4"/>
      <c r="V225" s="4"/>
      <c r="W225" s="4">
        <v>0</v>
      </c>
      <c r="X225" s="4">
        <v>1</v>
      </c>
      <c r="Y225" s="4">
        <v>0</v>
      </c>
      <c r="Z225" s="4"/>
      <c r="AA225" s="4"/>
      <c r="AB225" s="4"/>
    </row>
    <row r="226" spans="1:28" x14ac:dyDescent="0.2">
      <c r="A226" s="4">
        <v>50</v>
      </c>
      <c r="B226" s="4">
        <v>0</v>
      </c>
      <c r="C226" s="4">
        <v>0</v>
      </c>
      <c r="D226" s="4">
        <v>1</v>
      </c>
      <c r="E226" s="4">
        <v>228</v>
      </c>
      <c r="F226" s="4">
        <f>ROUND(Source!AY218,O226)</f>
        <v>129838.11</v>
      </c>
      <c r="G226" s="4" t="s">
        <v>116</v>
      </c>
      <c r="H226" s="4" t="s">
        <v>117</v>
      </c>
      <c r="I226" s="4"/>
      <c r="J226" s="4"/>
      <c r="K226" s="4">
        <v>228</v>
      </c>
      <c r="L226" s="4">
        <v>7</v>
      </c>
      <c r="M226" s="4">
        <v>3</v>
      </c>
      <c r="N226" s="4" t="s">
        <v>3</v>
      </c>
      <c r="O226" s="4">
        <v>2</v>
      </c>
      <c r="P226" s="4"/>
      <c r="Q226" s="4"/>
      <c r="R226" s="4"/>
      <c r="S226" s="4"/>
      <c r="T226" s="4"/>
      <c r="U226" s="4"/>
      <c r="V226" s="4"/>
      <c r="W226" s="4">
        <v>129838.11</v>
      </c>
      <c r="X226" s="4">
        <v>1</v>
      </c>
      <c r="Y226" s="4">
        <v>129838.11</v>
      </c>
      <c r="Z226" s="4"/>
      <c r="AA226" s="4"/>
      <c r="AB226" s="4"/>
    </row>
    <row r="227" spans="1:28" x14ac:dyDescent="0.2">
      <c r="A227" s="4">
        <v>50</v>
      </c>
      <c r="B227" s="4">
        <v>0</v>
      </c>
      <c r="C227" s="4">
        <v>0</v>
      </c>
      <c r="D227" s="4">
        <v>1</v>
      </c>
      <c r="E227" s="4">
        <v>216</v>
      </c>
      <c r="F227" s="4">
        <f>ROUND(Source!AP218,O227)</f>
        <v>0</v>
      </c>
      <c r="G227" s="4" t="s">
        <v>118</v>
      </c>
      <c r="H227" s="4" t="s">
        <v>119</v>
      </c>
      <c r="I227" s="4"/>
      <c r="J227" s="4"/>
      <c r="K227" s="4">
        <v>216</v>
      </c>
      <c r="L227" s="4">
        <v>8</v>
      </c>
      <c r="M227" s="4">
        <v>3</v>
      </c>
      <c r="N227" s="4" t="s">
        <v>3</v>
      </c>
      <c r="O227" s="4">
        <v>2</v>
      </c>
      <c r="P227" s="4"/>
      <c r="Q227" s="4"/>
      <c r="R227" s="4"/>
      <c r="S227" s="4"/>
      <c r="T227" s="4"/>
      <c r="U227" s="4"/>
      <c r="V227" s="4"/>
      <c r="W227" s="4">
        <v>0</v>
      </c>
      <c r="X227" s="4">
        <v>1</v>
      </c>
      <c r="Y227" s="4">
        <v>0</v>
      </c>
      <c r="Z227" s="4"/>
      <c r="AA227" s="4"/>
      <c r="AB227" s="4"/>
    </row>
    <row r="228" spans="1:28" x14ac:dyDescent="0.2">
      <c r="A228" s="4">
        <v>50</v>
      </c>
      <c r="B228" s="4">
        <v>0</v>
      </c>
      <c r="C228" s="4">
        <v>0</v>
      </c>
      <c r="D228" s="4">
        <v>1</v>
      </c>
      <c r="E228" s="4">
        <v>223</v>
      </c>
      <c r="F228" s="4">
        <f>ROUND(Source!AQ218,O228)</f>
        <v>0</v>
      </c>
      <c r="G228" s="4" t="s">
        <v>120</v>
      </c>
      <c r="H228" s="4" t="s">
        <v>121</v>
      </c>
      <c r="I228" s="4"/>
      <c r="J228" s="4"/>
      <c r="K228" s="4">
        <v>223</v>
      </c>
      <c r="L228" s="4">
        <v>9</v>
      </c>
      <c r="M228" s="4">
        <v>3</v>
      </c>
      <c r="N228" s="4" t="s">
        <v>3</v>
      </c>
      <c r="O228" s="4">
        <v>2</v>
      </c>
      <c r="P228" s="4"/>
      <c r="Q228" s="4"/>
      <c r="R228" s="4"/>
      <c r="S228" s="4"/>
      <c r="T228" s="4"/>
      <c r="U228" s="4"/>
      <c r="V228" s="4"/>
      <c r="W228" s="4">
        <v>0</v>
      </c>
      <c r="X228" s="4">
        <v>1</v>
      </c>
      <c r="Y228" s="4">
        <v>0</v>
      </c>
      <c r="Z228" s="4"/>
      <c r="AA228" s="4"/>
      <c r="AB228" s="4"/>
    </row>
    <row r="229" spans="1:28" x14ac:dyDescent="0.2">
      <c r="A229" s="4">
        <v>50</v>
      </c>
      <c r="B229" s="4">
        <v>0</v>
      </c>
      <c r="C229" s="4">
        <v>0</v>
      </c>
      <c r="D229" s="4">
        <v>1</v>
      </c>
      <c r="E229" s="4">
        <v>229</v>
      </c>
      <c r="F229" s="4">
        <f>ROUND(Source!AZ218,O229)</f>
        <v>0</v>
      </c>
      <c r="G229" s="4" t="s">
        <v>122</v>
      </c>
      <c r="H229" s="4" t="s">
        <v>123</v>
      </c>
      <c r="I229" s="4"/>
      <c r="J229" s="4"/>
      <c r="K229" s="4">
        <v>229</v>
      </c>
      <c r="L229" s="4">
        <v>10</v>
      </c>
      <c r="M229" s="4">
        <v>3</v>
      </c>
      <c r="N229" s="4" t="s">
        <v>3</v>
      </c>
      <c r="O229" s="4">
        <v>2</v>
      </c>
      <c r="P229" s="4"/>
      <c r="Q229" s="4"/>
      <c r="R229" s="4"/>
      <c r="S229" s="4"/>
      <c r="T229" s="4"/>
      <c r="U229" s="4"/>
      <c r="V229" s="4"/>
      <c r="W229" s="4">
        <v>0</v>
      </c>
      <c r="X229" s="4">
        <v>1</v>
      </c>
      <c r="Y229" s="4">
        <v>0</v>
      </c>
      <c r="Z229" s="4"/>
      <c r="AA229" s="4"/>
      <c r="AB229" s="4"/>
    </row>
    <row r="230" spans="1:28" x14ac:dyDescent="0.2">
      <c r="A230" s="4">
        <v>50</v>
      </c>
      <c r="B230" s="4">
        <v>0</v>
      </c>
      <c r="C230" s="4">
        <v>0</v>
      </c>
      <c r="D230" s="4">
        <v>1</v>
      </c>
      <c r="E230" s="4">
        <v>203</v>
      </c>
      <c r="F230" s="4">
        <f>ROUND(Source!Q218,O230)</f>
        <v>840.39</v>
      </c>
      <c r="G230" s="4" t="s">
        <v>124</v>
      </c>
      <c r="H230" s="4" t="s">
        <v>125</v>
      </c>
      <c r="I230" s="4"/>
      <c r="J230" s="4"/>
      <c r="K230" s="4">
        <v>203</v>
      </c>
      <c r="L230" s="4">
        <v>11</v>
      </c>
      <c r="M230" s="4">
        <v>3</v>
      </c>
      <c r="N230" s="4" t="s">
        <v>3</v>
      </c>
      <c r="O230" s="4">
        <v>2</v>
      </c>
      <c r="P230" s="4"/>
      <c r="Q230" s="4"/>
      <c r="R230" s="4"/>
      <c r="S230" s="4"/>
      <c r="T230" s="4"/>
      <c r="U230" s="4"/>
      <c r="V230" s="4"/>
      <c r="W230" s="4">
        <v>840.39</v>
      </c>
      <c r="X230" s="4">
        <v>1</v>
      </c>
      <c r="Y230" s="4">
        <v>840.39</v>
      </c>
      <c r="Z230" s="4"/>
      <c r="AA230" s="4"/>
      <c r="AB230" s="4"/>
    </row>
    <row r="231" spans="1:28" x14ac:dyDescent="0.2">
      <c r="A231" s="4">
        <v>50</v>
      </c>
      <c r="B231" s="4">
        <v>0</v>
      </c>
      <c r="C231" s="4">
        <v>0</v>
      </c>
      <c r="D231" s="4">
        <v>1</v>
      </c>
      <c r="E231" s="4">
        <v>231</v>
      </c>
      <c r="F231" s="4">
        <f>ROUND(Source!BB218,O231)</f>
        <v>0</v>
      </c>
      <c r="G231" s="4" t="s">
        <v>126</v>
      </c>
      <c r="H231" s="4" t="s">
        <v>127</v>
      </c>
      <c r="I231" s="4"/>
      <c r="J231" s="4"/>
      <c r="K231" s="4">
        <v>231</v>
      </c>
      <c r="L231" s="4">
        <v>12</v>
      </c>
      <c r="M231" s="4">
        <v>3</v>
      </c>
      <c r="N231" s="4" t="s">
        <v>3</v>
      </c>
      <c r="O231" s="4">
        <v>2</v>
      </c>
      <c r="P231" s="4"/>
      <c r="Q231" s="4"/>
      <c r="R231" s="4"/>
      <c r="S231" s="4"/>
      <c r="T231" s="4"/>
      <c r="U231" s="4"/>
      <c r="V231" s="4"/>
      <c r="W231" s="4">
        <v>0</v>
      </c>
      <c r="X231" s="4">
        <v>1</v>
      </c>
      <c r="Y231" s="4">
        <v>0</v>
      </c>
      <c r="Z231" s="4"/>
      <c r="AA231" s="4"/>
      <c r="AB231" s="4"/>
    </row>
    <row r="232" spans="1:28" x14ac:dyDescent="0.2">
      <c r="A232" s="4">
        <v>50</v>
      </c>
      <c r="B232" s="4">
        <v>0</v>
      </c>
      <c r="C232" s="4">
        <v>0</v>
      </c>
      <c r="D232" s="4">
        <v>1</v>
      </c>
      <c r="E232" s="4">
        <v>204</v>
      </c>
      <c r="F232" s="4">
        <f>ROUND(Source!R218,O232)</f>
        <v>520.04</v>
      </c>
      <c r="G232" s="4" t="s">
        <v>128</v>
      </c>
      <c r="H232" s="4" t="s">
        <v>129</v>
      </c>
      <c r="I232" s="4"/>
      <c r="J232" s="4"/>
      <c r="K232" s="4">
        <v>204</v>
      </c>
      <c r="L232" s="4">
        <v>13</v>
      </c>
      <c r="M232" s="4">
        <v>3</v>
      </c>
      <c r="N232" s="4" t="s">
        <v>3</v>
      </c>
      <c r="O232" s="4">
        <v>2</v>
      </c>
      <c r="P232" s="4"/>
      <c r="Q232" s="4"/>
      <c r="R232" s="4"/>
      <c r="S232" s="4"/>
      <c r="T232" s="4"/>
      <c r="U232" s="4"/>
      <c r="V232" s="4"/>
      <c r="W232" s="4">
        <v>520.04</v>
      </c>
      <c r="X232" s="4">
        <v>1</v>
      </c>
      <c r="Y232" s="4">
        <v>520.04</v>
      </c>
      <c r="Z232" s="4"/>
      <c r="AA232" s="4"/>
      <c r="AB232" s="4"/>
    </row>
    <row r="233" spans="1:28" x14ac:dyDescent="0.2">
      <c r="A233" s="4">
        <v>50</v>
      </c>
      <c r="B233" s="4">
        <v>0</v>
      </c>
      <c r="C233" s="4">
        <v>0</v>
      </c>
      <c r="D233" s="4">
        <v>1</v>
      </c>
      <c r="E233" s="4">
        <v>205</v>
      </c>
      <c r="F233" s="4">
        <f>ROUND(Source!S218,O233)</f>
        <v>79435.28</v>
      </c>
      <c r="G233" s="4" t="s">
        <v>130</v>
      </c>
      <c r="H233" s="4" t="s">
        <v>131</v>
      </c>
      <c r="I233" s="4"/>
      <c r="J233" s="4"/>
      <c r="K233" s="4">
        <v>205</v>
      </c>
      <c r="L233" s="4">
        <v>14</v>
      </c>
      <c r="M233" s="4">
        <v>3</v>
      </c>
      <c r="N233" s="4" t="s">
        <v>3</v>
      </c>
      <c r="O233" s="4">
        <v>2</v>
      </c>
      <c r="P233" s="4"/>
      <c r="Q233" s="4"/>
      <c r="R233" s="4"/>
      <c r="S233" s="4"/>
      <c r="T233" s="4"/>
      <c r="U233" s="4"/>
      <c r="V233" s="4"/>
      <c r="W233" s="4">
        <v>79435.28</v>
      </c>
      <c r="X233" s="4">
        <v>1</v>
      </c>
      <c r="Y233" s="4">
        <v>79435.28</v>
      </c>
      <c r="Z233" s="4"/>
      <c r="AA233" s="4"/>
      <c r="AB233" s="4"/>
    </row>
    <row r="234" spans="1:28" x14ac:dyDescent="0.2">
      <c r="A234" s="4">
        <v>50</v>
      </c>
      <c r="B234" s="4">
        <v>0</v>
      </c>
      <c r="C234" s="4">
        <v>0</v>
      </c>
      <c r="D234" s="4">
        <v>1</v>
      </c>
      <c r="E234" s="4">
        <v>232</v>
      </c>
      <c r="F234" s="4">
        <f>ROUND(Source!BC218,O234)</f>
        <v>0</v>
      </c>
      <c r="G234" s="4" t="s">
        <v>132</v>
      </c>
      <c r="H234" s="4" t="s">
        <v>133</v>
      </c>
      <c r="I234" s="4"/>
      <c r="J234" s="4"/>
      <c r="K234" s="4">
        <v>232</v>
      </c>
      <c r="L234" s="4">
        <v>15</v>
      </c>
      <c r="M234" s="4">
        <v>3</v>
      </c>
      <c r="N234" s="4" t="s">
        <v>3</v>
      </c>
      <c r="O234" s="4">
        <v>2</v>
      </c>
      <c r="P234" s="4"/>
      <c r="Q234" s="4"/>
      <c r="R234" s="4"/>
      <c r="S234" s="4"/>
      <c r="T234" s="4"/>
      <c r="U234" s="4"/>
      <c r="V234" s="4"/>
      <c r="W234" s="4">
        <v>0</v>
      </c>
      <c r="X234" s="4">
        <v>1</v>
      </c>
      <c r="Y234" s="4">
        <v>0</v>
      </c>
      <c r="Z234" s="4"/>
      <c r="AA234" s="4"/>
      <c r="AB234" s="4"/>
    </row>
    <row r="235" spans="1:28" x14ac:dyDescent="0.2">
      <c r="A235" s="4">
        <v>50</v>
      </c>
      <c r="B235" s="4">
        <v>0</v>
      </c>
      <c r="C235" s="4">
        <v>0</v>
      </c>
      <c r="D235" s="4">
        <v>1</v>
      </c>
      <c r="E235" s="4">
        <v>214</v>
      </c>
      <c r="F235" s="4">
        <f>ROUND(Source!AS218,O235)</f>
        <v>302909.68</v>
      </c>
      <c r="G235" s="4" t="s">
        <v>134</v>
      </c>
      <c r="H235" s="4" t="s">
        <v>135</v>
      </c>
      <c r="I235" s="4"/>
      <c r="J235" s="4"/>
      <c r="K235" s="4">
        <v>214</v>
      </c>
      <c r="L235" s="4">
        <v>16</v>
      </c>
      <c r="M235" s="4">
        <v>3</v>
      </c>
      <c r="N235" s="4" t="s">
        <v>3</v>
      </c>
      <c r="O235" s="4">
        <v>2</v>
      </c>
      <c r="P235" s="4"/>
      <c r="Q235" s="4"/>
      <c r="R235" s="4"/>
      <c r="S235" s="4"/>
      <c r="T235" s="4"/>
      <c r="U235" s="4"/>
      <c r="V235" s="4"/>
      <c r="W235" s="4">
        <v>302909.68</v>
      </c>
      <c r="X235" s="4">
        <v>1</v>
      </c>
      <c r="Y235" s="4">
        <v>302909.68</v>
      </c>
      <c r="Z235" s="4"/>
      <c r="AA235" s="4"/>
      <c r="AB235" s="4"/>
    </row>
    <row r="236" spans="1:28" x14ac:dyDescent="0.2">
      <c r="A236" s="4">
        <v>50</v>
      </c>
      <c r="B236" s="4">
        <v>0</v>
      </c>
      <c r="C236" s="4">
        <v>0</v>
      </c>
      <c r="D236" s="4">
        <v>1</v>
      </c>
      <c r="E236" s="4">
        <v>215</v>
      </c>
      <c r="F236" s="4">
        <f>ROUND(Source!AT218,O236)</f>
        <v>22090.32</v>
      </c>
      <c r="G236" s="4" t="s">
        <v>136</v>
      </c>
      <c r="H236" s="4" t="s">
        <v>137</v>
      </c>
      <c r="I236" s="4"/>
      <c r="J236" s="4"/>
      <c r="K236" s="4">
        <v>215</v>
      </c>
      <c r="L236" s="4">
        <v>17</v>
      </c>
      <c r="M236" s="4">
        <v>3</v>
      </c>
      <c r="N236" s="4" t="s">
        <v>3</v>
      </c>
      <c r="O236" s="4">
        <v>2</v>
      </c>
      <c r="P236" s="4"/>
      <c r="Q236" s="4"/>
      <c r="R236" s="4"/>
      <c r="S236" s="4"/>
      <c r="T236" s="4"/>
      <c r="U236" s="4"/>
      <c r="V236" s="4"/>
      <c r="W236" s="4">
        <v>22090.32</v>
      </c>
      <c r="X236" s="4">
        <v>1</v>
      </c>
      <c r="Y236" s="4">
        <v>22090.32</v>
      </c>
      <c r="Z236" s="4"/>
      <c r="AA236" s="4"/>
      <c r="AB236" s="4"/>
    </row>
    <row r="237" spans="1:28" x14ac:dyDescent="0.2">
      <c r="A237" s="4">
        <v>50</v>
      </c>
      <c r="B237" s="4">
        <v>0</v>
      </c>
      <c r="C237" s="4">
        <v>0</v>
      </c>
      <c r="D237" s="4">
        <v>1</v>
      </c>
      <c r="E237" s="4">
        <v>217</v>
      </c>
      <c r="F237" s="4">
        <f>ROUND(Source!AU218,O237)</f>
        <v>0</v>
      </c>
      <c r="G237" s="4" t="s">
        <v>138</v>
      </c>
      <c r="H237" s="4" t="s">
        <v>139</v>
      </c>
      <c r="I237" s="4"/>
      <c r="J237" s="4"/>
      <c r="K237" s="4">
        <v>217</v>
      </c>
      <c r="L237" s="4">
        <v>18</v>
      </c>
      <c r="M237" s="4">
        <v>3</v>
      </c>
      <c r="N237" s="4" t="s">
        <v>3</v>
      </c>
      <c r="O237" s="4">
        <v>2</v>
      </c>
      <c r="P237" s="4"/>
      <c r="Q237" s="4"/>
      <c r="R237" s="4"/>
      <c r="S237" s="4"/>
      <c r="T237" s="4"/>
      <c r="U237" s="4"/>
      <c r="V237" s="4"/>
      <c r="W237" s="4">
        <v>0</v>
      </c>
      <c r="X237" s="4">
        <v>1</v>
      </c>
      <c r="Y237" s="4">
        <v>0</v>
      </c>
      <c r="Z237" s="4"/>
      <c r="AA237" s="4"/>
      <c r="AB237" s="4"/>
    </row>
    <row r="238" spans="1:28" x14ac:dyDescent="0.2">
      <c r="A238" s="4">
        <v>50</v>
      </c>
      <c r="B238" s="4">
        <v>0</v>
      </c>
      <c r="C238" s="4">
        <v>0</v>
      </c>
      <c r="D238" s="4">
        <v>1</v>
      </c>
      <c r="E238" s="4">
        <v>230</v>
      </c>
      <c r="F238" s="4">
        <f>ROUND(Source!BA218,O238)</f>
        <v>0</v>
      </c>
      <c r="G238" s="4" t="s">
        <v>140</v>
      </c>
      <c r="H238" s="4" t="s">
        <v>141</v>
      </c>
      <c r="I238" s="4"/>
      <c r="J238" s="4"/>
      <c r="K238" s="4">
        <v>230</v>
      </c>
      <c r="L238" s="4">
        <v>19</v>
      </c>
      <c r="M238" s="4">
        <v>3</v>
      </c>
      <c r="N238" s="4" t="s">
        <v>3</v>
      </c>
      <c r="O238" s="4">
        <v>2</v>
      </c>
      <c r="P238" s="4"/>
      <c r="Q238" s="4"/>
      <c r="R238" s="4"/>
      <c r="S238" s="4"/>
      <c r="T238" s="4"/>
      <c r="U238" s="4"/>
      <c r="V238" s="4"/>
      <c r="W238" s="4">
        <v>0</v>
      </c>
      <c r="X238" s="4">
        <v>1</v>
      </c>
      <c r="Y238" s="4">
        <v>0</v>
      </c>
      <c r="Z238" s="4"/>
      <c r="AA238" s="4"/>
      <c r="AB238" s="4"/>
    </row>
    <row r="239" spans="1:28" x14ac:dyDescent="0.2">
      <c r="A239" s="4">
        <v>50</v>
      </c>
      <c r="B239" s="4">
        <v>0</v>
      </c>
      <c r="C239" s="4">
        <v>0</v>
      </c>
      <c r="D239" s="4">
        <v>1</v>
      </c>
      <c r="E239" s="4">
        <v>206</v>
      </c>
      <c r="F239" s="4">
        <f>ROUND(Source!T218,O239)</f>
        <v>0</v>
      </c>
      <c r="G239" s="4" t="s">
        <v>142</v>
      </c>
      <c r="H239" s="4" t="s">
        <v>143</v>
      </c>
      <c r="I239" s="4"/>
      <c r="J239" s="4"/>
      <c r="K239" s="4">
        <v>206</v>
      </c>
      <c r="L239" s="4">
        <v>20</v>
      </c>
      <c r="M239" s="4">
        <v>3</v>
      </c>
      <c r="N239" s="4" t="s">
        <v>3</v>
      </c>
      <c r="O239" s="4">
        <v>2</v>
      </c>
      <c r="P239" s="4"/>
      <c r="Q239" s="4"/>
      <c r="R239" s="4"/>
      <c r="S239" s="4"/>
      <c r="T239" s="4"/>
      <c r="U239" s="4"/>
      <c r="V239" s="4"/>
      <c r="W239" s="4">
        <v>0</v>
      </c>
      <c r="X239" s="4">
        <v>1</v>
      </c>
      <c r="Y239" s="4">
        <v>0</v>
      </c>
      <c r="Z239" s="4"/>
      <c r="AA239" s="4"/>
      <c r="AB239" s="4"/>
    </row>
    <row r="240" spans="1:28" x14ac:dyDescent="0.2">
      <c r="A240" s="4">
        <v>50</v>
      </c>
      <c r="B240" s="4">
        <v>0</v>
      </c>
      <c r="C240" s="4">
        <v>0</v>
      </c>
      <c r="D240" s="4">
        <v>1</v>
      </c>
      <c r="E240" s="4">
        <v>207</v>
      </c>
      <c r="F240" s="4">
        <f>Source!U218</f>
        <v>336.12007495</v>
      </c>
      <c r="G240" s="4" t="s">
        <v>144</v>
      </c>
      <c r="H240" s="4" t="s">
        <v>145</v>
      </c>
      <c r="I240" s="4"/>
      <c r="J240" s="4"/>
      <c r="K240" s="4">
        <v>207</v>
      </c>
      <c r="L240" s="4">
        <v>21</v>
      </c>
      <c r="M240" s="4">
        <v>3</v>
      </c>
      <c r="N240" s="4" t="s">
        <v>3</v>
      </c>
      <c r="O240" s="4">
        <v>-1</v>
      </c>
      <c r="P240" s="4"/>
      <c r="Q240" s="4"/>
      <c r="R240" s="4"/>
      <c r="S240" s="4"/>
      <c r="T240" s="4"/>
      <c r="U240" s="4"/>
      <c r="V240" s="4"/>
      <c r="W240" s="4">
        <v>336.12007499999999</v>
      </c>
      <c r="X240" s="4">
        <v>1</v>
      </c>
      <c r="Y240" s="4">
        <v>336.12007499999999</v>
      </c>
      <c r="Z240" s="4"/>
      <c r="AA240" s="4"/>
      <c r="AB240" s="4"/>
    </row>
    <row r="241" spans="1:28" x14ac:dyDescent="0.2">
      <c r="A241" s="4">
        <v>50</v>
      </c>
      <c r="B241" s="4">
        <v>0</v>
      </c>
      <c r="C241" s="4">
        <v>0</v>
      </c>
      <c r="D241" s="4">
        <v>1</v>
      </c>
      <c r="E241" s="4">
        <v>208</v>
      </c>
      <c r="F241" s="4">
        <f>Source!V218</f>
        <v>1.9966502500000001</v>
      </c>
      <c r="G241" s="4" t="s">
        <v>146</v>
      </c>
      <c r="H241" s="4" t="s">
        <v>147</v>
      </c>
      <c r="I241" s="4"/>
      <c r="J241" s="4"/>
      <c r="K241" s="4">
        <v>208</v>
      </c>
      <c r="L241" s="4">
        <v>22</v>
      </c>
      <c r="M241" s="4">
        <v>3</v>
      </c>
      <c r="N241" s="4" t="s">
        <v>3</v>
      </c>
      <c r="O241" s="4">
        <v>-1</v>
      </c>
      <c r="P241" s="4"/>
      <c r="Q241" s="4"/>
      <c r="R241" s="4"/>
      <c r="S241" s="4"/>
      <c r="T241" s="4"/>
      <c r="U241" s="4"/>
      <c r="V241" s="4"/>
      <c r="W241" s="4">
        <v>1.9945628</v>
      </c>
      <c r="X241" s="4">
        <v>1</v>
      </c>
      <c r="Y241" s="4">
        <v>1.9945628</v>
      </c>
      <c r="Z241" s="4"/>
      <c r="AA241" s="4"/>
      <c r="AB241" s="4"/>
    </row>
    <row r="242" spans="1:28" x14ac:dyDescent="0.2">
      <c r="A242" s="4">
        <v>50</v>
      </c>
      <c r="B242" s="4">
        <v>0</v>
      </c>
      <c r="C242" s="4">
        <v>0</v>
      </c>
      <c r="D242" s="4">
        <v>1</v>
      </c>
      <c r="E242" s="4">
        <v>209</v>
      </c>
      <c r="F242" s="4">
        <f>ROUND(Source!W218,O242)</f>
        <v>0</v>
      </c>
      <c r="G242" s="4" t="s">
        <v>148</v>
      </c>
      <c r="H242" s="4" t="s">
        <v>149</v>
      </c>
      <c r="I242" s="4"/>
      <c r="J242" s="4"/>
      <c r="K242" s="4">
        <v>209</v>
      </c>
      <c r="L242" s="4">
        <v>23</v>
      </c>
      <c r="M242" s="4">
        <v>3</v>
      </c>
      <c r="N242" s="4" t="s">
        <v>3</v>
      </c>
      <c r="O242" s="4">
        <v>2</v>
      </c>
      <c r="P242" s="4"/>
      <c r="Q242" s="4"/>
      <c r="R242" s="4"/>
      <c r="S242" s="4"/>
      <c r="T242" s="4"/>
      <c r="U242" s="4"/>
      <c r="V242" s="4"/>
      <c r="W242" s="4">
        <v>0</v>
      </c>
      <c r="X242" s="4">
        <v>1</v>
      </c>
      <c r="Y242" s="4">
        <v>0</v>
      </c>
      <c r="Z242" s="4"/>
      <c r="AA242" s="4"/>
      <c r="AB242" s="4"/>
    </row>
    <row r="243" spans="1:28" x14ac:dyDescent="0.2">
      <c r="A243" s="4">
        <v>50</v>
      </c>
      <c r="B243" s="4">
        <v>0</v>
      </c>
      <c r="C243" s="4">
        <v>0</v>
      </c>
      <c r="D243" s="4">
        <v>1</v>
      </c>
      <c r="E243" s="4">
        <v>233</v>
      </c>
      <c r="F243" s="4">
        <f>ROUND(Source!BD218,O243)</f>
        <v>1111.47</v>
      </c>
      <c r="G243" s="4" t="s">
        <v>150</v>
      </c>
      <c r="H243" s="4" t="s">
        <v>151</v>
      </c>
      <c r="I243" s="4"/>
      <c r="J243" s="4"/>
      <c r="K243" s="4">
        <v>233</v>
      </c>
      <c r="L243" s="4">
        <v>24</v>
      </c>
      <c r="M243" s="4">
        <v>3</v>
      </c>
      <c r="N243" s="4" t="s">
        <v>3</v>
      </c>
      <c r="O243" s="4">
        <v>2</v>
      </c>
      <c r="P243" s="4"/>
      <c r="Q243" s="4"/>
      <c r="R243" s="4"/>
      <c r="S243" s="4"/>
      <c r="T243" s="4"/>
      <c r="U243" s="4"/>
      <c r="V243" s="4"/>
      <c r="W243" s="4">
        <v>1111.47</v>
      </c>
      <c r="X243" s="4">
        <v>1</v>
      </c>
      <c r="Y243" s="4">
        <v>1111.47</v>
      </c>
      <c r="Z243" s="4"/>
      <c r="AA243" s="4"/>
      <c r="AB243" s="4"/>
    </row>
    <row r="244" spans="1:28" x14ac:dyDescent="0.2">
      <c r="A244" s="4">
        <v>50</v>
      </c>
      <c r="B244" s="4">
        <v>0</v>
      </c>
      <c r="C244" s="4">
        <v>0</v>
      </c>
      <c r="D244" s="4">
        <v>1</v>
      </c>
      <c r="E244" s="4">
        <v>210</v>
      </c>
      <c r="F244" s="4">
        <f>ROUND(Source!X218,O244)</f>
        <v>74915.31</v>
      </c>
      <c r="G244" s="4" t="s">
        <v>152</v>
      </c>
      <c r="H244" s="4" t="s">
        <v>153</v>
      </c>
      <c r="I244" s="4"/>
      <c r="J244" s="4"/>
      <c r="K244" s="4">
        <v>210</v>
      </c>
      <c r="L244" s="4">
        <v>25</v>
      </c>
      <c r="M244" s="4">
        <v>3</v>
      </c>
      <c r="N244" s="4" t="s">
        <v>3</v>
      </c>
      <c r="O244" s="4">
        <v>2</v>
      </c>
      <c r="P244" s="4"/>
      <c r="Q244" s="4"/>
      <c r="R244" s="4"/>
      <c r="S244" s="4"/>
      <c r="T244" s="4"/>
      <c r="U244" s="4"/>
      <c r="V244" s="4"/>
      <c r="W244" s="4">
        <v>74915.31</v>
      </c>
      <c r="X244" s="4">
        <v>1</v>
      </c>
      <c r="Y244" s="4">
        <v>74915.31</v>
      </c>
      <c r="Z244" s="4"/>
      <c r="AA244" s="4"/>
      <c r="AB244" s="4"/>
    </row>
    <row r="245" spans="1:28" x14ac:dyDescent="0.2">
      <c r="A245" s="4">
        <v>50</v>
      </c>
      <c r="B245" s="4">
        <v>0</v>
      </c>
      <c r="C245" s="4">
        <v>0</v>
      </c>
      <c r="D245" s="4">
        <v>1</v>
      </c>
      <c r="E245" s="4">
        <v>211</v>
      </c>
      <c r="F245" s="4">
        <f>ROUND(Source!Y218,O245)</f>
        <v>38339.4</v>
      </c>
      <c r="G245" s="4" t="s">
        <v>154</v>
      </c>
      <c r="H245" s="4" t="s">
        <v>155</v>
      </c>
      <c r="I245" s="4"/>
      <c r="J245" s="4"/>
      <c r="K245" s="4">
        <v>211</v>
      </c>
      <c r="L245" s="4">
        <v>26</v>
      </c>
      <c r="M245" s="4">
        <v>3</v>
      </c>
      <c r="N245" s="4" t="s">
        <v>3</v>
      </c>
      <c r="O245" s="4">
        <v>2</v>
      </c>
      <c r="P245" s="4"/>
      <c r="Q245" s="4"/>
      <c r="R245" s="4"/>
      <c r="S245" s="4"/>
      <c r="T245" s="4"/>
      <c r="U245" s="4"/>
      <c r="V245" s="4"/>
      <c r="W245" s="4">
        <v>38339.4</v>
      </c>
      <c r="X245" s="4">
        <v>1</v>
      </c>
      <c r="Y245" s="4">
        <v>38339.4</v>
      </c>
      <c r="Z245" s="4"/>
      <c r="AA245" s="4"/>
      <c r="AB245" s="4"/>
    </row>
    <row r="246" spans="1:28" x14ac:dyDescent="0.2">
      <c r="A246" s="4">
        <v>50</v>
      </c>
      <c r="B246" s="4">
        <v>0</v>
      </c>
      <c r="C246" s="4">
        <v>0</v>
      </c>
      <c r="D246" s="4">
        <v>1</v>
      </c>
      <c r="E246" s="4">
        <v>224</v>
      </c>
      <c r="F246" s="4">
        <f>ROUND(Source!AR218,O246)</f>
        <v>325000</v>
      </c>
      <c r="G246" s="4" t="s">
        <v>156</v>
      </c>
      <c r="H246" s="4" t="s">
        <v>157</v>
      </c>
      <c r="I246" s="4"/>
      <c r="J246" s="4"/>
      <c r="K246" s="4">
        <v>224</v>
      </c>
      <c r="L246" s="4">
        <v>27</v>
      </c>
      <c r="M246" s="4">
        <v>3</v>
      </c>
      <c r="N246" s="4" t="s">
        <v>3</v>
      </c>
      <c r="O246" s="4">
        <v>2</v>
      </c>
      <c r="P246" s="4"/>
      <c r="Q246" s="4"/>
      <c r="R246" s="4"/>
      <c r="S246" s="4"/>
      <c r="T246" s="4"/>
      <c r="U246" s="4"/>
      <c r="V246" s="4"/>
      <c r="W246" s="4">
        <v>325000</v>
      </c>
      <c r="X246" s="4">
        <v>1</v>
      </c>
      <c r="Y246" s="4">
        <v>325000</v>
      </c>
      <c r="Z246" s="4"/>
      <c r="AA246" s="4"/>
      <c r="AB246" s="4"/>
    </row>
    <row r="249" spans="1:28" x14ac:dyDescent="0.2">
      <c r="A249">
        <v>70</v>
      </c>
      <c r="B249">
        <v>1</v>
      </c>
      <c r="D249">
        <v>1</v>
      </c>
      <c r="E249" t="s">
        <v>207</v>
      </c>
      <c r="F249" t="s">
        <v>208</v>
      </c>
      <c r="G249">
        <v>0</v>
      </c>
      <c r="H249">
        <v>0</v>
      </c>
      <c r="I249" t="s">
        <v>3</v>
      </c>
      <c r="J249">
        <v>1</v>
      </c>
      <c r="K249">
        <v>0</v>
      </c>
      <c r="L249" t="s">
        <v>3</v>
      </c>
      <c r="M249" t="s">
        <v>3</v>
      </c>
      <c r="N249">
        <v>0</v>
      </c>
      <c r="P249" t="s">
        <v>209</v>
      </c>
    </row>
    <row r="250" spans="1:28" x14ac:dyDescent="0.2">
      <c r="A250">
        <v>70</v>
      </c>
      <c r="B250">
        <v>1</v>
      </c>
      <c r="D250">
        <v>2</v>
      </c>
      <c r="E250" t="s">
        <v>210</v>
      </c>
      <c r="F250" t="s">
        <v>211</v>
      </c>
      <c r="G250">
        <v>1</v>
      </c>
      <c r="H250">
        <v>0</v>
      </c>
      <c r="I250" t="s">
        <v>3</v>
      </c>
      <c r="J250">
        <v>1</v>
      </c>
      <c r="K250">
        <v>0</v>
      </c>
      <c r="L250" t="s">
        <v>3</v>
      </c>
      <c r="M250" t="s">
        <v>3</v>
      </c>
      <c r="N250">
        <v>0</v>
      </c>
      <c r="P250" t="s">
        <v>212</v>
      </c>
    </row>
    <row r="251" spans="1:28" x14ac:dyDescent="0.2">
      <c r="A251">
        <v>70</v>
      </c>
      <c r="B251">
        <v>1</v>
      </c>
      <c r="D251">
        <v>3</v>
      </c>
      <c r="E251" t="s">
        <v>213</v>
      </c>
      <c r="F251" t="s">
        <v>214</v>
      </c>
      <c r="G251">
        <v>0</v>
      </c>
      <c r="H251">
        <v>0</v>
      </c>
      <c r="I251" t="s">
        <v>3</v>
      </c>
      <c r="J251">
        <v>1</v>
      </c>
      <c r="K251">
        <v>0</v>
      </c>
      <c r="L251" t="s">
        <v>3</v>
      </c>
      <c r="M251" t="s">
        <v>3</v>
      </c>
      <c r="N251">
        <v>0</v>
      </c>
      <c r="P251" t="s">
        <v>215</v>
      </c>
    </row>
    <row r="252" spans="1:28" x14ac:dyDescent="0.2">
      <c r="A252">
        <v>70</v>
      </c>
      <c r="B252">
        <v>1</v>
      </c>
      <c r="D252">
        <v>4</v>
      </c>
      <c r="E252" t="s">
        <v>216</v>
      </c>
      <c r="F252" t="s">
        <v>217</v>
      </c>
      <c r="G252">
        <v>1</v>
      </c>
      <c r="H252">
        <v>0</v>
      </c>
      <c r="I252" t="s">
        <v>3</v>
      </c>
      <c r="J252">
        <v>2</v>
      </c>
      <c r="K252">
        <v>0</v>
      </c>
      <c r="L252" t="s">
        <v>3</v>
      </c>
      <c r="M252" t="s">
        <v>3</v>
      </c>
      <c r="N252">
        <v>0</v>
      </c>
      <c r="P252" t="s">
        <v>3</v>
      </c>
    </row>
    <row r="253" spans="1:28" x14ac:dyDescent="0.2">
      <c r="A253">
        <v>70</v>
      </c>
      <c r="B253">
        <v>1</v>
      </c>
      <c r="D253">
        <v>5</v>
      </c>
      <c r="E253" t="s">
        <v>218</v>
      </c>
      <c r="F253" t="s">
        <v>219</v>
      </c>
      <c r="G253">
        <v>0</v>
      </c>
      <c r="H253">
        <v>0</v>
      </c>
      <c r="I253" t="s">
        <v>3</v>
      </c>
      <c r="J253">
        <v>2</v>
      </c>
      <c r="K253">
        <v>0</v>
      </c>
      <c r="L253" t="s">
        <v>3</v>
      </c>
      <c r="M253" t="s">
        <v>3</v>
      </c>
      <c r="N253">
        <v>0</v>
      </c>
      <c r="P253" t="s">
        <v>3</v>
      </c>
    </row>
    <row r="254" spans="1:28" x14ac:dyDescent="0.2">
      <c r="A254">
        <v>70</v>
      </c>
      <c r="B254">
        <v>1</v>
      </c>
      <c r="D254">
        <v>6</v>
      </c>
      <c r="E254" t="s">
        <v>220</v>
      </c>
      <c r="F254" t="s">
        <v>221</v>
      </c>
      <c r="G254">
        <v>0</v>
      </c>
      <c r="H254">
        <v>0</v>
      </c>
      <c r="I254" t="s">
        <v>3</v>
      </c>
      <c r="J254">
        <v>2</v>
      </c>
      <c r="K254">
        <v>0</v>
      </c>
      <c r="L254" t="s">
        <v>3</v>
      </c>
      <c r="M254" t="s">
        <v>3</v>
      </c>
      <c r="N254">
        <v>0</v>
      </c>
      <c r="P254" t="s">
        <v>3</v>
      </c>
    </row>
    <row r="255" spans="1:28" x14ac:dyDescent="0.2">
      <c r="A255">
        <v>70</v>
      </c>
      <c r="B255">
        <v>1</v>
      </c>
      <c r="D255">
        <v>7</v>
      </c>
      <c r="E255" t="s">
        <v>222</v>
      </c>
      <c r="F255" t="s">
        <v>223</v>
      </c>
      <c r="G255">
        <v>0</v>
      </c>
      <c r="H255">
        <v>0</v>
      </c>
      <c r="I255" t="s">
        <v>224</v>
      </c>
      <c r="J255">
        <v>0</v>
      </c>
      <c r="K255">
        <v>0</v>
      </c>
      <c r="L255" t="s">
        <v>3</v>
      </c>
      <c r="M255" t="s">
        <v>3</v>
      </c>
      <c r="N255">
        <v>0</v>
      </c>
      <c r="P255" t="s">
        <v>225</v>
      </c>
    </row>
    <row r="256" spans="1:28" x14ac:dyDescent="0.2">
      <c r="A256">
        <v>70</v>
      </c>
      <c r="B256">
        <v>1</v>
      </c>
      <c r="D256">
        <v>8</v>
      </c>
      <c r="E256" t="s">
        <v>226</v>
      </c>
      <c r="F256" t="s">
        <v>227</v>
      </c>
      <c r="G256">
        <v>1</v>
      </c>
      <c r="H256">
        <v>0</v>
      </c>
      <c r="I256" t="s">
        <v>3</v>
      </c>
      <c r="J256">
        <v>4</v>
      </c>
      <c r="K256">
        <v>0</v>
      </c>
      <c r="L256" t="s">
        <v>3</v>
      </c>
      <c r="M256" t="s">
        <v>3</v>
      </c>
      <c r="N256">
        <v>0</v>
      </c>
      <c r="P256" t="s">
        <v>3</v>
      </c>
    </row>
    <row r="257" spans="1:16" x14ac:dyDescent="0.2">
      <c r="A257">
        <v>70</v>
      </c>
      <c r="B257">
        <v>1</v>
      </c>
      <c r="D257">
        <v>9</v>
      </c>
      <c r="E257" t="s">
        <v>228</v>
      </c>
      <c r="F257" t="s">
        <v>229</v>
      </c>
      <c r="G257">
        <v>0</v>
      </c>
      <c r="H257">
        <v>0</v>
      </c>
      <c r="I257" t="s">
        <v>3</v>
      </c>
      <c r="J257">
        <v>4</v>
      </c>
      <c r="K257">
        <v>0</v>
      </c>
      <c r="L257" t="s">
        <v>3</v>
      </c>
      <c r="M257" t="s">
        <v>3</v>
      </c>
      <c r="N257">
        <v>0</v>
      </c>
      <c r="P257" t="s">
        <v>3</v>
      </c>
    </row>
    <row r="258" spans="1:16" x14ac:dyDescent="0.2">
      <c r="A258">
        <v>70</v>
      </c>
      <c r="B258">
        <v>1</v>
      </c>
      <c r="D258">
        <v>10</v>
      </c>
      <c r="E258" t="s">
        <v>230</v>
      </c>
      <c r="F258" t="s">
        <v>231</v>
      </c>
      <c r="G258">
        <v>0</v>
      </c>
      <c r="H258">
        <v>0</v>
      </c>
      <c r="I258" t="s">
        <v>232</v>
      </c>
      <c r="J258">
        <v>4</v>
      </c>
      <c r="K258">
        <v>0</v>
      </c>
      <c r="L258" t="s">
        <v>3</v>
      </c>
      <c r="M258" t="s">
        <v>3</v>
      </c>
      <c r="N258">
        <v>0</v>
      </c>
      <c r="P258" t="s">
        <v>233</v>
      </c>
    </row>
    <row r="259" spans="1:16" x14ac:dyDescent="0.2">
      <c r="A259">
        <v>70</v>
      </c>
      <c r="B259">
        <v>1</v>
      </c>
      <c r="D259">
        <v>11</v>
      </c>
      <c r="E259" t="s">
        <v>234</v>
      </c>
      <c r="F259" t="s">
        <v>235</v>
      </c>
      <c r="G259">
        <v>0</v>
      </c>
      <c r="H259">
        <v>0</v>
      </c>
      <c r="I259" t="s">
        <v>236</v>
      </c>
      <c r="J259">
        <v>0</v>
      </c>
      <c r="K259">
        <v>0</v>
      </c>
      <c r="L259" t="s">
        <v>3</v>
      </c>
      <c r="M259" t="s">
        <v>3</v>
      </c>
      <c r="N259">
        <v>0</v>
      </c>
      <c r="P259" t="s">
        <v>237</v>
      </c>
    </row>
    <row r="260" spans="1:16" x14ac:dyDescent="0.2">
      <c r="A260">
        <v>70</v>
      </c>
      <c r="B260">
        <v>1</v>
      </c>
      <c r="D260">
        <v>12</v>
      </c>
      <c r="E260" t="s">
        <v>238</v>
      </c>
      <c r="F260" t="s">
        <v>239</v>
      </c>
      <c r="G260">
        <v>0</v>
      </c>
      <c r="H260">
        <v>0</v>
      </c>
      <c r="I260" t="s">
        <v>240</v>
      </c>
      <c r="J260">
        <v>0</v>
      </c>
      <c r="K260">
        <v>0</v>
      </c>
      <c r="L260" t="s">
        <v>3</v>
      </c>
      <c r="M260" t="s">
        <v>3</v>
      </c>
      <c r="N260">
        <v>0</v>
      </c>
      <c r="P260" t="s">
        <v>241</v>
      </c>
    </row>
    <row r="261" spans="1:16" x14ac:dyDescent="0.2">
      <c r="A261">
        <v>70</v>
      </c>
      <c r="B261">
        <v>1</v>
      </c>
      <c r="D261">
        <v>13</v>
      </c>
      <c r="E261" t="s">
        <v>242</v>
      </c>
      <c r="F261" t="s">
        <v>243</v>
      </c>
      <c r="G261">
        <v>0</v>
      </c>
      <c r="H261">
        <v>0</v>
      </c>
      <c r="I261" t="s">
        <v>244</v>
      </c>
      <c r="J261">
        <v>0</v>
      </c>
      <c r="K261">
        <v>0</v>
      </c>
      <c r="L261" t="s">
        <v>3</v>
      </c>
      <c r="M261" t="s">
        <v>3</v>
      </c>
      <c r="N261">
        <v>0</v>
      </c>
      <c r="P261" t="s">
        <v>245</v>
      </c>
    </row>
    <row r="262" spans="1:16" x14ac:dyDescent="0.2">
      <c r="A262">
        <v>70</v>
      </c>
      <c r="B262">
        <v>1</v>
      </c>
      <c r="D262">
        <v>14</v>
      </c>
      <c r="E262" t="s">
        <v>246</v>
      </c>
      <c r="F262" t="s">
        <v>247</v>
      </c>
      <c r="G262">
        <v>0</v>
      </c>
      <c r="H262">
        <v>0</v>
      </c>
      <c r="I262" t="s">
        <v>3</v>
      </c>
      <c r="J262">
        <v>0</v>
      </c>
      <c r="K262">
        <v>0</v>
      </c>
      <c r="L262" t="s">
        <v>3</v>
      </c>
      <c r="M262" t="s">
        <v>3</v>
      </c>
      <c r="N262">
        <v>0</v>
      </c>
      <c r="P262" t="s">
        <v>248</v>
      </c>
    </row>
    <row r="263" spans="1:16" x14ac:dyDescent="0.2">
      <c r="A263">
        <v>70</v>
      </c>
      <c r="B263">
        <v>1</v>
      </c>
      <c r="D263">
        <v>15</v>
      </c>
      <c r="E263" t="s">
        <v>249</v>
      </c>
      <c r="F263" t="s">
        <v>250</v>
      </c>
      <c r="G263">
        <v>0</v>
      </c>
      <c r="H263">
        <v>0</v>
      </c>
      <c r="I263" t="s">
        <v>3</v>
      </c>
      <c r="J263">
        <v>3</v>
      </c>
      <c r="K263">
        <v>0</v>
      </c>
      <c r="L263" t="s">
        <v>3</v>
      </c>
      <c r="M263" t="s">
        <v>3</v>
      </c>
      <c r="N263">
        <v>0</v>
      </c>
      <c r="P263" t="s">
        <v>3</v>
      </c>
    </row>
    <row r="264" spans="1:16" x14ac:dyDescent="0.2">
      <c r="A264">
        <v>70</v>
      </c>
      <c r="B264">
        <v>1</v>
      </c>
      <c r="D264">
        <v>16</v>
      </c>
      <c r="E264" t="s">
        <v>251</v>
      </c>
      <c r="F264" t="s">
        <v>252</v>
      </c>
      <c r="G264">
        <v>1</v>
      </c>
      <c r="H264">
        <v>0</v>
      </c>
      <c r="I264" t="s">
        <v>3</v>
      </c>
      <c r="J264">
        <v>3</v>
      </c>
      <c r="K264">
        <v>0</v>
      </c>
      <c r="L264" t="s">
        <v>3</v>
      </c>
      <c r="M264" t="s">
        <v>3</v>
      </c>
      <c r="N264">
        <v>0</v>
      </c>
      <c r="P264" t="s">
        <v>3</v>
      </c>
    </row>
    <row r="265" spans="1:16" x14ac:dyDescent="0.2">
      <c r="A265">
        <v>70</v>
      </c>
      <c r="B265">
        <v>1</v>
      </c>
      <c r="D265">
        <v>1</v>
      </c>
      <c r="E265" t="s">
        <v>253</v>
      </c>
      <c r="F265" t="s">
        <v>254</v>
      </c>
      <c r="G265">
        <v>0.9</v>
      </c>
      <c r="H265">
        <v>1</v>
      </c>
      <c r="I265" t="s">
        <v>255</v>
      </c>
      <c r="J265">
        <v>0</v>
      </c>
      <c r="K265">
        <v>0</v>
      </c>
      <c r="L265" t="s">
        <v>3</v>
      </c>
      <c r="M265" t="s">
        <v>3</v>
      </c>
      <c r="N265">
        <v>0</v>
      </c>
      <c r="P265" t="s">
        <v>256</v>
      </c>
    </row>
    <row r="266" spans="1:16" x14ac:dyDescent="0.2">
      <c r="A266">
        <v>70</v>
      </c>
      <c r="B266">
        <v>1</v>
      </c>
      <c r="D266">
        <v>2</v>
      </c>
      <c r="E266" t="s">
        <v>257</v>
      </c>
      <c r="F266" t="s">
        <v>258</v>
      </c>
      <c r="G266">
        <v>0.85</v>
      </c>
      <c r="H266">
        <v>1</v>
      </c>
      <c r="I266" t="s">
        <v>259</v>
      </c>
      <c r="J266">
        <v>0</v>
      </c>
      <c r="K266">
        <v>0</v>
      </c>
      <c r="L266" t="s">
        <v>3</v>
      </c>
      <c r="M266" t="s">
        <v>3</v>
      </c>
      <c r="N266">
        <v>0</v>
      </c>
      <c r="P266" t="s">
        <v>260</v>
      </c>
    </row>
    <row r="267" spans="1:16" x14ac:dyDescent="0.2">
      <c r="A267">
        <v>70</v>
      </c>
      <c r="B267">
        <v>1</v>
      </c>
      <c r="D267">
        <v>3</v>
      </c>
      <c r="E267" t="s">
        <v>261</v>
      </c>
      <c r="F267" t="s">
        <v>262</v>
      </c>
      <c r="G267">
        <v>1.03</v>
      </c>
      <c r="H267">
        <v>0</v>
      </c>
      <c r="I267" t="s">
        <v>3</v>
      </c>
      <c r="J267">
        <v>0</v>
      </c>
      <c r="K267">
        <v>0</v>
      </c>
      <c r="L267" t="s">
        <v>3</v>
      </c>
      <c r="M267" t="s">
        <v>3</v>
      </c>
      <c r="N267">
        <v>0</v>
      </c>
      <c r="P267" t="s">
        <v>263</v>
      </c>
    </row>
    <row r="268" spans="1:16" x14ac:dyDescent="0.2">
      <c r="A268">
        <v>70</v>
      </c>
      <c r="B268">
        <v>1</v>
      </c>
      <c r="D268">
        <v>4</v>
      </c>
      <c r="E268" t="s">
        <v>264</v>
      </c>
      <c r="F268" t="s">
        <v>265</v>
      </c>
      <c r="G268">
        <v>1.1499999999999999</v>
      </c>
      <c r="H268">
        <v>0</v>
      </c>
      <c r="I268" t="s">
        <v>3</v>
      </c>
      <c r="J268">
        <v>0</v>
      </c>
      <c r="K268">
        <v>0</v>
      </c>
      <c r="L268" t="s">
        <v>3</v>
      </c>
      <c r="M268" t="s">
        <v>3</v>
      </c>
      <c r="N268">
        <v>0</v>
      </c>
      <c r="P268" t="s">
        <v>266</v>
      </c>
    </row>
    <row r="269" spans="1:16" x14ac:dyDescent="0.2">
      <c r="A269">
        <v>70</v>
      </c>
      <c r="B269">
        <v>1</v>
      </c>
      <c r="D269">
        <v>5</v>
      </c>
      <c r="E269" t="s">
        <v>267</v>
      </c>
      <c r="F269" t="s">
        <v>268</v>
      </c>
      <c r="G269">
        <v>7</v>
      </c>
      <c r="H269">
        <v>0</v>
      </c>
      <c r="I269" t="s">
        <v>3</v>
      </c>
      <c r="J269">
        <v>0</v>
      </c>
      <c r="K269">
        <v>0</v>
      </c>
      <c r="L269" t="s">
        <v>3</v>
      </c>
      <c r="M269" t="s">
        <v>3</v>
      </c>
      <c r="N269">
        <v>0</v>
      </c>
      <c r="P269" t="s">
        <v>3</v>
      </c>
    </row>
    <row r="270" spans="1:16" x14ac:dyDescent="0.2">
      <c r="A270">
        <v>70</v>
      </c>
      <c r="B270">
        <v>1</v>
      </c>
      <c r="D270">
        <v>6</v>
      </c>
      <c r="E270" t="s">
        <v>269</v>
      </c>
      <c r="F270" t="s">
        <v>3</v>
      </c>
      <c r="G270">
        <v>2</v>
      </c>
      <c r="H270">
        <v>0</v>
      </c>
      <c r="I270" t="s">
        <v>3</v>
      </c>
      <c r="J270">
        <v>0</v>
      </c>
      <c r="K270">
        <v>0</v>
      </c>
      <c r="L270" t="s">
        <v>3</v>
      </c>
      <c r="M270" t="s">
        <v>3</v>
      </c>
      <c r="N270">
        <v>0</v>
      </c>
      <c r="P270" t="s">
        <v>3</v>
      </c>
    </row>
    <row r="272" spans="1:16" x14ac:dyDescent="0.2">
      <c r="A272">
        <v>-1</v>
      </c>
    </row>
    <row r="274" spans="1:50" x14ac:dyDescent="0.2">
      <c r="A274" s="3">
        <v>75</v>
      </c>
      <c r="B274" s="3" t="s">
        <v>270</v>
      </c>
      <c r="C274" s="3">
        <v>2023</v>
      </c>
      <c r="D274" s="3">
        <v>3</v>
      </c>
      <c r="E274" s="3">
        <v>0</v>
      </c>
      <c r="F274" s="3">
        <v>1</v>
      </c>
      <c r="G274" s="3">
        <v>0</v>
      </c>
      <c r="H274" s="3">
        <v>1</v>
      </c>
      <c r="I274" s="3">
        <v>0</v>
      </c>
      <c r="J274" s="3">
        <v>3</v>
      </c>
      <c r="K274" s="3">
        <v>0</v>
      </c>
      <c r="L274" s="3">
        <v>0</v>
      </c>
      <c r="M274" s="3">
        <v>0</v>
      </c>
      <c r="N274" s="3">
        <v>59552816</v>
      </c>
      <c r="O274" s="3">
        <v>1</v>
      </c>
    </row>
    <row r="275" spans="1:50" x14ac:dyDescent="0.2">
      <c r="A275" s="5">
        <v>2</v>
      </c>
      <c r="B275" s="5" t="s">
        <v>271</v>
      </c>
      <c r="C275" s="5" t="s">
        <v>272</v>
      </c>
      <c r="D275" s="5">
        <v>0</v>
      </c>
      <c r="E275" s="5">
        <v>0</v>
      </c>
      <c r="F275" s="5">
        <v>0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>
        <v>59552817</v>
      </c>
    </row>
    <row r="276" spans="1:50" x14ac:dyDescent="0.2">
      <c r="A276" s="5">
        <v>1</v>
      </c>
      <c r="B276" s="5" t="s">
        <v>273</v>
      </c>
      <c r="C276" s="5" t="s">
        <v>274</v>
      </c>
      <c r="D276" s="5">
        <v>2023</v>
      </c>
      <c r="E276" s="5">
        <v>9</v>
      </c>
      <c r="F276" s="5">
        <v>1</v>
      </c>
      <c r="G276" s="5">
        <v>1</v>
      </c>
      <c r="H276" s="5">
        <v>0</v>
      </c>
      <c r="I276" s="5">
        <v>2</v>
      </c>
      <c r="J276" s="5">
        <v>1</v>
      </c>
      <c r="K276" s="5">
        <v>1</v>
      </c>
      <c r="L276" s="5">
        <v>1</v>
      </c>
      <c r="M276" s="5">
        <v>1</v>
      </c>
      <c r="N276" s="5">
        <v>1</v>
      </c>
      <c r="O276" s="5">
        <v>1</v>
      </c>
      <c r="P276" s="5">
        <v>1</v>
      </c>
      <c r="Q276" s="5">
        <v>1</v>
      </c>
      <c r="R276" s="5" t="s">
        <v>3</v>
      </c>
      <c r="S276" s="5" t="s">
        <v>3</v>
      </c>
      <c r="T276" s="5" t="s">
        <v>3</v>
      </c>
      <c r="U276" s="5" t="s">
        <v>3</v>
      </c>
      <c r="V276" s="5" t="s">
        <v>3</v>
      </c>
      <c r="W276" s="5" t="s">
        <v>3</v>
      </c>
      <c r="X276" s="5" t="s">
        <v>3</v>
      </c>
      <c r="Y276" s="5" t="s">
        <v>3</v>
      </c>
      <c r="Z276" s="5" t="s">
        <v>3</v>
      </c>
      <c r="AA276" s="5" t="s">
        <v>3</v>
      </c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>
        <v>59552818</v>
      </c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80" spans="1:50" x14ac:dyDescent="0.2">
      <c r="A280">
        <v>65</v>
      </c>
      <c r="C280">
        <v>1</v>
      </c>
      <c r="D280">
        <v>0</v>
      </c>
      <c r="E280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275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72803</v>
      </c>
      <c r="M1">
        <v>10</v>
      </c>
      <c r="N1">
        <v>11</v>
      </c>
      <c r="O1">
        <v>7</v>
      </c>
      <c r="P1">
        <v>0</v>
      </c>
      <c r="Q1">
        <v>0</v>
      </c>
    </row>
    <row r="12" spans="1:133" x14ac:dyDescent="0.2">
      <c r="A12" s="1">
        <v>1</v>
      </c>
      <c r="B12" s="1">
        <v>51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131595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2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2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489168904</v>
      </c>
      <c r="CI12" s="1" t="s">
        <v>3</v>
      </c>
      <c r="CJ12" s="1" t="s">
        <v>3</v>
      </c>
      <c r="CK12" s="1">
        <v>7</v>
      </c>
      <c r="CL12" s="1"/>
      <c r="CM12" s="1"/>
      <c r="CN12" s="1"/>
      <c r="CO12" s="1"/>
      <c r="CP12" s="1"/>
      <c r="CQ12" s="1" t="s">
        <v>426</v>
      </c>
      <c r="CR12" s="1" t="s">
        <v>12</v>
      </c>
      <c r="CS12" s="1">
        <v>45145</v>
      </c>
      <c r="CT12" s="1">
        <v>468</v>
      </c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59552816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6">
        <v>3</v>
      </c>
      <c r="B16" s="6">
        <v>0</v>
      </c>
      <c r="C16" s="6" t="s">
        <v>13</v>
      </c>
      <c r="D16" s="6" t="s">
        <v>13</v>
      </c>
      <c r="E16" s="7">
        <f>ROUND((Source!F205)/1000,2)</f>
        <v>302.91000000000003</v>
      </c>
      <c r="F16" s="7">
        <f>ROUND((Source!F206)/1000,2)</f>
        <v>22.09</v>
      </c>
      <c r="G16" s="7">
        <f>ROUND((Source!F197)/1000,2)</f>
        <v>0</v>
      </c>
      <c r="H16" s="7">
        <f>ROUND((Source!F207)/1000+(Source!F208)/1000,2)</f>
        <v>0</v>
      </c>
      <c r="I16" s="7">
        <f>E16+F16+G16+H16</f>
        <v>325</v>
      </c>
      <c r="J16" s="7">
        <f>ROUND((Source!F203+Source!F202)/1000,2)</f>
        <v>79.959999999999994</v>
      </c>
      <c r="AI16" s="6">
        <v>0</v>
      </c>
      <c r="AJ16" s="6">
        <v>0</v>
      </c>
      <c r="AK16" s="6" t="s">
        <v>3</v>
      </c>
      <c r="AL16" s="6" t="s">
        <v>3</v>
      </c>
      <c r="AM16" s="6" t="s">
        <v>3</v>
      </c>
      <c r="AN16" s="6">
        <v>0</v>
      </c>
      <c r="AO16" s="6" t="s">
        <v>3</v>
      </c>
      <c r="AP16" s="6" t="s">
        <v>3</v>
      </c>
      <c r="AT16" s="7">
        <v>211745.28999999998</v>
      </c>
      <c r="AU16" s="7">
        <v>129838.11</v>
      </c>
      <c r="AV16" s="7">
        <v>0</v>
      </c>
      <c r="AW16" s="7">
        <v>0</v>
      </c>
      <c r="AX16" s="7">
        <v>0</v>
      </c>
      <c r="AY16" s="7">
        <v>840.39</v>
      </c>
      <c r="AZ16" s="7">
        <v>520.04</v>
      </c>
      <c r="BA16" s="7">
        <v>79435.279999999984</v>
      </c>
      <c r="BB16" s="7">
        <v>302909.68</v>
      </c>
      <c r="BC16" s="7">
        <v>22090.32</v>
      </c>
      <c r="BD16" s="7">
        <v>0</v>
      </c>
      <c r="BE16" s="7">
        <v>0</v>
      </c>
      <c r="BF16" s="7">
        <v>336.12007499999999</v>
      </c>
      <c r="BG16" s="7">
        <v>1.9945628</v>
      </c>
      <c r="BH16" s="7">
        <v>0</v>
      </c>
      <c r="BI16" s="7">
        <v>74915.31</v>
      </c>
      <c r="BJ16" s="7">
        <v>38339.4</v>
      </c>
      <c r="BK16" s="7">
        <v>325000</v>
      </c>
    </row>
    <row r="18" spans="1:19" x14ac:dyDescent="0.2">
      <c r="A18">
        <v>51</v>
      </c>
      <c r="E18" s="8">
        <f>SUMIF(A16:A17,3,E16:E17)</f>
        <v>302.91000000000003</v>
      </c>
      <c r="F18" s="8">
        <f>SUMIF(A16:A17,3,F16:F17)</f>
        <v>22.09</v>
      </c>
      <c r="G18" s="8">
        <f>SUMIF(A16:A17,3,G16:G17)</f>
        <v>0</v>
      </c>
      <c r="H18" s="8">
        <f>SUMIF(A16:A17,3,H16:H17)</f>
        <v>0</v>
      </c>
      <c r="I18" s="8">
        <f>SUMIF(A16:A17,3,I16:I17)</f>
        <v>325</v>
      </c>
      <c r="J18" s="8">
        <f>SUMIF(A16:A17,3,J16:J17)</f>
        <v>79.959999999999994</v>
      </c>
      <c r="K18" s="8"/>
      <c r="L18" s="8"/>
      <c r="M18" s="8"/>
      <c r="N18" s="8"/>
      <c r="O18" s="8"/>
      <c r="P18" s="8"/>
      <c r="Q18" s="8"/>
      <c r="R18" s="8"/>
      <c r="S18" s="8"/>
    </row>
    <row r="20" spans="1:19" x14ac:dyDescent="0.2">
      <c r="A20" s="4">
        <v>50</v>
      </c>
      <c r="B20" s="4">
        <v>0</v>
      </c>
      <c r="C20" s="4">
        <v>0</v>
      </c>
      <c r="D20" s="4">
        <v>1</v>
      </c>
      <c r="E20" s="4">
        <v>201</v>
      </c>
      <c r="F20" s="4">
        <v>211745.29</v>
      </c>
      <c r="G20" s="4" t="s">
        <v>104</v>
      </c>
      <c r="H20" s="4" t="s">
        <v>105</v>
      </c>
      <c r="I20" s="4"/>
      <c r="J20" s="4"/>
      <c r="K20" s="4">
        <v>201</v>
      </c>
      <c r="L20" s="4">
        <v>1</v>
      </c>
      <c r="M20" s="4">
        <v>3</v>
      </c>
      <c r="N20" s="4" t="s">
        <v>3</v>
      </c>
      <c r="O20" s="4">
        <v>2</v>
      </c>
      <c r="P20" s="4"/>
    </row>
    <row r="21" spans="1:19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129838.11</v>
      </c>
      <c r="G21" s="4" t="s">
        <v>106</v>
      </c>
      <c r="H21" s="4" t="s">
        <v>107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9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108</v>
      </c>
      <c r="H22" s="4" t="s">
        <v>109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9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129838.11</v>
      </c>
      <c r="G23" s="4" t="s">
        <v>110</v>
      </c>
      <c r="H23" s="4" t="s">
        <v>111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9" x14ac:dyDescent="0.2">
      <c r="A24" s="4">
        <v>50</v>
      </c>
      <c r="B24" s="4">
        <v>0</v>
      </c>
      <c r="C24" s="4">
        <v>0</v>
      </c>
      <c r="D24" s="4">
        <v>1</v>
      </c>
      <c r="E24" s="4">
        <v>226</v>
      </c>
      <c r="F24" s="4">
        <v>129838.11</v>
      </c>
      <c r="G24" s="4" t="s">
        <v>112</v>
      </c>
      <c r="H24" s="4" t="s">
        <v>113</v>
      </c>
      <c r="I24" s="4"/>
      <c r="J24" s="4"/>
      <c r="K24" s="4">
        <v>226</v>
      </c>
      <c r="L24" s="4">
        <v>5</v>
      </c>
      <c r="M24" s="4">
        <v>3</v>
      </c>
      <c r="N24" s="4" t="s">
        <v>3</v>
      </c>
      <c r="O24" s="4">
        <v>2</v>
      </c>
      <c r="P24" s="4"/>
    </row>
    <row r="25" spans="1:19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114</v>
      </c>
      <c r="H25" s="4" t="s">
        <v>115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9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129838.11</v>
      </c>
      <c r="G26" s="4" t="s">
        <v>116</v>
      </c>
      <c r="H26" s="4" t="s">
        <v>117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9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118</v>
      </c>
      <c r="H27" s="4" t="s">
        <v>119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9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120</v>
      </c>
      <c r="H28" s="4" t="s">
        <v>121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9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122</v>
      </c>
      <c r="H29" s="4" t="s">
        <v>123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9" x14ac:dyDescent="0.2">
      <c r="A30" s="4">
        <v>50</v>
      </c>
      <c r="B30" s="4">
        <v>0</v>
      </c>
      <c r="C30" s="4">
        <v>0</v>
      </c>
      <c r="D30" s="4">
        <v>1</v>
      </c>
      <c r="E30" s="4">
        <v>203</v>
      </c>
      <c r="F30" s="4">
        <v>840.39</v>
      </c>
      <c r="G30" s="4" t="s">
        <v>124</v>
      </c>
      <c r="H30" s="4" t="s">
        <v>125</v>
      </c>
      <c r="I30" s="4"/>
      <c r="J30" s="4"/>
      <c r="K30" s="4">
        <v>203</v>
      </c>
      <c r="L30" s="4">
        <v>11</v>
      </c>
      <c r="M30" s="4">
        <v>3</v>
      </c>
      <c r="N30" s="4" t="s">
        <v>3</v>
      </c>
      <c r="O30" s="4">
        <v>2</v>
      </c>
      <c r="P30" s="4"/>
    </row>
    <row r="31" spans="1:19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126</v>
      </c>
      <c r="H31" s="4" t="s">
        <v>127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9" x14ac:dyDescent="0.2">
      <c r="A32" s="4">
        <v>50</v>
      </c>
      <c r="B32" s="4">
        <v>0</v>
      </c>
      <c r="C32" s="4">
        <v>0</v>
      </c>
      <c r="D32" s="4">
        <v>1</v>
      </c>
      <c r="E32" s="4">
        <v>204</v>
      </c>
      <c r="F32" s="4">
        <v>520.04</v>
      </c>
      <c r="G32" s="4" t="s">
        <v>128</v>
      </c>
      <c r="H32" s="4" t="s">
        <v>129</v>
      </c>
      <c r="I32" s="4"/>
      <c r="J32" s="4"/>
      <c r="K32" s="4">
        <v>204</v>
      </c>
      <c r="L32" s="4">
        <v>13</v>
      </c>
      <c r="M32" s="4">
        <v>3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v>0</v>
      </c>
      <c r="C33" s="4">
        <v>0</v>
      </c>
      <c r="D33" s="4">
        <v>1</v>
      </c>
      <c r="E33" s="4">
        <v>205</v>
      </c>
      <c r="F33" s="4">
        <v>79435.28</v>
      </c>
      <c r="G33" s="4" t="s">
        <v>130</v>
      </c>
      <c r="H33" s="4" t="s">
        <v>131</v>
      </c>
      <c r="I33" s="4"/>
      <c r="J33" s="4"/>
      <c r="K33" s="4">
        <v>205</v>
      </c>
      <c r="L33" s="4">
        <v>14</v>
      </c>
      <c r="M33" s="4">
        <v>3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132</v>
      </c>
      <c r="H34" s="4" t="s">
        <v>133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302909.68</v>
      </c>
      <c r="G35" s="4" t="s">
        <v>134</v>
      </c>
      <c r="H35" s="4" t="s">
        <v>135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22090.32</v>
      </c>
      <c r="G36" s="4" t="s">
        <v>136</v>
      </c>
      <c r="H36" s="4" t="s">
        <v>137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0</v>
      </c>
      <c r="G37" s="4" t="s">
        <v>138</v>
      </c>
      <c r="H37" s="4" t="s">
        <v>139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140</v>
      </c>
      <c r="H38" s="4" t="s">
        <v>141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142</v>
      </c>
      <c r="H39" s="4" t="s">
        <v>143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336.12007499999999</v>
      </c>
      <c r="G40" s="4" t="s">
        <v>144</v>
      </c>
      <c r="H40" s="4" t="s">
        <v>145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1.9945628</v>
      </c>
      <c r="G41" s="4" t="s">
        <v>146</v>
      </c>
      <c r="H41" s="4" t="s">
        <v>147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148</v>
      </c>
      <c r="H42" s="4" t="s">
        <v>149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1111.47</v>
      </c>
      <c r="G43" s="4" t="s">
        <v>150</v>
      </c>
      <c r="H43" s="4" t="s">
        <v>151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v>0</v>
      </c>
      <c r="C44" s="4">
        <v>0</v>
      </c>
      <c r="D44" s="4">
        <v>1</v>
      </c>
      <c r="E44" s="4">
        <v>210</v>
      </c>
      <c r="F44" s="4">
        <v>74915.31</v>
      </c>
      <c r="G44" s="4" t="s">
        <v>152</v>
      </c>
      <c r="H44" s="4" t="s">
        <v>153</v>
      </c>
      <c r="I44" s="4"/>
      <c r="J44" s="4"/>
      <c r="K44" s="4">
        <v>210</v>
      </c>
      <c r="L44" s="4">
        <v>25</v>
      </c>
      <c r="M44" s="4">
        <v>3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v>0</v>
      </c>
      <c r="C45" s="4">
        <v>0</v>
      </c>
      <c r="D45" s="4">
        <v>1</v>
      </c>
      <c r="E45" s="4">
        <v>211</v>
      </c>
      <c r="F45" s="4">
        <v>38339.4</v>
      </c>
      <c r="G45" s="4" t="s">
        <v>154</v>
      </c>
      <c r="H45" s="4" t="s">
        <v>155</v>
      </c>
      <c r="I45" s="4"/>
      <c r="J45" s="4"/>
      <c r="K45" s="4">
        <v>211</v>
      </c>
      <c r="L45" s="4">
        <v>26</v>
      </c>
      <c r="M45" s="4">
        <v>3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v>0</v>
      </c>
      <c r="C46" s="4">
        <v>0</v>
      </c>
      <c r="D46" s="4">
        <v>1</v>
      </c>
      <c r="E46" s="4">
        <v>224</v>
      </c>
      <c r="F46" s="4">
        <v>325000</v>
      </c>
      <c r="G46" s="4" t="s">
        <v>156</v>
      </c>
      <c r="H46" s="4" t="s">
        <v>157</v>
      </c>
      <c r="I46" s="4"/>
      <c r="J46" s="4"/>
      <c r="K46" s="4">
        <v>224</v>
      </c>
      <c r="L46" s="4">
        <v>27</v>
      </c>
      <c r="M46" s="4">
        <v>3</v>
      </c>
      <c r="N46" s="4" t="s">
        <v>3</v>
      </c>
      <c r="O46" s="4">
        <v>2</v>
      </c>
      <c r="P46" s="4"/>
    </row>
    <row r="48" spans="1:16" x14ac:dyDescent="0.2">
      <c r="A48">
        <v>-1</v>
      </c>
    </row>
    <row r="51" spans="1:50" x14ac:dyDescent="0.2">
      <c r="A51" s="3">
        <v>75</v>
      </c>
      <c r="B51" s="3" t="s">
        <v>270</v>
      </c>
      <c r="C51" s="3">
        <v>2023</v>
      </c>
      <c r="D51" s="3">
        <v>3</v>
      </c>
      <c r="E51" s="3">
        <v>0</v>
      </c>
      <c r="F51" s="3">
        <v>1</v>
      </c>
      <c r="G51" s="3">
        <v>0</v>
      </c>
      <c r="H51" s="3">
        <v>1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59552816</v>
      </c>
      <c r="O51" s="3">
        <v>1</v>
      </c>
    </row>
    <row r="52" spans="1:50" x14ac:dyDescent="0.2">
      <c r="A52" s="5">
        <v>2</v>
      </c>
      <c r="B52" s="5" t="s">
        <v>271</v>
      </c>
      <c r="C52" s="5" t="s">
        <v>272</v>
      </c>
      <c r="D52" s="5">
        <v>0</v>
      </c>
      <c r="E52" s="5">
        <v>0</v>
      </c>
      <c r="F52" s="5">
        <v>0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>
        <v>59552817</v>
      </c>
    </row>
    <row r="53" spans="1:50" x14ac:dyDescent="0.2">
      <c r="A53" s="5">
        <v>1</v>
      </c>
      <c r="B53" s="5" t="s">
        <v>273</v>
      </c>
      <c r="C53" s="5" t="s">
        <v>274</v>
      </c>
      <c r="D53" s="5">
        <v>2023</v>
      </c>
      <c r="E53" s="5">
        <v>9</v>
      </c>
      <c r="F53" s="5">
        <v>1</v>
      </c>
      <c r="G53" s="5">
        <v>1</v>
      </c>
      <c r="H53" s="5">
        <v>0</v>
      </c>
      <c r="I53" s="5">
        <v>2</v>
      </c>
      <c r="J53" s="5">
        <v>1</v>
      </c>
      <c r="K53" s="5">
        <v>1</v>
      </c>
      <c r="L53" s="5">
        <v>1</v>
      </c>
      <c r="M53" s="5">
        <v>1</v>
      </c>
      <c r="N53" s="5">
        <v>1</v>
      </c>
      <c r="O53" s="5">
        <v>1</v>
      </c>
      <c r="P53" s="5">
        <v>1</v>
      </c>
      <c r="Q53" s="5">
        <v>1</v>
      </c>
      <c r="R53" s="5" t="s">
        <v>3</v>
      </c>
      <c r="S53" s="5" t="s">
        <v>3</v>
      </c>
      <c r="T53" s="5" t="s">
        <v>3</v>
      </c>
      <c r="U53" s="5" t="s">
        <v>3</v>
      </c>
      <c r="V53" s="5" t="s">
        <v>3</v>
      </c>
      <c r="W53" s="5" t="s">
        <v>3</v>
      </c>
      <c r="X53" s="5" t="s">
        <v>3</v>
      </c>
      <c r="Y53" s="5" t="s">
        <v>3</v>
      </c>
      <c r="Z53" s="5" t="s">
        <v>3</v>
      </c>
      <c r="AA53" s="5" t="s">
        <v>3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>
        <v>59552818</v>
      </c>
      <c r="AO53" s="5"/>
      <c r="AP53" s="5"/>
      <c r="AQ53" s="5"/>
      <c r="AR53" s="5"/>
      <c r="AS53" s="5"/>
      <c r="AT53" s="5"/>
      <c r="AU53" s="5"/>
      <c r="AV53" s="5"/>
      <c r="AW53" s="5"/>
      <c r="AX53" s="5"/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3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ROW(Source!A24)</f>
        <v>24</v>
      </c>
      <c r="B1">
        <v>59552816</v>
      </c>
      <c r="C1">
        <v>59552849</v>
      </c>
      <c r="D1">
        <v>57987249</v>
      </c>
      <c r="E1">
        <v>107</v>
      </c>
      <c r="F1">
        <v>1</v>
      </c>
      <c r="G1">
        <v>1</v>
      </c>
      <c r="H1">
        <v>1</v>
      </c>
      <c r="I1" t="s">
        <v>276</v>
      </c>
      <c r="J1" t="s">
        <v>3</v>
      </c>
      <c r="K1" t="s">
        <v>277</v>
      </c>
      <c r="L1">
        <v>1191</v>
      </c>
      <c r="N1">
        <v>1013</v>
      </c>
      <c r="O1" t="s">
        <v>278</v>
      </c>
      <c r="P1" t="s">
        <v>278</v>
      </c>
      <c r="Q1">
        <v>1</v>
      </c>
      <c r="W1">
        <v>0</v>
      </c>
      <c r="X1">
        <v>2031828327</v>
      </c>
      <c r="Y1">
        <f>AT1</f>
        <v>3.77</v>
      </c>
      <c r="AA1">
        <v>0</v>
      </c>
      <c r="AB1">
        <v>0</v>
      </c>
      <c r="AC1">
        <v>0</v>
      </c>
      <c r="AD1">
        <v>217.26</v>
      </c>
      <c r="AE1">
        <v>0</v>
      </c>
      <c r="AF1">
        <v>0</v>
      </c>
      <c r="AG1">
        <v>0</v>
      </c>
      <c r="AH1">
        <v>217.26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3.77</v>
      </c>
      <c r="AU1" t="s">
        <v>3</v>
      </c>
      <c r="AV1">
        <v>1</v>
      </c>
      <c r="AW1">
        <v>2</v>
      </c>
      <c r="AX1">
        <v>59552850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819.0702</v>
      </c>
      <c r="BN1">
        <v>3.77</v>
      </c>
      <c r="BO1">
        <v>0</v>
      </c>
      <c r="BP1">
        <v>1</v>
      </c>
      <c r="BQ1">
        <v>0</v>
      </c>
      <c r="BR1">
        <v>0</v>
      </c>
      <c r="BS1">
        <v>0</v>
      </c>
      <c r="BT1">
        <v>819.0702</v>
      </c>
      <c r="BU1">
        <v>3.77</v>
      </c>
      <c r="BV1">
        <v>0</v>
      </c>
      <c r="BW1">
        <v>1</v>
      </c>
      <c r="CX1">
        <f>ROUND(Y1*Source!I24,7)</f>
        <v>1.25918</v>
      </c>
      <c r="CY1">
        <f>AD1</f>
        <v>217.26</v>
      </c>
      <c r="CZ1">
        <f>AH1</f>
        <v>217.26</v>
      </c>
      <c r="DA1">
        <f>AL1</f>
        <v>1</v>
      </c>
      <c r="DB1">
        <f>ROUND(ROUND(AT1*CZ1,2),2)</f>
        <v>819.07</v>
      </c>
      <c r="DC1">
        <f>ROUND(ROUND(AT1*AG1,2),2)</f>
        <v>0</v>
      </c>
      <c r="DD1" t="s">
        <v>3</v>
      </c>
      <c r="DE1" t="s">
        <v>3</v>
      </c>
      <c r="DF1">
        <f t="shared" ref="DF1:DF7" si="0">ROUND(ROUND(AE1,2)*CX1,2)</f>
        <v>0</v>
      </c>
      <c r="DG1">
        <f>ROUND(ROUND(AF1,2)*CX1,2)</f>
        <v>0</v>
      </c>
      <c r="DH1">
        <f t="shared" ref="DH1:DH32" si="1">ROUND(ROUND(AG1,2)*CX1,2)</f>
        <v>0</v>
      </c>
      <c r="DI1">
        <f t="shared" ref="DI1:DI32" si="2">ROUND(ROUND(AH1,2)*CX1,2)</f>
        <v>273.57</v>
      </c>
      <c r="DJ1">
        <f>DI1</f>
        <v>273.57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59552816</v>
      </c>
      <c r="C2">
        <v>59552849</v>
      </c>
      <c r="D2">
        <v>57992860</v>
      </c>
      <c r="E2">
        <v>107</v>
      </c>
      <c r="F2">
        <v>1</v>
      </c>
      <c r="G2">
        <v>1</v>
      </c>
      <c r="H2">
        <v>3</v>
      </c>
      <c r="I2" t="s">
        <v>279</v>
      </c>
      <c r="J2" t="s">
        <v>3</v>
      </c>
      <c r="K2" t="s">
        <v>280</v>
      </c>
      <c r="L2">
        <v>1348</v>
      </c>
      <c r="N2">
        <v>1009</v>
      </c>
      <c r="O2" t="s">
        <v>281</v>
      </c>
      <c r="P2" t="s">
        <v>281</v>
      </c>
      <c r="Q2">
        <v>1000</v>
      </c>
      <c r="W2">
        <v>0</v>
      </c>
      <c r="X2">
        <v>2102561428</v>
      </c>
      <c r="Y2">
        <f>AT2</f>
        <v>0.11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0.11</v>
      </c>
      <c r="AU2" t="s">
        <v>3</v>
      </c>
      <c r="AV2">
        <v>0</v>
      </c>
      <c r="AW2">
        <v>2</v>
      </c>
      <c r="AX2">
        <v>59552851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X2">
        <f>ROUND(Y2*Source!I24,7)</f>
        <v>3.6740000000000002E-2</v>
      </c>
      <c r="CY2">
        <f>AA2</f>
        <v>0</v>
      </c>
      <c r="CZ2">
        <f>AE2</f>
        <v>0</v>
      </c>
      <c r="DA2">
        <f>AI2</f>
        <v>1</v>
      </c>
      <c r="DB2">
        <f>ROUND(ROUND(AT2*CZ2,2),2)</f>
        <v>0</v>
      </c>
      <c r="DC2">
        <f>ROUND(ROUND(AT2*AG2,2),2)</f>
        <v>0</v>
      </c>
      <c r="DD2" t="s">
        <v>3</v>
      </c>
      <c r="DE2" t="s">
        <v>3</v>
      </c>
      <c r="DF2">
        <f t="shared" si="0"/>
        <v>0</v>
      </c>
      <c r="DG2">
        <f>ROUND(ROUND(AF2,2)*CX2,2)</f>
        <v>0</v>
      </c>
      <c r="DH2">
        <f t="shared" si="1"/>
        <v>0</v>
      </c>
      <c r="DI2">
        <f t="shared" si="2"/>
        <v>0</v>
      </c>
      <c r="DJ2">
        <f>DF2</f>
        <v>0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ROW(Source!A25)</f>
        <v>25</v>
      </c>
      <c r="B3">
        <v>59552816</v>
      </c>
      <c r="C3">
        <v>59552857</v>
      </c>
      <c r="D3">
        <v>57987303</v>
      </c>
      <c r="E3">
        <v>107</v>
      </c>
      <c r="F3">
        <v>1</v>
      </c>
      <c r="G3">
        <v>1</v>
      </c>
      <c r="H3">
        <v>1</v>
      </c>
      <c r="I3" t="s">
        <v>282</v>
      </c>
      <c r="J3" t="s">
        <v>3</v>
      </c>
      <c r="K3" t="s">
        <v>283</v>
      </c>
      <c r="L3">
        <v>1191</v>
      </c>
      <c r="N3">
        <v>1013</v>
      </c>
      <c r="O3" t="s">
        <v>278</v>
      </c>
      <c r="P3" t="s">
        <v>278</v>
      </c>
      <c r="Q3">
        <v>1</v>
      </c>
      <c r="W3">
        <v>0</v>
      </c>
      <c r="X3">
        <v>-1810713292</v>
      </c>
      <c r="Y3">
        <f>(AT3*ROUND(1.15,7))</f>
        <v>7.6819999999999995</v>
      </c>
      <c r="AA3">
        <v>0</v>
      </c>
      <c r="AB3">
        <v>0</v>
      </c>
      <c r="AC3">
        <v>0</v>
      </c>
      <c r="AD3">
        <v>255.13</v>
      </c>
      <c r="AE3">
        <v>0</v>
      </c>
      <c r="AF3">
        <v>0</v>
      </c>
      <c r="AG3">
        <v>0</v>
      </c>
      <c r="AH3">
        <v>255.13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6.68</v>
      </c>
      <c r="AU3" t="s">
        <v>29</v>
      </c>
      <c r="AV3">
        <v>1</v>
      </c>
      <c r="AW3">
        <v>2</v>
      </c>
      <c r="AX3">
        <v>59552858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1704.2683999999999</v>
      </c>
      <c r="BN3">
        <v>6.68</v>
      </c>
      <c r="BO3">
        <v>0</v>
      </c>
      <c r="BP3">
        <v>1</v>
      </c>
      <c r="BQ3">
        <v>0</v>
      </c>
      <c r="BR3">
        <v>0</v>
      </c>
      <c r="BS3">
        <v>0</v>
      </c>
      <c r="BT3">
        <v>1959.9086599999998</v>
      </c>
      <c r="BU3">
        <v>7.6819999999999995</v>
      </c>
      <c r="BV3">
        <v>0</v>
      </c>
      <c r="BW3">
        <v>1</v>
      </c>
      <c r="CX3">
        <f>ROUND(Y3*Source!I25,7)</f>
        <v>2.565788</v>
      </c>
      <c r="CY3">
        <f>AD3</f>
        <v>255.13</v>
      </c>
      <c r="CZ3">
        <f>AH3</f>
        <v>255.13</v>
      </c>
      <c r="DA3">
        <f>AL3</f>
        <v>1</v>
      </c>
      <c r="DB3">
        <f>ROUND((ROUND(AT3*CZ3,2)*ROUND(1.15,7)),2)</f>
        <v>1959.91</v>
      </c>
      <c r="DC3">
        <f>ROUND((ROUND(AT3*AG3,2)*ROUND(1.15,7)),2)</f>
        <v>0</v>
      </c>
      <c r="DD3" t="s">
        <v>3</v>
      </c>
      <c r="DE3" t="s">
        <v>3</v>
      </c>
      <c r="DF3">
        <f t="shared" si="0"/>
        <v>0</v>
      </c>
      <c r="DG3">
        <f>ROUND(ROUND(AF3,2)*CX3,2)</f>
        <v>0</v>
      </c>
      <c r="DH3">
        <f t="shared" si="1"/>
        <v>0</v>
      </c>
      <c r="DI3">
        <f t="shared" si="2"/>
        <v>654.61</v>
      </c>
      <c r="DJ3">
        <f>DI3</f>
        <v>654.61</v>
      </c>
      <c r="DK3">
        <v>1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ROW(Source!A25)</f>
        <v>25</v>
      </c>
      <c r="B4">
        <v>59552816</v>
      </c>
      <c r="C4">
        <v>59552857</v>
      </c>
      <c r="D4">
        <v>57987490</v>
      </c>
      <c r="E4">
        <v>107</v>
      </c>
      <c r="F4">
        <v>1</v>
      </c>
      <c r="G4">
        <v>1</v>
      </c>
      <c r="H4">
        <v>1</v>
      </c>
      <c r="I4" t="s">
        <v>284</v>
      </c>
      <c r="J4" t="s">
        <v>3</v>
      </c>
      <c r="K4" t="s">
        <v>285</v>
      </c>
      <c r="L4">
        <v>1191</v>
      </c>
      <c r="N4">
        <v>1013</v>
      </c>
      <c r="O4" t="s">
        <v>278</v>
      </c>
      <c r="P4" t="s">
        <v>278</v>
      </c>
      <c r="Q4">
        <v>1</v>
      </c>
      <c r="W4">
        <v>0</v>
      </c>
      <c r="X4">
        <v>-1417349443</v>
      </c>
      <c r="Y4">
        <f>(AT4*ROUND(1.25,7))</f>
        <v>0.05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0.04</v>
      </c>
      <c r="AU4" t="s">
        <v>28</v>
      </c>
      <c r="AV4">
        <v>2</v>
      </c>
      <c r="AW4">
        <v>2</v>
      </c>
      <c r="AX4">
        <v>59552859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0.04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0.05</v>
      </c>
      <c r="BW4">
        <v>1</v>
      </c>
      <c r="CX4">
        <f>ROUND(Y4*Source!I25,7)</f>
        <v>1.67E-2</v>
      </c>
      <c r="CY4">
        <f>AD4</f>
        <v>0</v>
      </c>
      <c r="CZ4">
        <f>AH4</f>
        <v>0</v>
      </c>
      <c r="DA4">
        <f>AL4</f>
        <v>1</v>
      </c>
      <c r="DB4">
        <f>ROUND((ROUND(AT4*CZ4,2)*ROUND(1.25,7)),2)</f>
        <v>0</v>
      </c>
      <c r="DC4">
        <f>ROUND((ROUND(AT4*AG4,2)*ROUND(1.25,7)),2)</f>
        <v>0</v>
      </c>
      <c r="DD4" t="s">
        <v>3</v>
      </c>
      <c r="DE4" t="s">
        <v>3</v>
      </c>
      <c r="DF4">
        <f t="shared" si="0"/>
        <v>0</v>
      </c>
      <c r="DG4">
        <f>ROUND(ROUND(AF4,2)*CX4,2)</f>
        <v>0</v>
      </c>
      <c r="DH4">
        <f t="shared" si="1"/>
        <v>0</v>
      </c>
      <c r="DI4">
        <f t="shared" si="2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ROW(Source!A25)</f>
        <v>25</v>
      </c>
      <c r="B5">
        <v>59552816</v>
      </c>
      <c r="C5">
        <v>59552857</v>
      </c>
      <c r="D5">
        <v>58107260</v>
      </c>
      <c r="E5">
        <v>1</v>
      </c>
      <c r="F5">
        <v>1</v>
      </c>
      <c r="G5">
        <v>1</v>
      </c>
      <c r="H5">
        <v>2</v>
      </c>
      <c r="I5" t="s">
        <v>286</v>
      </c>
      <c r="J5" t="s">
        <v>287</v>
      </c>
      <c r="K5" t="s">
        <v>288</v>
      </c>
      <c r="L5">
        <v>1368</v>
      </c>
      <c r="N5">
        <v>1011</v>
      </c>
      <c r="O5" t="s">
        <v>289</v>
      </c>
      <c r="P5" t="s">
        <v>289</v>
      </c>
      <c r="Q5">
        <v>1</v>
      </c>
      <c r="W5">
        <v>0</v>
      </c>
      <c r="X5">
        <v>-275119293</v>
      </c>
      <c r="Y5">
        <f>(AT5*ROUND(1.25,7))</f>
        <v>6.2500000000000003E-3</v>
      </c>
      <c r="AA5">
        <v>0</v>
      </c>
      <c r="AB5">
        <v>48.89</v>
      </c>
      <c r="AC5">
        <v>237.19</v>
      </c>
      <c r="AD5">
        <v>0</v>
      </c>
      <c r="AE5">
        <v>0</v>
      </c>
      <c r="AF5">
        <v>37.32</v>
      </c>
      <c r="AG5">
        <v>237.19</v>
      </c>
      <c r="AH5">
        <v>0</v>
      </c>
      <c r="AI5">
        <v>1</v>
      </c>
      <c r="AJ5">
        <v>1.31</v>
      </c>
      <c r="AK5">
        <v>1</v>
      </c>
      <c r="AL5">
        <v>1</v>
      </c>
      <c r="AM5">
        <v>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5.0000000000000001E-3</v>
      </c>
      <c r="AU5" t="s">
        <v>28</v>
      </c>
      <c r="AV5">
        <v>1</v>
      </c>
      <c r="AW5">
        <v>2</v>
      </c>
      <c r="AX5">
        <v>59552860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0.18660000000000002</v>
      </c>
      <c r="BL5">
        <v>1.1859500000000001</v>
      </c>
      <c r="BM5">
        <v>0</v>
      </c>
      <c r="BN5">
        <v>0</v>
      </c>
      <c r="BO5">
        <v>0</v>
      </c>
      <c r="BP5">
        <v>1</v>
      </c>
      <c r="BQ5">
        <v>0</v>
      </c>
      <c r="BR5">
        <v>0.23325000000000001</v>
      </c>
      <c r="BS5">
        <v>1.4824375000000001</v>
      </c>
      <c r="BT5">
        <v>0</v>
      </c>
      <c r="BU5">
        <v>0</v>
      </c>
      <c r="BV5">
        <v>0</v>
      </c>
      <c r="BW5">
        <v>1</v>
      </c>
      <c r="CX5">
        <f>ROUND(Y5*Source!I25,7)</f>
        <v>2.0874999999999999E-3</v>
      </c>
      <c r="CY5">
        <f>AB5</f>
        <v>48.89</v>
      </c>
      <c r="CZ5">
        <f>AF5</f>
        <v>37.32</v>
      </c>
      <c r="DA5">
        <f>AJ5</f>
        <v>1.31</v>
      </c>
      <c r="DB5">
        <f>ROUND((ROUND(AT5*CZ5,2)*ROUND(1.25,7)),2)</f>
        <v>0.24</v>
      </c>
      <c r="DC5">
        <f>ROUND((ROUND(AT5*AG5,2)*ROUND(1.25,7)),2)</f>
        <v>1.49</v>
      </c>
      <c r="DD5" t="s">
        <v>3</v>
      </c>
      <c r="DE5" t="s">
        <v>3</v>
      </c>
      <c r="DF5">
        <f t="shared" si="0"/>
        <v>0</v>
      </c>
      <c r="DG5">
        <f>ROUND(ROUND(AF5*AJ5,2)*CX5,2)</f>
        <v>0.1</v>
      </c>
      <c r="DH5">
        <f t="shared" si="1"/>
        <v>0.5</v>
      </c>
      <c r="DI5">
        <f t="shared" si="2"/>
        <v>0</v>
      </c>
      <c r="DJ5">
        <f>DG5+DH5</f>
        <v>0.6</v>
      </c>
      <c r="DK5">
        <v>1</v>
      </c>
      <c r="DL5" t="s">
        <v>290</v>
      </c>
      <c r="DM5">
        <v>3</v>
      </c>
      <c r="DN5" t="s">
        <v>278</v>
      </c>
      <c r="DO5">
        <v>1</v>
      </c>
    </row>
    <row r="6" spans="1:119" x14ac:dyDescent="0.2">
      <c r="A6">
        <f>ROW(Source!A25)</f>
        <v>25</v>
      </c>
      <c r="B6">
        <v>59552816</v>
      </c>
      <c r="C6">
        <v>59552857</v>
      </c>
      <c r="D6">
        <v>58107956</v>
      </c>
      <c r="E6">
        <v>1</v>
      </c>
      <c r="F6">
        <v>1</v>
      </c>
      <c r="G6">
        <v>1</v>
      </c>
      <c r="H6">
        <v>2</v>
      </c>
      <c r="I6" t="s">
        <v>291</v>
      </c>
      <c r="J6" t="s">
        <v>292</v>
      </c>
      <c r="K6" t="s">
        <v>293</v>
      </c>
      <c r="L6">
        <v>1368</v>
      </c>
      <c r="N6">
        <v>1011</v>
      </c>
      <c r="O6" t="s">
        <v>289</v>
      </c>
      <c r="P6" t="s">
        <v>289</v>
      </c>
      <c r="Q6">
        <v>1</v>
      </c>
      <c r="W6">
        <v>0</v>
      </c>
      <c r="X6">
        <v>-1755708642</v>
      </c>
      <c r="Y6">
        <f>(AT6*ROUND(1.25,7))</f>
        <v>3.7499999999999999E-2</v>
      </c>
      <c r="AA6">
        <v>0</v>
      </c>
      <c r="AB6">
        <v>540.04999999999995</v>
      </c>
      <c r="AC6">
        <v>267.08999999999997</v>
      </c>
      <c r="AD6">
        <v>0</v>
      </c>
      <c r="AE6">
        <v>0</v>
      </c>
      <c r="AF6">
        <v>477.92</v>
      </c>
      <c r="AG6">
        <v>267.08999999999997</v>
      </c>
      <c r="AH6">
        <v>0</v>
      </c>
      <c r="AI6">
        <v>1</v>
      </c>
      <c r="AJ6">
        <v>1.1299999999999999</v>
      </c>
      <c r="AK6">
        <v>1</v>
      </c>
      <c r="AL6">
        <v>1</v>
      </c>
      <c r="AM6">
        <v>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0.03</v>
      </c>
      <c r="AU6" t="s">
        <v>28</v>
      </c>
      <c r="AV6">
        <v>1</v>
      </c>
      <c r="AW6">
        <v>2</v>
      </c>
      <c r="AX6">
        <v>59552861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14.3376</v>
      </c>
      <c r="BL6">
        <v>8.0126999999999988</v>
      </c>
      <c r="BM6">
        <v>0</v>
      </c>
      <c r="BN6">
        <v>0</v>
      </c>
      <c r="BO6">
        <v>0</v>
      </c>
      <c r="BP6">
        <v>1</v>
      </c>
      <c r="BQ6">
        <v>0</v>
      </c>
      <c r="BR6">
        <v>17.922000000000001</v>
      </c>
      <c r="BS6">
        <v>10.015874999999999</v>
      </c>
      <c r="BT6">
        <v>0</v>
      </c>
      <c r="BU6">
        <v>0</v>
      </c>
      <c r="BV6">
        <v>0</v>
      </c>
      <c r="BW6">
        <v>1</v>
      </c>
      <c r="CX6">
        <f>ROUND(Y6*Source!I25,7)</f>
        <v>1.2525E-2</v>
      </c>
      <c r="CY6">
        <f>AB6</f>
        <v>540.04999999999995</v>
      </c>
      <c r="CZ6">
        <f>AF6</f>
        <v>477.92</v>
      </c>
      <c r="DA6">
        <f>AJ6</f>
        <v>1.1299999999999999</v>
      </c>
      <c r="DB6">
        <f>ROUND((ROUND(AT6*CZ6,2)*ROUND(1.25,7)),2)</f>
        <v>17.93</v>
      </c>
      <c r="DC6">
        <f>ROUND((ROUND(AT6*AG6,2)*ROUND(1.25,7)),2)</f>
        <v>10.01</v>
      </c>
      <c r="DD6" t="s">
        <v>3</v>
      </c>
      <c r="DE6" t="s">
        <v>3</v>
      </c>
      <c r="DF6">
        <f t="shared" si="0"/>
        <v>0</v>
      </c>
      <c r="DG6">
        <f>ROUND(ROUND(AF6*AJ6,2)*CX6,2)</f>
        <v>6.76</v>
      </c>
      <c r="DH6">
        <f t="shared" si="1"/>
        <v>3.35</v>
      </c>
      <c r="DI6">
        <f t="shared" si="2"/>
        <v>0</v>
      </c>
      <c r="DJ6">
        <f>DG6+DH6</f>
        <v>10.11</v>
      </c>
      <c r="DK6">
        <v>1</v>
      </c>
      <c r="DL6" t="s">
        <v>294</v>
      </c>
      <c r="DM6">
        <v>4</v>
      </c>
      <c r="DN6" t="s">
        <v>278</v>
      </c>
      <c r="DO6">
        <v>1</v>
      </c>
    </row>
    <row r="7" spans="1:119" x14ac:dyDescent="0.2">
      <c r="A7">
        <f>ROW(Source!A25)</f>
        <v>25</v>
      </c>
      <c r="B7">
        <v>59552816</v>
      </c>
      <c r="C7">
        <v>59552857</v>
      </c>
      <c r="D7">
        <v>58061388</v>
      </c>
      <c r="E7">
        <v>1</v>
      </c>
      <c r="F7">
        <v>1</v>
      </c>
      <c r="G7">
        <v>1</v>
      </c>
      <c r="H7">
        <v>3</v>
      </c>
      <c r="I7" t="s">
        <v>295</v>
      </c>
      <c r="J7" t="s">
        <v>296</v>
      </c>
      <c r="K7" t="s">
        <v>297</v>
      </c>
      <c r="L7">
        <v>1383</v>
      </c>
      <c r="N7">
        <v>1013</v>
      </c>
      <c r="O7" t="s">
        <v>298</v>
      </c>
      <c r="P7" t="s">
        <v>298</v>
      </c>
      <c r="Q7">
        <v>1</v>
      </c>
      <c r="W7">
        <v>0</v>
      </c>
      <c r="X7">
        <v>-1853435331</v>
      </c>
      <c r="Y7">
        <f t="shared" ref="Y7:Y13" si="3">AT7</f>
        <v>2.5407999999999999</v>
      </c>
      <c r="AA7">
        <v>6.92</v>
      </c>
      <c r="AB7">
        <v>0</v>
      </c>
      <c r="AC7">
        <v>0</v>
      </c>
      <c r="AD7">
        <v>0</v>
      </c>
      <c r="AE7">
        <v>6.92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0</v>
      </c>
      <c r="AQ7">
        <v>1</v>
      </c>
      <c r="AR7">
        <v>0</v>
      </c>
      <c r="AS7" t="s">
        <v>3</v>
      </c>
      <c r="AT7">
        <v>2.5407999999999999</v>
      </c>
      <c r="AU7" t="s">
        <v>3</v>
      </c>
      <c r="AV7">
        <v>0</v>
      </c>
      <c r="AW7">
        <v>2</v>
      </c>
      <c r="AX7">
        <v>59552862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17.582335999999998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17.582335999999998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CX7">
        <f>ROUND(Y7*Source!I25,7)</f>
        <v>0.84862720000000003</v>
      </c>
      <c r="CY7">
        <f t="shared" ref="CY7:CY13" si="4">AA7</f>
        <v>6.92</v>
      </c>
      <c r="CZ7">
        <f t="shared" ref="CZ7:CZ13" si="5">AE7</f>
        <v>6.92</v>
      </c>
      <c r="DA7">
        <f t="shared" ref="DA7:DA13" si="6">AI7</f>
        <v>1</v>
      </c>
      <c r="DB7">
        <f t="shared" ref="DB7:DB13" si="7">ROUND(ROUND(AT7*CZ7,2),2)</f>
        <v>17.579999999999998</v>
      </c>
      <c r="DC7">
        <f t="shared" ref="DC7:DC13" si="8">ROUND(ROUND(AT7*AG7,2),2)</f>
        <v>0</v>
      </c>
      <c r="DD7" t="s">
        <v>3</v>
      </c>
      <c r="DE7" t="s">
        <v>3</v>
      </c>
      <c r="DF7">
        <f t="shared" si="0"/>
        <v>5.87</v>
      </c>
      <c r="DG7">
        <f t="shared" ref="DG7:DG15" si="9">ROUND(ROUND(AF7,2)*CX7,2)</f>
        <v>0</v>
      </c>
      <c r="DH7">
        <f t="shared" si="1"/>
        <v>0</v>
      </c>
      <c r="DI7">
        <f t="shared" si="2"/>
        <v>0</v>
      </c>
      <c r="DJ7">
        <f t="shared" ref="DJ7:DJ13" si="10">DF7</f>
        <v>5.87</v>
      </c>
      <c r="DK7">
        <v>1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ROW(Source!A25)</f>
        <v>25</v>
      </c>
      <c r="B8">
        <v>59552816</v>
      </c>
      <c r="C8">
        <v>59552857</v>
      </c>
      <c r="D8">
        <v>58062718</v>
      </c>
      <c r="E8">
        <v>1</v>
      </c>
      <c r="F8">
        <v>1</v>
      </c>
      <c r="G8">
        <v>1</v>
      </c>
      <c r="H8">
        <v>3</v>
      </c>
      <c r="I8" t="s">
        <v>299</v>
      </c>
      <c r="J8" t="s">
        <v>300</v>
      </c>
      <c r="K8" t="s">
        <v>301</v>
      </c>
      <c r="L8">
        <v>1407</v>
      </c>
      <c r="N8">
        <v>1013</v>
      </c>
      <c r="O8" t="s">
        <v>302</v>
      </c>
      <c r="P8" t="s">
        <v>302</v>
      </c>
      <c r="Q8">
        <v>1</v>
      </c>
      <c r="W8">
        <v>0</v>
      </c>
      <c r="X8">
        <v>885521015</v>
      </c>
      <c r="Y8">
        <f t="shared" si="3"/>
        <v>0.26300000000000001</v>
      </c>
      <c r="AA8">
        <v>175.87</v>
      </c>
      <c r="AB8">
        <v>0</v>
      </c>
      <c r="AC8">
        <v>0</v>
      </c>
      <c r="AD8">
        <v>0</v>
      </c>
      <c r="AE8">
        <v>174.13</v>
      </c>
      <c r="AF8">
        <v>0</v>
      </c>
      <c r="AG8">
        <v>0</v>
      </c>
      <c r="AH8">
        <v>0</v>
      </c>
      <c r="AI8">
        <v>1.01</v>
      </c>
      <c r="AJ8">
        <v>1</v>
      </c>
      <c r="AK8">
        <v>1</v>
      </c>
      <c r="AL8">
        <v>1</v>
      </c>
      <c r="AM8">
        <v>2</v>
      </c>
      <c r="AN8">
        <v>0</v>
      </c>
      <c r="AO8">
        <v>0</v>
      </c>
      <c r="AP8">
        <v>0</v>
      </c>
      <c r="AQ8">
        <v>1</v>
      </c>
      <c r="AR8">
        <v>0</v>
      </c>
      <c r="AS8" t="s">
        <v>3</v>
      </c>
      <c r="AT8">
        <v>0.26300000000000001</v>
      </c>
      <c r="AU8" t="s">
        <v>3</v>
      </c>
      <c r="AV8">
        <v>0</v>
      </c>
      <c r="AW8">
        <v>2</v>
      </c>
      <c r="AX8">
        <v>59552863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45.796190000000003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45.796190000000003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CX8">
        <f>ROUND(Y8*Source!I25,7)</f>
        <v>8.7842000000000003E-2</v>
      </c>
      <c r="CY8">
        <f t="shared" si="4"/>
        <v>175.87</v>
      </c>
      <c r="CZ8">
        <f t="shared" si="5"/>
        <v>174.13</v>
      </c>
      <c r="DA8">
        <f t="shared" si="6"/>
        <v>1.01</v>
      </c>
      <c r="DB8">
        <f t="shared" si="7"/>
        <v>45.8</v>
      </c>
      <c r="DC8">
        <f t="shared" si="8"/>
        <v>0</v>
      </c>
      <c r="DD8" t="s">
        <v>3</v>
      </c>
      <c r="DE8" t="s">
        <v>3</v>
      </c>
      <c r="DF8">
        <f>ROUND(ROUND(AE8*AI8,2)*CX8,2)</f>
        <v>15.45</v>
      </c>
      <c r="DG8">
        <f t="shared" si="9"/>
        <v>0</v>
      </c>
      <c r="DH8">
        <f t="shared" si="1"/>
        <v>0</v>
      </c>
      <c r="DI8">
        <f t="shared" si="2"/>
        <v>0</v>
      </c>
      <c r="DJ8">
        <f t="shared" si="10"/>
        <v>15.45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ROW(Source!A25)</f>
        <v>25</v>
      </c>
      <c r="B9">
        <v>59552816</v>
      </c>
      <c r="C9">
        <v>59552857</v>
      </c>
      <c r="D9">
        <v>58062990</v>
      </c>
      <c r="E9">
        <v>1</v>
      </c>
      <c r="F9">
        <v>1</v>
      </c>
      <c r="G9">
        <v>1</v>
      </c>
      <c r="H9">
        <v>3</v>
      </c>
      <c r="I9" t="s">
        <v>303</v>
      </c>
      <c r="J9" t="s">
        <v>304</v>
      </c>
      <c r="K9" t="s">
        <v>305</v>
      </c>
      <c r="L9">
        <v>1425</v>
      </c>
      <c r="N9">
        <v>1013</v>
      </c>
      <c r="O9" t="s">
        <v>162</v>
      </c>
      <c r="P9" t="s">
        <v>162</v>
      </c>
      <c r="Q9">
        <v>1</v>
      </c>
      <c r="W9">
        <v>0</v>
      </c>
      <c r="X9">
        <v>895247221</v>
      </c>
      <c r="Y9">
        <f t="shared" si="3"/>
        <v>2.63</v>
      </c>
      <c r="AA9">
        <v>23.26</v>
      </c>
      <c r="AB9">
        <v>0</v>
      </c>
      <c r="AC9">
        <v>0</v>
      </c>
      <c r="AD9">
        <v>0</v>
      </c>
      <c r="AE9">
        <v>23.03</v>
      </c>
      <c r="AF9">
        <v>0</v>
      </c>
      <c r="AG9">
        <v>0</v>
      </c>
      <c r="AH9">
        <v>0</v>
      </c>
      <c r="AI9">
        <v>1.01</v>
      </c>
      <c r="AJ9">
        <v>1</v>
      </c>
      <c r="AK9">
        <v>1</v>
      </c>
      <c r="AL9">
        <v>1</v>
      </c>
      <c r="AM9">
        <v>2</v>
      </c>
      <c r="AN9">
        <v>0</v>
      </c>
      <c r="AO9">
        <v>0</v>
      </c>
      <c r="AP9">
        <v>0</v>
      </c>
      <c r="AQ9">
        <v>1</v>
      </c>
      <c r="AR9">
        <v>0</v>
      </c>
      <c r="AS9" t="s">
        <v>3</v>
      </c>
      <c r="AT9">
        <v>2.63</v>
      </c>
      <c r="AU9" t="s">
        <v>3</v>
      </c>
      <c r="AV9">
        <v>0</v>
      </c>
      <c r="AW9">
        <v>2</v>
      </c>
      <c r="AX9">
        <v>59552864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60.568899999999999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60.568899999999999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X9">
        <f>ROUND(Y9*Source!I25,7)</f>
        <v>0.87841999999999998</v>
      </c>
      <c r="CY9">
        <f t="shared" si="4"/>
        <v>23.26</v>
      </c>
      <c r="CZ9">
        <f t="shared" si="5"/>
        <v>23.03</v>
      </c>
      <c r="DA9">
        <f t="shared" si="6"/>
        <v>1.01</v>
      </c>
      <c r="DB9">
        <f t="shared" si="7"/>
        <v>60.57</v>
      </c>
      <c r="DC9">
        <f t="shared" si="8"/>
        <v>0</v>
      </c>
      <c r="DD9" t="s">
        <v>3</v>
      </c>
      <c r="DE9" t="s">
        <v>3</v>
      </c>
      <c r="DF9">
        <f>ROUND(ROUND(AE9*AI9,2)*CX9,2)</f>
        <v>20.43</v>
      </c>
      <c r="DG9">
        <f t="shared" si="9"/>
        <v>0</v>
      </c>
      <c r="DH9">
        <f t="shared" si="1"/>
        <v>0</v>
      </c>
      <c r="DI9">
        <f t="shared" si="2"/>
        <v>0</v>
      </c>
      <c r="DJ9">
        <f t="shared" si="10"/>
        <v>20.43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ROW(Source!A25)</f>
        <v>25</v>
      </c>
      <c r="B10">
        <v>59552816</v>
      </c>
      <c r="C10">
        <v>59552857</v>
      </c>
      <c r="D10">
        <v>57990333</v>
      </c>
      <c r="E10">
        <v>107</v>
      </c>
      <c r="F10">
        <v>1</v>
      </c>
      <c r="G10">
        <v>1</v>
      </c>
      <c r="H10">
        <v>3</v>
      </c>
      <c r="I10" t="s">
        <v>306</v>
      </c>
      <c r="J10" t="s">
        <v>3</v>
      </c>
      <c r="K10" t="s">
        <v>307</v>
      </c>
      <c r="L10">
        <v>1301</v>
      </c>
      <c r="N10">
        <v>1003</v>
      </c>
      <c r="O10" t="s">
        <v>308</v>
      </c>
      <c r="P10" t="s">
        <v>308</v>
      </c>
      <c r="Q10">
        <v>1</v>
      </c>
      <c r="W10">
        <v>0</v>
      </c>
      <c r="X10">
        <v>-2049262376</v>
      </c>
      <c r="Y10">
        <f t="shared" si="3"/>
        <v>101</v>
      </c>
      <c r="AA10">
        <v>357</v>
      </c>
      <c r="AB10">
        <v>0</v>
      </c>
      <c r="AC10">
        <v>0</v>
      </c>
      <c r="AD10">
        <v>0</v>
      </c>
      <c r="AE10">
        <v>357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101</v>
      </c>
      <c r="AU10" t="s">
        <v>3</v>
      </c>
      <c r="AV10">
        <v>0</v>
      </c>
      <c r="AW10">
        <v>2</v>
      </c>
      <c r="AX10">
        <v>59552865</v>
      </c>
      <c r="AY10">
        <v>2</v>
      </c>
      <c r="AZ10">
        <v>16384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36057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36057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X10">
        <f>ROUND(Y10*Source!I25,7)</f>
        <v>33.734000000000002</v>
      </c>
      <c r="CY10">
        <f t="shared" si="4"/>
        <v>357</v>
      </c>
      <c r="CZ10">
        <f t="shared" si="5"/>
        <v>357</v>
      </c>
      <c r="DA10">
        <f t="shared" si="6"/>
        <v>1</v>
      </c>
      <c r="DB10">
        <f t="shared" si="7"/>
        <v>36057</v>
      </c>
      <c r="DC10">
        <f t="shared" si="8"/>
        <v>0</v>
      </c>
      <c r="DD10" t="s">
        <v>3</v>
      </c>
      <c r="DE10" t="s">
        <v>3</v>
      </c>
      <c r="DF10">
        <f>ROUND(ROUND(AE10,2)*CX10,2)</f>
        <v>12043.04</v>
      </c>
      <c r="DG10">
        <f t="shared" si="9"/>
        <v>0</v>
      </c>
      <c r="DH10">
        <f t="shared" si="1"/>
        <v>0</v>
      </c>
      <c r="DI10">
        <f t="shared" si="2"/>
        <v>0</v>
      </c>
      <c r="DJ10">
        <f t="shared" si="10"/>
        <v>12043.04</v>
      </c>
      <c r="DK10">
        <v>2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ROW(Source!A25)</f>
        <v>25</v>
      </c>
      <c r="B11">
        <v>59552816</v>
      </c>
      <c r="C11">
        <v>59552857</v>
      </c>
      <c r="D11">
        <v>58072149</v>
      </c>
      <c r="E11">
        <v>1</v>
      </c>
      <c r="F11">
        <v>1</v>
      </c>
      <c r="G11">
        <v>1</v>
      </c>
      <c r="H11">
        <v>3</v>
      </c>
      <c r="I11" t="s">
        <v>309</v>
      </c>
      <c r="J11" t="s">
        <v>310</v>
      </c>
      <c r="K11" t="s">
        <v>311</v>
      </c>
      <c r="L11">
        <v>1425</v>
      </c>
      <c r="N11">
        <v>1013</v>
      </c>
      <c r="O11" t="s">
        <v>162</v>
      </c>
      <c r="P11" t="s">
        <v>162</v>
      </c>
      <c r="Q11">
        <v>1</v>
      </c>
      <c r="W11">
        <v>0</v>
      </c>
      <c r="X11">
        <v>-49611019</v>
      </c>
      <c r="Y11">
        <f t="shared" si="3"/>
        <v>0.16</v>
      </c>
      <c r="AA11">
        <v>1960.37</v>
      </c>
      <c r="AB11">
        <v>0</v>
      </c>
      <c r="AC11">
        <v>0</v>
      </c>
      <c r="AD11">
        <v>0</v>
      </c>
      <c r="AE11">
        <v>1815.16</v>
      </c>
      <c r="AF11">
        <v>0</v>
      </c>
      <c r="AG11">
        <v>0</v>
      </c>
      <c r="AH11">
        <v>0</v>
      </c>
      <c r="AI11">
        <v>1.08</v>
      </c>
      <c r="AJ11">
        <v>1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0</v>
      </c>
      <c r="AQ11">
        <v>1</v>
      </c>
      <c r="AR11">
        <v>0</v>
      </c>
      <c r="AS11" t="s">
        <v>3</v>
      </c>
      <c r="AT11">
        <v>0.16</v>
      </c>
      <c r="AU11" t="s">
        <v>3</v>
      </c>
      <c r="AV11">
        <v>0</v>
      </c>
      <c r="AW11">
        <v>2</v>
      </c>
      <c r="AX11">
        <v>59552866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290.42560000000003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290.42560000000003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CX11">
        <f>ROUND(Y11*Source!I25,7)</f>
        <v>5.3440000000000001E-2</v>
      </c>
      <c r="CY11">
        <f t="shared" si="4"/>
        <v>1960.37</v>
      </c>
      <c r="CZ11">
        <f t="shared" si="5"/>
        <v>1815.16</v>
      </c>
      <c r="DA11">
        <f t="shared" si="6"/>
        <v>1.08</v>
      </c>
      <c r="DB11">
        <f t="shared" si="7"/>
        <v>290.43</v>
      </c>
      <c r="DC11">
        <f t="shared" si="8"/>
        <v>0</v>
      </c>
      <c r="DD11" t="s">
        <v>3</v>
      </c>
      <c r="DE11" t="s">
        <v>3</v>
      </c>
      <c r="DF11">
        <f>ROUND(ROUND(AE11*AI11,2)*CX11,2)</f>
        <v>104.76</v>
      </c>
      <c r="DG11">
        <f t="shared" si="9"/>
        <v>0</v>
      </c>
      <c r="DH11">
        <f t="shared" si="1"/>
        <v>0</v>
      </c>
      <c r="DI11">
        <f t="shared" si="2"/>
        <v>0</v>
      </c>
      <c r="DJ11">
        <f t="shared" si="10"/>
        <v>104.76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ROW(Source!A25)</f>
        <v>25</v>
      </c>
      <c r="B12">
        <v>59552816</v>
      </c>
      <c r="C12">
        <v>59552857</v>
      </c>
      <c r="D12">
        <v>58072150</v>
      </c>
      <c r="E12">
        <v>1</v>
      </c>
      <c r="F12">
        <v>1</v>
      </c>
      <c r="G12">
        <v>1</v>
      </c>
      <c r="H12">
        <v>3</v>
      </c>
      <c r="I12" t="s">
        <v>312</v>
      </c>
      <c r="J12" t="s">
        <v>313</v>
      </c>
      <c r="K12" t="s">
        <v>314</v>
      </c>
      <c r="L12">
        <v>1425</v>
      </c>
      <c r="N12">
        <v>1013</v>
      </c>
      <c r="O12" t="s">
        <v>162</v>
      </c>
      <c r="P12" t="s">
        <v>162</v>
      </c>
      <c r="Q12">
        <v>1</v>
      </c>
      <c r="W12">
        <v>0</v>
      </c>
      <c r="X12">
        <v>-1852556917</v>
      </c>
      <c r="Y12">
        <f t="shared" si="3"/>
        <v>0.4</v>
      </c>
      <c r="AA12">
        <v>1564.27</v>
      </c>
      <c r="AB12">
        <v>0</v>
      </c>
      <c r="AC12">
        <v>0</v>
      </c>
      <c r="AD12">
        <v>0</v>
      </c>
      <c r="AE12">
        <v>1448.4</v>
      </c>
      <c r="AF12">
        <v>0</v>
      </c>
      <c r="AG12">
        <v>0</v>
      </c>
      <c r="AH12">
        <v>0</v>
      </c>
      <c r="AI12">
        <v>1.08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0</v>
      </c>
      <c r="AQ12">
        <v>1</v>
      </c>
      <c r="AR12">
        <v>0</v>
      </c>
      <c r="AS12" t="s">
        <v>3</v>
      </c>
      <c r="AT12">
        <v>0.4</v>
      </c>
      <c r="AU12" t="s">
        <v>3</v>
      </c>
      <c r="AV12">
        <v>0</v>
      </c>
      <c r="AW12">
        <v>2</v>
      </c>
      <c r="AX12">
        <v>59552867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579.36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579.36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X12">
        <f>ROUND(Y12*Source!I25,7)</f>
        <v>0.1336</v>
      </c>
      <c r="CY12">
        <f t="shared" si="4"/>
        <v>1564.27</v>
      </c>
      <c r="CZ12">
        <f t="shared" si="5"/>
        <v>1448.4</v>
      </c>
      <c r="DA12">
        <f t="shared" si="6"/>
        <v>1.08</v>
      </c>
      <c r="DB12">
        <f t="shared" si="7"/>
        <v>579.36</v>
      </c>
      <c r="DC12">
        <f t="shared" si="8"/>
        <v>0</v>
      </c>
      <c r="DD12" t="s">
        <v>3</v>
      </c>
      <c r="DE12" t="s">
        <v>3</v>
      </c>
      <c r="DF12">
        <f>ROUND(ROUND(AE12*AI12,2)*CX12,2)</f>
        <v>208.99</v>
      </c>
      <c r="DG12">
        <f t="shared" si="9"/>
        <v>0</v>
      </c>
      <c r="DH12">
        <f t="shared" si="1"/>
        <v>0</v>
      </c>
      <c r="DI12">
        <f t="shared" si="2"/>
        <v>0</v>
      </c>
      <c r="DJ12">
        <f t="shared" si="10"/>
        <v>208.99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ROW(Source!A25)</f>
        <v>25</v>
      </c>
      <c r="B13">
        <v>59552816</v>
      </c>
      <c r="C13">
        <v>59552857</v>
      </c>
      <c r="D13">
        <v>58072151</v>
      </c>
      <c r="E13">
        <v>1</v>
      </c>
      <c r="F13">
        <v>1</v>
      </c>
      <c r="G13">
        <v>1</v>
      </c>
      <c r="H13">
        <v>3</v>
      </c>
      <c r="I13" t="s">
        <v>315</v>
      </c>
      <c r="J13" t="s">
        <v>316</v>
      </c>
      <c r="K13" t="s">
        <v>317</v>
      </c>
      <c r="L13">
        <v>1425</v>
      </c>
      <c r="N13">
        <v>1013</v>
      </c>
      <c r="O13" t="s">
        <v>162</v>
      </c>
      <c r="P13" t="s">
        <v>162</v>
      </c>
      <c r="Q13">
        <v>1</v>
      </c>
      <c r="W13">
        <v>0</v>
      </c>
      <c r="X13">
        <v>1058495221</v>
      </c>
      <c r="Y13">
        <f t="shared" si="3"/>
        <v>0.14000000000000001</v>
      </c>
      <c r="AA13">
        <v>1377.13</v>
      </c>
      <c r="AB13">
        <v>0</v>
      </c>
      <c r="AC13">
        <v>0</v>
      </c>
      <c r="AD13">
        <v>0</v>
      </c>
      <c r="AE13">
        <v>1275.1199999999999</v>
      </c>
      <c r="AF13">
        <v>0</v>
      </c>
      <c r="AG13">
        <v>0</v>
      </c>
      <c r="AH13">
        <v>0</v>
      </c>
      <c r="AI13">
        <v>1.08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0</v>
      </c>
      <c r="AQ13">
        <v>1</v>
      </c>
      <c r="AR13">
        <v>0</v>
      </c>
      <c r="AS13" t="s">
        <v>3</v>
      </c>
      <c r="AT13">
        <v>0.14000000000000001</v>
      </c>
      <c r="AU13" t="s">
        <v>3</v>
      </c>
      <c r="AV13">
        <v>0</v>
      </c>
      <c r="AW13">
        <v>2</v>
      </c>
      <c r="AX13">
        <v>59552868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178.51679999999999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178.51679999999999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X13">
        <f>ROUND(Y13*Source!I25,7)</f>
        <v>4.6760000000000003E-2</v>
      </c>
      <c r="CY13">
        <f t="shared" si="4"/>
        <v>1377.13</v>
      </c>
      <c r="CZ13">
        <f t="shared" si="5"/>
        <v>1275.1199999999999</v>
      </c>
      <c r="DA13">
        <f t="shared" si="6"/>
        <v>1.08</v>
      </c>
      <c r="DB13">
        <f t="shared" si="7"/>
        <v>178.52</v>
      </c>
      <c r="DC13">
        <f t="shared" si="8"/>
        <v>0</v>
      </c>
      <c r="DD13" t="s">
        <v>3</v>
      </c>
      <c r="DE13" t="s">
        <v>3</v>
      </c>
      <c r="DF13">
        <f>ROUND(ROUND(AE13*AI13,2)*CX13,2)</f>
        <v>64.39</v>
      </c>
      <c r="DG13">
        <f t="shared" si="9"/>
        <v>0</v>
      </c>
      <c r="DH13">
        <f t="shared" si="1"/>
        <v>0</v>
      </c>
      <c r="DI13">
        <f t="shared" si="2"/>
        <v>0</v>
      </c>
      <c r="DJ13">
        <f t="shared" si="10"/>
        <v>64.39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ROW(Source!A26)</f>
        <v>26</v>
      </c>
      <c r="B14">
        <v>59552816</v>
      </c>
      <c r="C14">
        <v>59552874</v>
      </c>
      <c r="D14">
        <v>31709863</v>
      </c>
      <c r="E14">
        <v>107</v>
      </c>
      <c r="F14">
        <v>1</v>
      </c>
      <c r="G14">
        <v>1</v>
      </c>
      <c r="H14">
        <v>1</v>
      </c>
      <c r="I14" t="s">
        <v>318</v>
      </c>
      <c r="J14" t="s">
        <v>3</v>
      </c>
      <c r="K14" t="s">
        <v>319</v>
      </c>
      <c r="L14">
        <v>1191</v>
      </c>
      <c r="N14">
        <v>1013</v>
      </c>
      <c r="O14" t="s">
        <v>278</v>
      </c>
      <c r="P14" t="s">
        <v>278</v>
      </c>
      <c r="Q14">
        <v>1</v>
      </c>
      <c r="W14">
        <v>0</v>
      </c>
      <c r="X14">
        <v>1049124552</v>
      </c>
      <c r="Y14">
        <f>(AT14*ROUND(0.8,7))</f>
        <v>18.040000000000003</v>
      </c>
      <c r="AA14">
        <v>0</v>
      </c>
      <c r="AB14">
        <v>0</v>
      </c>
      <c r="AC14">
        <v>0</v>
      </c>
      <c r="AD14">
        <v>237.19</v>
      </c>
      <c r="AE14">
        <v>0</v>
      </c>
      <c r="AF14">
        <v>0</v>
      </c>
      <c r="AG14">
        <v>0</v>
      </c>
      <c r="AH14">
        <v>237.19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22.55</v>
      </c>
      <c r="AU14" t="s">
        <v>42</v>
      </c>
      <c r="AV14">
        <v>1</v>
      </c>
      <c r="AW14">
        <v>2</v>
      </c>
      <c r="AX14">
        <v>59552881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5348.6345000000001</v>
      </c>
      <c r="BN14">
        <v>22.55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4278.9076000000005</v>
      </c>
      <c r="BU14">
        <v>18.040000000000003</v>
      </c>
      <c r="BV14">
        <v>0</v>
      </c>
      <c r="BW14">
        <v>1</v>
      </c>
      <c r="CX14">
        <f>ROUND(Y14*Source!I26,7)</f>
        <v>11.726000000000001</v>
      </c>
      <c r="CY14">
        <f>AD14</f>
        <v>237.19</v>
      </c>
      <c r="CZ14">
        <f>AH14</f>
        <v>237.19</v>
      </c>
      <c r="DA14">
        <f>AL14</f>
        <v>1</v>
      </c>
      <c r="DB14">
        <f>ROUND((ROUND(AT14*CZ14,2)*ROUND(0.8,7)),2)</f>
        <v>4278.8999999999996</v>
      </c>
      <c r="DC14">
        <f>ROUND((ROUND(AT14*AG14,2)*ROUND(0.8,7)),2)</f>
        <v>0</v>
      </c>
      <c r="DD14" t="s">
        <v>3</v>
      </c>
      <c r="DE14" t="s">
        <v>3</v>
      </c>
      <c r="DF14">
        <f>ROUND(ROUND(AE14,2)*CX14,2)</f>
        <v>0</v>
      </c>
      <c r="DG14">
        <f t="shared" si="9"/>
        <v>0</v>
      </c>
      <c r="DH14">
        <f t="shared" si="1"/>
        <v>0</v>
      </c>
      <c r="DI14">
        <f t="shared" si="2"/>
        <v>2781.29</v>
      </c>
      <c r="DJ14">
        <f>DI14</f>
        <v>2781.29</v>
      </c>
      <c r="DK14">
        <v>1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ROW(Source!A26)</f>
        <v>26</v>
      </c>
      <c r="B15">
        <v>59552816</v>
      </c>
      <c r="C15">
        <v>59552874</v>
      </c>
      <c r="D15">
        <v>31709492</v>
      </c>
      <c r="E15">
        <v>107</v>
      </c>
      <c r="F15">
        <v>1</v>
      </c>
      <c r="G15">
        <v>1</v>
      </c>
      <c r="H15">
        <v>1</v>
      </c>
      <c r="I15" t="s">
        <v>284</v>
      </c>
      <c r="J15" t="s">
        <v>3</v>
      </c>
      <c r="K15" t="s">
        <v>285</v>
      </c>
      <c r="L15">
        <v>1191</v>
      </c>
      <c r="N15">
        <v>1013</v>
      </c>
      <c r="O15" t="s">
        <v>278</v>
      </c>
      <c r="P15" t="s">
        <v>278</v>
      </c>
      <c r="Q15">
        <v>1</v>
      </c>
      <c r="W15">
        <v>0</v>
      </c>
      <c r="X15">
        <v>-1417349443</v>
      </c>
      <c r="Y15">
        <f>(AT15*ROUND(0.8,7))</f>
        <v>8.0000000000000016E-2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0.1</v>
      </c>
      <c r="AU15" t="s">
        <v>42</v>
      </c>
      <c r="AV15">
        <v>2</v>
      </c>
      <c r="AW15">
        <v>2</v>
      </c>
      <c r="AX15">
        <v>59552882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0.1</v>
      </c>
      <c r="BP15">
        <v>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8.0000000000000016E-2</v>
      </c>
      <c r="BW15">
        <v>1</v>
      </c>
      <c r="CX15">
        <f>ROUND(Y15*Source!I26,7)</f>
        <v>5.1999999999999998E-2</v>
      </c>
      <c r="CY15">
        <f>AD15</f>
        <v>0</v>
      </c>
      <c r="CZ15">
        <f>AH15</f>
        <v>0</v>
      </c>
      <c r="DA15">
        <f>AL15</f>
        <v>1</v>
      </c>
      <c r="DB15">
        <f>ROUND((ROUND(AT15*CZ15,2)*ROUND(0.8,7)),2)</f>
        <v>0</v>
      </c>
      <c r="DC15">
        <f>ROUND((ROUND(AT15*AG15,2)*ROUND(0.8,7)),2)</f>
        <v>0</v>
      </c>
      <c r="DD15" t="s">
        <v>3</v>
      </c>
      <c r="DE15" t="s">
        <v>3</v>
      </c>
      <c r="DF15">
        <f>ROUND(ROUND(AE15,2)*CX15,2)</f>
        <v>0</v>
      </c>
      <c r="DG15">
        <f t="shared" si="9"/>
        <v>0</v>
      </c>
      <c r="DH15">
        <f t="shared" si="1"/>
        <v>0</v>
      </c>
      <c r="DI15">
        <f t="shared" si="2"/>
        <v>0</v>
      </c>
      <c r="DJ15">
        <f>DI15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ROW(Source!A26)</f>
        <v>26</v>
      </c>
      <c r="B16">
        <v>59552816</v>
      </c>
      <c r="C16">
        <v>59552874</v>
      </c>
      <c r="D16">
        <v>58107956</v>
      </c>
      <c r="E16">
        <v>1</v>
      </c>
      <c r="F16">
        <v>1</v>
      </c>
      <c r="G16">
        <v>1</v>
      </c>
      <c r="H16">
        <v>2</v>
      </c>
      <c r="I16" t="s">
        <v>291</v>
      </c>
      <c r="J16" t="s">
        <v>292</v>
      </c>
      <c r="K16" t="s">
        <v>293</v>
      </c>
      <c r="L16">
        <v>1368</v>
      </c>
      <c r="N16">
        <v>1011</v>
      </c>
      <c r="O16" t="s">
        <v>289</v>
      </c>
      <c r="P16" t="s">
        <v>289</v>
      </c>
      <c r="Q16">
        <v>1</v>
      </c>
      <c r="W16">
        <v>0</v>
      </c>
      <c r="X16">
        <v>-1755708642</v>
      </c>
      <c r="Y16">
        <f>(AT16*ROUND(0.8,7))</f>
        <v>8.0000000000000016E-2</v>
      </c>
      <c r="AA16">
        <v>0</v>
      </c>
      <c r="AB16">
        <v>540.04999999999995</v>
      </c>
      <c r="AC16">
        <v>267.08999999999997</v>
      </c>
      <c r="AD16">
        <v>0</v>
      </c>
      <c r="AE16">
        <v>0</v>
      </c>
      <c r="AF16">
        <v>477.92</v>
      </c>
      <c r="AG16">
        <v>267.08999999999997</v>
      </c>
      <c r="AH16">
        <v>0</v>
      </c>
      <c r="AI16">
        <v>1</v>
      </c>
      <c r="AJ16">
        <v>1.1299999999999999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0.1</v>
      </c>
      <c r="AU16" t="s">
        <v>42</v>
      </c>
      <c r="AV16">
        <v>1</v>
      </c>
      <c r="AW16">
        <v>2</v>
      </c>
      <c r="AX16">
        <v>59552883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47.792000000000002</v>
      </c>
      <c r="BL16">
        <v>26.709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38.23360000000001</v>
      </c>
      <c r="BS16">
        <v>21.3672</v>
      </c>
      <c r="BT16">
        <v>0</v>
      </c>
      <c r="BU16">
        <v>0</v>
      </c>
      <c r="BV16">
        <v>0</v>
      </c>
      <c r="BW16">
        <v>1</v>
      </c>
      <c r="CX16">
        <f>ROUND(Y16*Source!I26,7)</f>
        <v>5.1999999999999998E-2</v>
      </c>
      <c r="CY16">
        <f>AB16</f>
        <v>540.04999999999995</v>
      </c>
      <c r="CZ16">
        <f>AF16</f>
        <v>477.92</v>
      </c>
      <c r="DA16">
        <f>AJ16</f>
        <v>1.1299999999999999</v>
      </c>
      <c r="DB16">
        <f>ROUND((ROUND(AT16*CZ16,2)*ROUND(0.8,7)),2)</f>
        <v>38.229999999999997</v>
      </c>
      <c r="DC16">
        <f>ROUND((ROUND(AT16*AG16,2)*ROUND(0.8,7)),2)</f>
        <v>21.37</v>
      </c>
      <c r="DD16" t="s">
        <v>3</v>
      </c>
      <c r="DE16" t="s">
        <v>3</v>
      </c>
      <c r="DF16">
        <f>ROUND(ROUND(AE16,2)*CX16,2)</f>
        <v>0</v>
      </c>
      <c r="DG16">
        <f>ROUND(ROUND(AF16*AJ16,2)*CX16,2)</f>
        <v>28.08</v>
      </c>
      <c r="DH16">
        <f t="shared" si="1"/>
        <v>13.89</v>
      </c>
      <c r="DI16">
        <f t="shared" si="2"/>
        <v>0</v>
      </c>
      <c r="DJ16">
        <f>DG16+DH16</f>
        <v>41.97</v>
      </c>
      <c r="DK16">
        <v>1</v>
      </c>
      <c r="DL16" t="s">
        <v>294</v>
      </c>
      <c r="DM16">
        <v>4</v>
      </c>
      <c r="DN16" t="s">
        <v>278</v>
      </c>
      <c r="DO16">
        <v>1</v>
      </c>
    </row>
    <row r="17" spans="1:119" x14ac:dyDescent="0.2">
      <c r="A17">
        <f>ROW(Source!A26)</f>
        <v>26</v>
      </c>
      <c r="B17">
        <v>59552816</v>
      </c>
      <c r="C17">
        <v>59552874</v>
      </c>
      <c r="D17">
        <v>58061388</v>
      </c>
      <c r="E17">
        <v>1</v>
      </c>
      <c r="F17">
        <v>1</v>
      </c>
      <c r="G17">
        <v>1</v>
      </c>
      <c r="H17">
        <v>3</v>
      </c>
      <c r="I17" t="s">
        <v>295</v>
      </c>
      <c r="J17" t="s">
        <v>296</v>
      </c>
      <c r="K17" t="s">
        <v>297</v>
      </c>
      <c r="L17">
        <v>1383</v>
      </c>
      <c r="N17">
        <v>1013</v>
      </c>
      <c r="O17" t="s">
        <v>298</v>
      </c>
      <c r="P17" t="s">
        <v>298</v>
      </c>
      <c r="Q17">
        <v>1</v>
      </c>
      <c r="W17">
        <v>0</v>
      </c>
      <c r="X17">
        <v>-1853435331</v>
      </c>
      <c r="Y17">
        <f>(AT17*ROUND(0,7))</f>
        <v>0</v>
      </c>
      <c r="AA17">
        <v>6.92</v>
      </c>
      <c r="AB17">
        <v>0</v>
      </c>
      <c r="AC17">
        <v>0</v>
      </c>
      <c r="AD17">
        <v>0</v>
      </c>
      <c r="AE17">
        <v>6.92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0.58099999999999996</v>
      </c>
      <c r="AU17" t="s">
        <v>41</v>
      </c>
      <c r="AV17">
        <v>0</v>
      </c>
      <c r="AW17">
        <v>2</v>
      </c>
      <c r="AX17">
        <v>59552884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4.0205199999999994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X17">
        <f>ROUND(Y17*Source!I26,7)</f>
        <v>0</v>
      </c>
      <c r="CY17">
        <f>AA17</f>
        <v>6.92</v>
      </c>
      <c r="CZ17">
        <f>AE17</f>
        <v>6.92</v>
      </c>
      <c r="DA17">
        <f>AI17</f>
        <v>1</v>
      </c>
      <c r="DB17">
        <f>ROUND((ROUND(AT17*CZ17,2)*ROUND(0,7)),2)</f>
        <v>0</v>
      </c>
      <c r="DC17">
        <f>ROUND((ROUND(AT17*AG17,2)*ROUND(0,7)),2)</f>
        <v>0</v>
      </c>
      <c r="DD17" t="s">
        <v>3</v>
      </c>
      <c r="DE17" t="s">
        <v>3</v>
      </c>
      <c r="DF17">
        <f>ROUND(ROUND(AE17,2)*CX17,2)</f>
        <v>0</v>
      </c>
      <c r="DG17">
        <f>ROUND(ROUND(AF17,2)*CX17,2)</f>
        <v>0</v>
      </c>
      <c r="DH17">
        <f t="shared" si="1"/>
        <v>0</v>
      </c>
      <c r="DI17">
        <f t="shared" si="2"/>
        <v>0</v>
      </c>
      <c r="DJ17">
        <f>DF17</f>
        <v>0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ROW(Source!A26)</f>
        <v>26</v>
      </c>
      <c r="B18">
        <v>59552816</v>
      </c>
      <c r="C18">
        <v>59552874</v>
      </c>
      <c r="D18">
        <v>57990163</v>
      </c>
      <c r="E18">
        <v>107</v>
      </c>
      <c r="F18">
        <v>1</v>
      </c>
      <c r="G18">
        <v>1</v>
      </c>
      <c r="H18">
        <v>3</v>
      </c>
      <c r="I18" t="s">
        <v>320</v>
      </c>
      <c r="J18" t="s">
        <v>3</v>
      </c>
      <c r="K18" t="s">
        <v>321</v>
      </c>
      <c r="L18">
        <v>1327</v>
      </c>
      <c r="N18">
        <v>1005</v>
      </c>
      <c r="O18" t="s">
        <v>49</v>
      </c>
      <c r="P18" t="s">
        <v>49</v>
      </c>
      <c r="Q18">
        <v>1</v>
      </c>
      <c r="W18">
        <v>0</v>
      </c>
      <c r="X18">
        <v>-1235377378</v>
      </c>
      <c r="Y18">
        <f>(AT18*ROUND(0,7))</f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102.5</v>
      </c>
      <c r="AU18" t="s">
        <v>41</v>
      </c>
      <c r="AV18">
        <v>0</v>
      </c>
      <c r="AW18">
        <v>2</v>
      </c>
      <c r="AX18">
        <v>59552885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X18">
        <f>ROUND(Y18*Source!I26,7)</f>
        <v>0</v>
      </c>
      <c r="CY18">
        <f>AA18</f>
        <v>0</v>
      </c>
      <c r="CZ18">
        <f>AE18</f>
        <v>0</v>
      </c>
      <c r="DA18">
        <f>AI18</f>
        <v>1</v>
      </c>
      <c r="DB18">
        <f>ROUND((ROUND(AT18*CZ18,2)*ROUND(0,7)),2)</f>
        <v>0</v>
      </c>
      <c r="DC18">
        <f>ROUND((ROUND(AT18*AG18,2)*ROUND(0,7)),2)</f>
        <v>0</v>
      </c>
      <c r="DD18" t="s">
        <v>3</v>
      </c>
      <c r="DE18" t="s">
        <v>3</v>
      </c>
      <c r="DF18">
        <f>ROUND(ROUND(AE18,2)*CX18,2)</f>
        <v>0</v>
      </c>
      <c r="DG18">
        <f>ROUND(ROUND(AF18,2)*CX18,2)</f>
        <v>0</v>
      </c>
      <c r="DH18">
        <f t="shared" si="1"/>
        <v>0</v>
      </c>
      <c r="DI18">
        <f t="shared" si="2"/>
        <v>0</v>
      </c>
      <c r="DJ18">
        <f>DF18</f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ROW(Source!A26)</f>
        <v>26</v>
      </c>
      <c r="B19">
        <v>59552816</v>
      </c>
      <c r="C19">
        <v>59552874</v>
      </c>
      <c r="D19">
        <v>58072093</v>
      </c>
      <c r="E19">
        <v>1</v>
      </c>
      <c r="F19">
        <v>1</v>
      </c>
      <c r="G19">
        <v>1</v>
      </c>
      <c r="H19">
        <v>3</v>
      </c>
      <c r="I19" t="s">
        <v>322</v>
      </c>
      <c r="J19" t="s">
        <v>323</v>
      </c>
      <c r="K19" t="s">
        <v>324</v>
      </c>
      <c r="L19">
        <v>1330</v>
      </c>
      <c r="N19">
        <v>1005</v>
      </c>
      <c r="O19" t="s">
        <v>325</v>
      </c>
      <c r="P19" t="s">
        <v>325</v>
      </c>
      <c r="Q19">
        <v>10</v>
      </c>
      <c r="W19">
        <v>0</v>
      </c>
      <c r="X19">
        <v>1150227677</v>
      </c>
      <c r="Y19">
        <f>(AT19*ROUND(0,7))</f>
        <v>0</v>
      </c>
      <c r="AA19">
        <v>117.03</v>
      </c>
      <c r="AB19">
        <v>0</v>
      </c>
      <c r="AC19">
        <v>0</v>
      </c>
      <c r="AD19">
        <v>0</v>
      </c>
      <c r="AE19">
        <v>108.36</v>
      </c>
      <c r="AF19">
        <v>0</v>
      </c>
      <c r="AG19">
        <v>0</v>
      </c>
      <c r="AH19">
        <v>0</v>
      </c>
      <c r="AI19">
        <v>1.08</v>
      </c>
      <c r="AJ19">
        <v>1</v>
      </c>
      <c r="AK19">
        <v>1</v>
      </c>
      <c r="AL19">
        <v>1</v>
      </c>
      <c r="AM19">
        <v>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10.5</v>
      </c>
      <c r="AU19" t="s">
        <v>41</v>
      </c>
      <c r="AV19">
        <v>0</v>
      </c>
      <c r="AW19">
        <v>2</v>
      </c>
      <c r="AX19">
        <v>59552886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1137.78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X19">
        <f>ROUND(Y19*Source!I26,7)</f>
        <v>0</v>
      </c>
      <c r="CY19">
        <f>AA19</f>
        <v>117.03</v>
      </c>
      <c r="CZ19">
        <f>AE19</f>
        <v>108.36</v>
      </c>
      <c r="DA19">
        <f>AI19</f>
        <v>1.08</v>
      </c>
      <c r="DB19">
        <f>ROUND((ROUND(AT19*CZ19,2)*ROUND(0,7)),2)</f>
        <v>0</v>
      </c>
      <c r="DC19">
        <f>ROUND((ROUND(AT19*AG19,2)*ROUND(0,7)),2)</f>
        <v>0</v>
      </c>
      <c r="DD19" t="s">
        <v>3</v>
      </c>
      <c r="DE19" t="s">
        <v>3</v>
      </c>
      <c r="DF19">
        <f>ROUND(ROUND(AE19*AI19,2)*CX19,2)</f>
        <v>0</v>
      </c>
      <c r="DG19">
        <f>ROUND(ROUND(AF19,2)*CX19,2)</f>
        <v>0</v>
      </c>
      <c r="DH19">
        <f t="shared" si="1"/>
        <v>0</v>
      </c>
      <c r="DI19">
        <f t="shared" si="2"/>
        <v>0</v>
      </c>
      <c r="DJ19">
        <f>DF19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ROW(Source!A27)</f>
        <v>27</v>
      </c>
      <c r="B20">
        <v>59552816</v>
      </c>
      <c r="C20">
        <v>59552839</v>
      </c>
      <c r="D20">
        <v>57987289</v>
      </c>
      <c r="E20">
        <v>107</v>
      </c>
      <c r="F20">
        <v>1</v>
      </c>
      <c r="G20">
        <v>1</v>
      </c>
      <c r="H20">
        <v>1</v>
      </c>
      <c r="I20" t="s">
        <v>318</v>
      </c>
      <c r="J20" t="s">
        <v>3</v>
      </c>
      <c r="K20" t="s">
        <v>319</v>
      </c>
      <c r="L20">
        <v>1191</v>
      </c>
      <c r="N20">
        <v>1013</v>
      </c>
      <c r="O20" t="s">
        <v>278</v>
      </c>
      <c r="P20" t="s">
        <v>278</v>
      </c>
      <c r="Q20">
        <v>1</v>
      </c>
      <c r="W20">
        <v>0</v>
      </c>
      <c r="X20">
        <v>1049124552</v>
      </c>
      <c r="Y20">
        <f>(AT20*ROUND(1.15,7))</f>
        <v>25.932499999999997</v>
      </c>
      <c r="AA20">
        <v>0</v>
      </c>
      <c r="AB20">
        <v>0</v>
      </c>
      <c r="AC20">
        <v>0</v>
      </c>
      <c r="AD20">
        <v>237.19</v>
      </c>
      <c r="AE20">
        <v>0</v>
      </c>
      <c r="AF20">
        <v>0</v>
      </c>
      <c r="AG20">
        <v>0</v>
      </c>
      <c r="AH20">
        <v>237.19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22.55</v>
      </c>
      <c r="AU20" t="s">
        <v>29</v>
      </c>
      <c r="AV20">
        <v>1</v>
      </c>
      <c r="AW20">
        <v>2</v>
      </c>
      <c r="AX20">
        <v>59552840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5348.6345000000001</v>
      </c>
      <c r="BN20">
        <v>22.55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6150.9296749999994</v>
      </c>
      <c r="BU20">
        <v>25.932499999999997</v>
      </c>
      <c r="BV20">
        <v>0</v>
      </c>
      <c r="BW20">
        <v>1</v>
      </c>
      <c r="CX20">
        <f>ROUND(Y20*Source!I27,7)</f>
        <v>16.856124999999999</v>
      </c>
      <c r="CY20">
        <f>AD20</f>
        <v>237.19</v>
      </c>
      <c r="CZ20">
        <f>AH20</f>
        <v>237.19</v>
      </c>
      <c r="DA20">
        <f>AL20</f>
        <v>1</v>
      </c>
      <c r="DB20">
        <f>ROUND((ROUND(AT20*CZ20,2)*ROUND(1.15,7)),2)</f>
        <v>6150.92</v>
      </c>
      <c r="DC20">
        <f>ROUND((ROUND(AT20*AG20,2)*ROUND(1.15,7)),2)</f>
        <v>0</v>
      </c>
      <c r="DD20" t="s">
        <v>3</v>
      </c>
      <c r="DE20" t="s">
        <v>3</v>
      </c>
      <c r="DF20">
        <f t="shared" ref="DF20:DF31" si="11">ROUND(ROUND(AE20,2)*CX20,2)</f>
        <v>0</v>
      </c>
      <c r="DG20">
        <f>ROUND(ROUND(AF20,2)*CX20,2)</f>
        <v>0</v>
      </c>
      <c r="DH20">
        <f t="shared" si="1"/>
        <v>0</v>
      </c>
      <c r="DI20">
        <f t="shared" si="2"/>
        <v>3998.1</v>
      </c>
      <c r="DJ20">
        <f>DI20</f>
        <v>3998.1</v>
      </c>
      <c r="DK20">
        <v>1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ROW(Source!A27)</f>
        <v>27</v>
      </c>
      <c r="B21">
        <v>59552816</v>
      </c>
      <c r="C21">
        <v>59552839</v>
      </c>
      <c r="D21">
        <v>57987490</v>
      </c>
      <c r="E21">
        <v>107</v>
      </c>
      <c r="F21">
        <v>1</v>
      </c>
      <c r="G21">
        <v>1</v>
      </c>
      <c r="H21">
        <v>1</v>
      </c>
      <c r="I21" t="s">
        <v>284</v>
      </c>
      <c r="J21" t="s">
        <v>3</v>
      </c>
      <c r="K21" t="s">
        <v>285</v>
      </c>
      <c r="L21">
        <v>1191</v>
      </c>
      <c r="N21">
        <v>1013</v>
      </c>
      <c r="O21" t="s">
        <v>278</v>
      </c>
      <c r="P21" t="s">
        <v>278</v>
      </c>
      <c r="Q21">
        <v>1</v>
      </c>
      <c r="W21">
        <v>0</v>
      </c>
      <c r="X21">
        <v>-1417349443</v>
      </c>
      <c r="Y21">
        <f>(AT21*ROUND(1.25,7))</f>
        <v>0.125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0.1</v>
      </c>
      <c r="AU21" t="s">
        <v>28</v>
      </c>
      <c r="AV21">
        <v>2</v>
      </c>
      <c r="AW21">
        <v>2</v>
      </c>
      <c r="AX21">
        <v>59552841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0.1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0.125</v>
      </c>
      <c r="BW21">
        <v>1</v>
      </c>
      <c r="CX21">
        <f>ROUND(Y21*Source!I27,7)</f>
        <v>8.1250000000000003E-2</v>
      </c>
      <c r="CY21">
        <f>AD21</f>
        <v>0</v>
      </c>
      <c r="CZ21">
        <f>AH21</f>
        <v>0</v>
      </c>
      <c r="DA21">
        <f>AL21</f>
        <v>1</v>
      </c>
      <c r="DB21">
        <f>ROUND((ROUND(AT21*CZ21,2)*ROUND(1.25,7)),2)</f>
        <v>0</v>
      </c>
      <c r="DC21">
        <f>ROUND((ROUND(AT21*AG21,2)*ROUND(1.25,7)),2)</f>
        <v>0</v>
      </c>
      <c r="DD21" t="s">
        <v>3</v>
      </c>
      <c r="DE21" t="s">
        <v>3</v>
      </c>
      <c r="DF21">
        <f t="shared" si="11"/>
        <v>0</v>
      </c>
      <c r="DG21">
        <f>ROUND(ROUND(AF21,2)*CX21,2)</f>
        <v>0</v>
      </c>
      <c r="DH21">
        <f t="shared" si="1"/>
        <v>0</v>
      </c>
      <c r="DI21">
        <f t="shared" si="2"/>
        <v>0</v>
      </c>
      <c r="DJ21">
        <f>DI21</f>
        <v>0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ROW(Source!A27)</f>
        <v>27</v>
      </c>
      <c r="B22">
        <v>59552816</v>
      </c>
      <c r="C22">
        <v>59552839</v>
      </c>
      <c r="D22">
        <v>58107956</v>
      </c>
      <c r="E22">
        <v>1</v>
      </c>
      <c r="F22">
        <v>1</v>
      </c>
      <c r="G22">
        <v>1</v>
      </c>
      <c r="H22">
        <v>2</v>
      </c>
      <c r="I22" t="s">
        <v>291</v>
      </c>
      <c r="J22" t="s">
        <v>292</v>
      </c>
      <c r="K22" t="s">
        <v>293</v>
      </c>
      <c r="L22">
        <v>1368</v>
      </c>
      <c r="N22">
        <v>1011</v>
      </c>
      <c r="O22" t="s">
        <v>289</v>
      </c>
      <c r="P22" t="s">
        <v>289</v>
      </c>
      <c r="Q22">
        <v>1</v>
      </c>
      <c r="W22">
        <v>0</v>
      </c>
      <c r="X22">
        <v>-1755708642</v>
      </c>
      <c r="Y22">
        <f>(AT22*ROUND(1.25,7))</f>
        <v>0.125</v>
      </c>
      <c r="AA22">
        <v>0</v>
      </c>
      <c r="AB22">
        <v>540.04999999999995</v>
      </c>
      <c r="AC22">
        <v>267.08999999999997</v>
      </c>
      <c r="AD22">
        <v>0</v>
      </c>
      <c r="AE22">
        <v>0</v>
      </c>
      <c r="AF22">
        <v>477.92</v>
      </c>
      <c r="AG22">
        <v>267.08999999999997</v>
      </c>
      <c r="AH22">
        <v>0</v>
      </c>
      <c r="AI22">
        <v>1</v>
      </c>
      <c r="AJ22">
        <v>1.1299999999999999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0.1</v>
      </c>
      <c r="AU22" t="s">
        <v>28</v>
      </c>
      <c r="AV22">
        <v>1</v>
      </c>
      <c r="AW22">
        <v>2</v>
      </c>
      <c r="AX22">
        <v>59552842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47.792000000000002</v>
      </c>
      <c r="BL22">
        <v>26.709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59.74</v>
      </c>
      <c r="BS22">
        <v>33.386249999999997</v>
      </c>
      <c r="BT22">
        <v>0</v>
      </c>
      <c r="BU22">
        <v>0</v>
      </c>
      <c r="BV22">
        <v>0</v>
      </c>
      <c r="BW22">
        <v>1</v>
      </c>
      <c r="CX22">
        <f>ROUND(Y22*Source!I27,7)</f>
        <v>8.1250000000000003E-2</v>
      </c>
      <c r="CY22">
        <f>AB22</f>
        <v>540.04999999999995</v>
      </c>
      <c r="CZ22">
        <f>AF22</f>
        <v>477.92</v>
      </c>
      <c r="DA22">
        <f>AJ22</f>
        <v>1.1299999999999999</v>
      </c>
      <c r="DB22">
        <f>ROUND((ROUND(AT22*CZ22,2)*ROUND(1.25,7)),2)</f>
        <v>59.74</v>
      </c>
      <c r="DC22">
        <f>ROUND((ROUND(AT22*AG22,2)*ROUND(1.25,7)),2)</f>
        <v>33.39</v>
      </c>
      <c r="DD22" t="s">
        <v>3</v>
      </c>
      <c r="DE22" t="s">
        <v>3</v>
      </c>
      <c r="DF22">
        <f t="shared" si="11"/>
        <v>0</v>
      </c>
      <c r="DG22">
        <f>ROUND(ROUND(AF22*AJ22,2)*CX22,2)</f>
        <v>43.88</v>
      </c>
      <c r="DH22">
        <f t="shared" si="1"/>
        <v>21.7</v>
      </c>
      <c r="DI22">
        <f t="shared" si="2"/>
        <v>0</v>
      </c>
      <c r="DJ22">
        <f>DG22+DH22</f>
        <v>65.58</v>
      </c>
      <c r="DK22">
        <v>1</v>
      </c>
      <c r="DL22" t="s">
        <v>294</v>
      </c>
      <c r="DM22">
        <v>4</v>
      </c>
      <c r="DN22" t="s">
        <v>278</v>
      </c>
      <c r="DO22">
        <v>1</v>
      </c>
    </row>
    <row r="23" spans="1:119" x14ac:dyDescent="0.2">
      <c r="A23">
        <f>ROW(Source!A27)</f>
        <v>27</v>
      </c>
      <c r="B23">
        <v>59552816</v>
      </c>
      <c r="C23">
        <v>59552839</v>
      </c>
      <c r="D23">
        <v>58061388</v>
      </c>
      <c r="E23">
        <v>1</v>
      </c>
      <c r="F23">
        <v>1</v>
      </c>
      <c r="G23">
        <v>1</v>
      </c>
      <c r="H23">
        <v>3</v>
      </c>
      <c r="I23" t="s">
        <v>295</v>
      </c>
      <c r="J23" t="s">
        <v>296</v>
      </c>
      <c r="K23" t="s">
        <v>297</v>
      </c>
      <c r="L23">
        <v>1383</v>
      </c>
      <c r="N23">
        <v>1013</v>
      </c>
      <c r="O23" t="s">
        <v>298</v>
      </c>
      <c r="P23" t="s">
        <v>298</v>
      </c>
      <c r="Q23">
        <v>1</v>
      </c>
      <c r="W23">
        <v>0</v>
      </c>
      <c r="X23">
        <v>-1853435331</v>
      </c>
      <c r="Y23">
        <f>AT23</f>
        <v>0.58099999999999996</v>
      </c>
      <c r="AA23">
        <v>6.92</v>
      </c>
      <c r="AB23">
        <v>0</v>
      </c>
      <c r="AC23">
        <v>0</v>
      </c>
      <c r="AD23">
        <v>0</v>
      </c>
      <c r="AE23">
        <v>6.92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0</v>
      </c>
      <c r="AP23">
        <v>0</v>
      </c>
      <c r="AQ23">
        <v>1</v>
      </c>
      <c r="AR23">
        <v>0</v>
      </c>
      <c r="AS23" t="s">
        <v>3</v>
      </c>
      <c r="AT23">
        <v>0.58099999999999996</v>
      </c>
      <c r="AU23" t="s">
        <v>3</v>
      </c>
      <c r="AV23">
        <v>0</v>
      </c>
      <c r="AW23">
        <v>2</v>
      </c>
      <c r="AX23">
        <v>59552843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4.0205199999999994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4.0205199999999994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CX23">
        <f>ROUND(Y23*Source!I27,7)</f>
        <v>0.37764999999999999</v>
      </c>
      <c r="CY23">
        <f>AA23</f>
        <v>6.92</v>
      </c>
      <c r="CZ23">
        <f>AE23</f>
        <v>6.92</v>
      </c>
      <c r="DA23">
        <f>AI23</f>
        <v>1</v>
      </c>
      <c r="DB23">
        <f>ROUND(ROUND(AT23*CZ23,2),2)</f>
        <v>4.0199999999999996</v>
      </c>
      <c r="DC23">
        <f>ROUND(ROUND(AT23*AG23,2),2)</f>
        <v>0</v>
      </c>
      <c r="DD23" t="s">
        <v>3</v>
      </c>
      <c r="DE23" t="s">
        <v>3</v>
      </c>
      <c r="DF23">
        <f t="shared" si="11"/>
        <v>2.61</v>
      </c>
      <c r="DG23">
        <f t="shared" ref="DG23:DG29" si="12">ROUND(ROUND(AF23,2)*CX23,2)</f>
        <v>0</v>
      </c>
      <c r="DH23">
        <f t="shared" si="1"/>
        <v>0</v>
      </c>
      <c r="DI23">
        <f t="shared" si="2"/>
        <v>0</v>
      </c>
      <c r="DJ23">
        <f>DF23</f>
        <v>2.61</v>
      </c>
      <c r="DK23">
        <v>1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ROW(Source!A27)</f>
        <v>27</v>
      </c>
      <c r="B24">
        <v>59552816</v>
      </c>
      <c r="C24">
        <v>59552839</v>
      </c>
      <c r="D24">
        <v>0</v>
      </c>
      <c r="E24">
        <v>0</v>
      </c>
      <c r="F24">
        <v>1</v>
      </c>
      <c r="G24">
        <v>1</v>
      </c>
      <c r="H24">
        <v>3</v>
      </c>
      <c r="I24" t="s">
        <v>326</v>
      </c>
      <c r="J24" t="s">
        <v>3</v>
      </c>
      <c r="K24" t="s">
        <v>327</v>
      </c>
      <c r="L24">
        <v>1327</v>
      </c>
      <c r="N24">
        <v>1005</v>
      </c>
      <c r="O24" t="s">
        <v>49</v>
      </c>
      <c r="P24" t="s">
        <v>49</v>
      </c>
      <c r="Q24">
        <v>1</v>
      </c>
      <c r="W24">
        <v>0</v>
      </c>
      <c r="X24">
        <v>2041434944</v>
      </c>
      <c r="Y24">
        <f>AT24</f>
        <v>105</v>
      </c>
      <c r="AA24">
        <v>120</v>
      </c>
      <c r="AB24">
        <v>0</v>
      </c>
      <c r="AC24">
        <v>0</v>
      </c>
      <c r="AD24">
        <v>0</v>
      </c>
      <c r="AE24">
        <v>120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0</v>
      </c>
      <c r="AN24">
        <v>0</v>
      </c>
      <c r="AO24">
        <v>0</v>
      </c>
      <c r="AP24">
        <v>2</v>
      </c>
      <c r="AQ24">
        <v>1</v>
      </c>
      <c r="AR24">
        <v>0</v>
      </c>
      <c r="AS24" t="s">
        <v>3</v>
      </c>
      <c r="AT24">
        <v>105</v>
      </c>
      <c r="AU24" t="s">
        <v>3</v>
      </c>
      <c r="AV24">
        <v>0</v>
      </c>
      <c r="AW24">
        <v>1</v>
      </c>
      <c r="AX24">
        <v>-1</v>
      </c>
      <c r="AY24">
        <v>0</v>
      </c>
      <c r="AZ24">
        <v>0</v>
      </c>
      <c r="BA24" t="s">
        <v>3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12600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12600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X24">
        <f>ROUND(Y24*Source!I27,7)</f>
        <v>68.25</v>
      </c>
      <c r="CY24">
        <f>AA24</f>
        <v>120</v>
      </c>
      <c r="CZ24">
        <f>AE24</f>
        <v>120</v>
      </c>
      <c r="DA24">
        <f>AI24</f>
        <v>1</v>
      </c>
      <c r="DB24">
        <f>ROUND(ROUND(AT24*CZ24,2),2)</f>
        <v>12600</v>
      </c>
      <c r="DC24">
        <f>ROUND(ROUND(AT24*AG24,2),2)</f>
        <v>0</v>
      </c>
      <c r="DD24" t="s">
        <v>3</v>
      </c>
      <c r="DE24" t="s">
        <v>3</v>
      </c>
      <c r="DF24">
        <f t="shared" si="11"/>
        <v>8190</v>
      </c>
      <c r="DG24">
        <f t="shared" si="12"/>
        <v>0</v>
      </c>
      <c r="DH24">
        <f t="shared" si="1"/>
        <v>0</v>
      </c>
      <c r="DI24">
        <f t="shared" si="2"/>
        <v>0</v>
      </c>
      <c r="DJ24">
        <f>DF24</f>
        <v>8190</v>
      </c>
      <c r="DK24">
        <v>2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ROW(Source!A27)</f>
        <v>27</v>
      </c>
      <c r="B25">
        <v>59552816</v>
      </c>
      <c r="C25">
        <v>59552839</v>
      </c>
      <c r="D25">
        <v>0</v>
      </c>
      <c r="E25">
        <v>0</v>
      </c>
      <c r="F25">
        <v>1</v>
      </c>
      <c r="G25">
        <v>1</v>
      </c>
      <c r="H25">
        <v>3</v>
      </c>
      <c r="I25" t="s">
        <v>326</v>
      </c>
      <c r="J25" t="s">
        <v>3</v>
      </c>
      <c r="K25" t="s">
        <v>328</v>
      </c>
      <c r="L25">
        <v>1327</v>
      </c>
      <c r="N25">
        <v>1005</v>
      </c>
      <c r="O25" t="s">
        <v>49</v>
      </c>
      <c r="P25" t="s">
        <v>49</v>
      </c>
      <c r="Q25">
        <v>1</v>
      </c>
      <c r="W25">
        <v>0</v>
      </c>
      <c r="X25">
        <v>1479786038</v>
      </c>
      <c r="Y25">
        <f>AT25</f>
        <v>102.5</v>
      </c>
      <c r="AA25">
        <v>900</v>
      </c>
      <c r="AB25">
        <v>0</v>
      </c>
      <c r="AC25">
        <v>0</v>
      </c>
      <c r="AD25">
        <v>0</v>
      </c>
      <c r="AE25">
        <v>900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0</v>
      </c>
      <c r="AN25">
        <v>0</v>
      </c>
      <c r="AO25">
        <v>0</v>
      </c>
      <c r="AP25">
        <v>2</v>
      </c>
      <c r="AQ25">
        <v>1</v>
      </c>
      <c r="AR25">
        <v>0</v>
      </c>
      <c r="AS25" t="s">
        <v>3</v>
      </c>
      <c r="AT25">
        <v>102.5</v>
      </c>
      <c r="AU25" t="s">
        <v>3</v>
      </c>
      <c r="AV25">
        <v>0</v>
      </c>
      <c r="AW25">
        <v>1</v>
      </c>
      <c r="AX25">
        <v>-1</v>
      </c>
      <c r="AY25">
        <v>0</v>
      </c>
      <c r="AZ25">
        <v>0</v>
      </c>
      <c r="BA25" t="s">
        <v>3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92250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92250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CX25">
        <f>ROUND(Y25*Source!I27,7)</f>
        <v>66.625</v>
      </c>
      <c r="CY25">
        <f>AA25</f>
        <v>900</v>
      </c>
      <c r="CZ25">
        <f>AE25</f>
        <v>900</v>
      </c>
      <c r="DA25">
        <f>AI25</f>
        <v>1</v>
      </c>
      <c r="DB25">
        <f>ROUND(ROUND(AT25*CZ25,2),2)</f>
        <v>92250</v>
      </c>
      <c r="DC25">
        <f>ROUND(ROUND(AT25*AG25,2),2)</f>
        <v>0</v>
      </c>
      <c r="DD25" t="s">
        <v>3</v>
      </c>
      <c r="DE25" t="s">
        <v>3</v>
      </c>
      <c r="DF25">
        <f t="shared" si="11"/>
        <v>59962.5</v>
      </c>
      <c r="DG25">
        <f t="shared" si="12"/>
        <v>0</v>
      </c>
      <c r="DH25">
        <f t="shared" si="1"/>
        <v>0</v>
      </c>
      <c r="DI25">
        <f t="shared" si="2"/>
        <v>0</v>
      </c>
      <c r="DJ25">
        <f>DF25</f>
        <v>59962.5</v>
      </c>
      <c r="DK25">
        <v>2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ROW(Source!A33)</f>
        <v>33</v>
      </c>
      <c r="B26">
        <v>59552816</v>
      </c>
      <c r="C26">
        <v>59552948</v>
      </c>
      <c r="D26">
        <v>57987241</v>
      </c>
      <c r="E26">
        <v>107</v>
      </c>
      <c r="F26">
        <v>1</v>
      </c>
      <c r="G26">
        <v>1</v>
      </c>
      <c r="H26">
        <v>1</v>
      </c>
      <c r="I26" t="s">
        <v>329</v>
      </c>
      <c r="J26" t="s">
        <v>3</v>
      </c>
      <c r="K26" t="s">
        <v>330</v>
      </c>
      <c r="L26">
        <v>1191</v>
      </c>
      <c r="N26">
        <v>1013</v>
      </c>
      <c r="O26" t="s">
        <v>278</v>
      </c>
      <c r="P26" t="s">
        <v>278</v>
      </c>
      <c r="Q26">
        <v>1</v>
      </c>
      <c r="W26">
        <v>0</v>
      </c>
      <c r="X26">
        <v>980964037</v>
      </c>
      <c r="Y26">
        <f>AT26</f>
        <v>0.57999999999999996</v>
      </c>
      <c r="AA26">
        <v>0</v>
      </c>
      <c r="AB26">
        <v>0</v>
      </c>
      <c r="AC26">
        <v>0</v>
      </c>
      <c r="AD26">
        <v>210.08</v>
      </c>
      <c r="AE26">
        <v>0</v>
      </c>
      <c r="AF26">
        <v>0</v>
      </c>
      <c r="AG26">
        <v>0</v>
      </c>
      <c r="AH26">
        <v>210.08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0</v>
      </c>
      <c r="AQ26">
        <v>1</v>
      </c>
      <c r="AR26">
        <v>0</v>
      </c>
      <c r="AS26" t="s">
        <v>3</v>
      </c>
      <c r="AT26">
        <v>0.57999999999999996</v>
      </c>
      <c r="AU26" t="s">
        <v>3</v>
      </c>
      <c r="AV26">
        <v>1</v>
      </c>
      <c r="AW26">
        <v>2</v>
      </c>
      <c r="AX26">
        <v>59552949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121.8464</v>
      </c>
      <c r="BN26">
        <v>0.57999999999999996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121.8464</v>
      </c>
      <c r="BU26">
        <v>0.57999999999999996</v>
      </c>
      <c r="BV26">
        <v>0</v>
      </c>
      <c r="BW26">
        <v>1</v>
      </c>
      <c r="CX26">
        <f>ROUND(Y26*Source!I33,7)</f>
        <v>46.997399999999999</v>
      </c>
      <c r="CY26">
        <f>AD26</f>
        <v>210.08</v>
      </c>
      <c r="CZ26">
        <f>AH26</f>
        <v>210.08</v>
      </c>
      <c r="DA26">
        <f>AL26</f>
        <v>1</v>
      </c>
      <c r="DB26">
        <f>ROUND(ROUND(AT26*CZ26,2),2)</f>
        <v>121.85</v>
      </c>
      <c r="DC26">
        <f>ROUND(ROUND(AT26*AG26,2),2)</f>
        <v>0</v>
      </c>
      <c r="DD26" t="s">
        <v>3</v>
      </c>
      <c r="DE26" t="s">
        <v>3</v>
      </c>
      <c r="DF26">
        <f t="shared" si="11"/>
        <v>0</v>
      </c>
      <c r="DG26">
        <f t="shared" si="12"/>
        <v>0</v>
      </c>
      <c r="DH26">
        <f t="shared" si="1"/>
        <v>0</v>
      </c>
      <c r="DI26">
        <f t="shared" si="2"/>
        <v>9873.2099999999991</v>
      </c>
      <c r="DJ26">
        <f>DI26</f>
        <v>9873.2099999999991</v>
      </c>
      <c r="DK26">
        <v>1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ROW(Source!A34)</f>
        <v>34</v>
      </c>
      <c r="B27">
        <v>59552816</v>
      </c>
      <c r="C27">
        <v>59553005</v>
      </c>
      <c r="D27">
        <v>57987241</v>
      </c>
      <c r="E27">
        <v>107</v>
      </c>
      <c r="F27">
        <v>1</v>
      </c>
      <c r="G27">
        <v>1</v>
      </c>
      <c r="H27">
        <v>1</v>
      </c>
      <c r="I27" t="s">
        <v>329</v>
      </c>
      <c r="J27" t="s">
        <v>3</v>
      </c>
      <c r="K27" t="s">
        <v>330</v>
      </c>
      <c r="L27">
        <v>1191</v>
      </c>
      <c r="N27">
        <v>1013</v>
      </c>
      <c r="O27" t="s">
        <v>278</v>
      </c>
      <c r="P27" t="s">
        <v>278</v>
      </c>
      <c r="Q27">
        <v>1</v>
      </c>
      <c r="W27">
        <v>0</v>
      </c>
      <c r="X27">
        <v>980964037</v>
      </c>
      <c r="Y27">
        <f>AT27</f>
        <v>0.57999999999999996</v>
      </c>
      <c r="AA27">
        <v>0</v>
      </c>
      <c r="AB27">
        <v>0</v>
      </c>
      <c r="AC27">
        <v>0</v>
      </c>
      <c r="AD27">
        <v>210.08</v>
      </c>
      <c r="AE27">
        <v>0</v>
      </c>
      <c r="AF27">
        <v>0</v>
      </c>
      <c r="AG27">
        <v>0</v>
      </c>
      <c r="AH27">
        <v>210.08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0.57999999999999996</v>
      </c>
      <c r="AU27" t="s">
        <v>3</v>
      </c>
      <c r="AV27">
        <v>1</v>
      </c>
      <c r="AW27">
        <v>2</v>
      </c>
      <c r="AX27">
        <v>59553010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121.8464</v>
      </c>
      <c r="BN27">
        <v>0.57999999999999996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121.8464</v>
      </c>
      <c r="BU27">
        <v>0.57999999999999996</v>
      </c>
      <c r="BV27">
        <v>0</v>
      </c>
      <c r="BW27">
        <v>1</v>
      </c>
      <c r="CX27">
        <f>ROUND(Y27*Source!I34,7)</f>
        <v>37.700000000000003</v>
      </c>
      <c r="CY27">
        <f>AD27</f>
        <v>210.08</v>
      </c>
      <c r="CZ27">
        <f>AH27</f>
        <v>210.08</v>
      </c>
      <c r="DA27">
        <f>AL27</f>
        <v>1</v>
      </c>
      <c r="DB27">
        <f>ROUND(ROUND(AT27*CZ27,2),2)</f>
        <v>121.85</v>
      </c>
      <c r="DC27">
        <f>ROUND(ROUND(AT27*AG27,2),2)</f>
        <v>0</v>
      </c>
      <c r="DD27" t="s">
        <v>3</v>
      </c>
      <c r="DE27" t="s">
        <v>3</v>
      </c>
      <c r="DF27">
        <f t="shared" si="11"/>
        <v>0</v>
      </c>
      <c r="DG27">
        <f t="shared" si="12"/>
        <v>0</v>
      </c>
      <c r="DH27">
        <f t="shared" si="1"/>
        <v>0</v>
      </c>
      <c r="DI27">
        <f t="shared" si="2"/>
        <v>7920.02</v>
      </c>
      <c r="DJ27">
        <f>DI27</f>
        <v>7920.02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ROW(Source!A35)</f>
        <v>35</v>
      </c>
      <c r="B28">
        <v>59552816</v>
      </c>
      <c r="C28">
        <v>59552954</v>
      </c>
      <c r="D28">
        <v>57987315</v>
      </c>
      <c r="E28">
        <v>107</v>
      </c>
      <c r="F28">
        <v>1</v>
      </c>
      <c r="G28">
        <v>1</v>
      </c>
      <c r="H28">
        <v>1</v>
      </c>
      <c r="I28" t="s">
        <v>331</v>
      </c>
      <c r="J28" t="s">
        <v>3</v>
      </c>
      <c r="K28" t="s">
        <v>332</v>
      </c>
      <c r="L28">
        <v>1191</v>
      </c>
      <c r="N28">
        <v>1013</v>
      </c>
      <c r="O28" t="s">
        <v>278</v>
      </c>
      <c r="P28" t="s">
        <v>278</v>
      </c>
      <c r="Q28">
        <v>1</v>
      </c>
      <c r="W28">
        <v>0</v>
      </c>
      <c r="X28">
        <v>-1111239348</v>
      </c>
      <c r="Y28">
        <f>(AT28*ROUND(1.15,7))</f>
        <v>5.3475000000000001</v>
      </c>
      <c r="AA28">
        <v>0</v>
      </c>
      <c r="AB28">
        <v>0</v>
      </c>
      <c r="AC28">
        <v>0</v>
      </c>
      <c r="AD28">
        <v>267.08999999999997</v>
      </c>
      <c r="AE28">
        <v>0</v>
      </c>
      <c r="AF28">
        <v>0</v>
      </c>
      <c r="AG28">
        <v>0</v>
      </c>
      <c r="AH28">
        <v>267.08999999999997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4.6500000000000004</v>
      </c>
      <c r="AU28" t="s">
        <v>29</v>
      </c>
      <c r="AV28">
        <v>1</v>
      </c>
      <c r="AW28">
        <v>2</v>
      </c>
      <c r="AX28">
        <v>59553079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1241.9684999999999</v>
      </c>
      <c r="BN28">
        <v>4.6500000000000004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1428.2637749999999</v>
      </c>
      <c r="BU28">
        <v>5.3475000000000001</v>
      </c>
      <c r="BV28">
        <v>0</v>
      </c>
      <c r="BW28">
        <v>1</v>
      </c>
      <c r="CX28">
        <f>ROUND(Y28*Source!I35,7)</f>
        <v>4.3330792999999996</v>
      </c>
      <c r="CY28">
        <f>AD28</f>
        <v>267.08999999999997</v>
      </c>
      <c r="CZ28">
        <f>AH28</f>
        <v>267.08999999999997</v>
      </c>
      <c r="DA28">
        <f>AL28</f>
        <v>1</v>
      </c>
      <c r="DB28">
        <f>ROUND((ROUND(AT28*CZ28,2)*ROUND(1.15,7)),2)</f>
        <v>1428.27</v>
      </c>
      <c r="DC28">
        <f>ROUND((ROUND(AT28*AG28,2)*ROUND(1.15,7)),2)</f>
        <v>0</v>
      </c>
      <c r="DD28" t="s">
        <v>3</v>
      </c>
      <c r="DE28" t="s">
        <v>3</v>
      </c>
      <c r="DF28">
        <f t="shared" si="11"/>
        <v>0</v>
      </c>
      <c r="DG28">
        <f t="shared" si="12"/>
        <v>0</v>
      </c>
      <c r="DH28">
        <f t="shared" si="1"/>
        <v>0</v>
      </c>
      <c r="DI28">
        <f t="shared" si="2"/>
        <v>1157.32</v>
      </c>
      <c r="DJ28">
        <f>DI28</f>
        <v>1157.32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ROW(Source!A35)</f>
        <v>35</v>
      </c>
      <c r="B29">
        <v>59552816</v>
      </c>
      <c r="C29">
        <v>59552954</v>
      </c>
      <c r="D29">
        <v>57987490</v>
      </c>
      <c r="E29">
        <v>107</v>
      </c>
      <c r="F29">
        <v>1</v>
      </c>
      <c r="G29">
        <v>1</v>
      </c>
      <c r="H29">
        <v>1</v>
      </c>
      <c r="I29" t="s">
        <v>284</v>
      </c>
      <c r="J29" t="s">
        <v>3</v>
      </c>
      <c r="K29" t="s">
        <v>285</v>
      </c>
      <c r="L29">
        <v>1191</v>
      </c>
      <c r="N29">
        <v>1013</v>
      </c>
      <c r="O29" t="s">
        <v>278</v>
      </c>
      <c r="P29" t="s">
        <v>278</v>
      </c>
      <c r="Q29">
        <v>1</v>
      </c>
      <c r="W29">
        <v>0</v>
      </c>
      <c r="X29">
        <v>-1417349443</v>
      </c>
      <c r="Y29">
        <f>(AT29*ROUND(1.25,7))</f>
        <v>2.5000000000000001E-2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0.02</v>
      </c>
      <c r="AU29" t="s">
        <v>28</v>
      </c>
      <c r="AV29">
        <v>2</v>
      </c>
      <c r="AW29">
        <v>2</v>
      </c>
      <c r="AX29">
        <v>59553080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0.02</v>
      </c>
      <c r="BP29">
        <v>1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2.5000000000000001E-2</v>
      </c>
      <c r="BW29">
        <v>1</v>
      </c>
      <c r="CX29">
        <f>ROUND(Y29*Source!I35,7)</f>
        <v>2.0257500000000001E-2</v>
      </c>
      <c r="CY29">
        <f>AD29</f>
        <v>0</v>
      </c>
      <c r="CZ29">
        <f>AH29</f>
        <v>0</v>
      </c>
      <c r="DA29">
        <f>AL29</f>
        <v>1</v>
      </c>
      <c r="DB29">
        <f>ROUND((ROUND(AT29*CZ29,2)*ROUND(1.25,7)),2)</f>
        <v>0</v>
      </c>
      <c r="DC29">
        <f>ROUND((ROUND(AT29*AG29,2)*ROUND(1.25,7)),2)</f>
        <v>0</v>
      </c>
      <c r="DD29" t="s">
        <v>3</v>
      </c>
      <c r="DE29" t="s">
        <v>3</v>
      </c>
      <c r="DF29">
        <f t="shared" si="11"/>
        <v>0</v>
      </c>
      <c r="DG29">
        <f t="shared" si="12"/>
        <v>0</v>
      </c>
      <c r="DH29">
        <f t="shared" si="1"/>
        <v>0</v>
      </c>
      <c r="DI29">
        <f t="shared" si="2"/>
        <v>0</v>
      </c>
      <c r="DJ29">
        <f>DI29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ROW(Source!A35)</f>
        <v>35</v>
      </c>
      <c r="B30">
        <v>59552816</v>
      </c>
      <c r="C30">
        <v>59552954</v>
      </c>
      <c r="D30">
        <v>58107260</v>
      </c>
      <c r="E30">
        <v>1</v>
      </c>
      <c r="F30">
        <v>1</v>
      </c>
      <c r="G30">
        <v>1</v>
      </c>
      <c r="H30">
        <v>2</v>
      </c>
      <c r="I30" t="s">
        <v>286</v>
      </c>
      <c r="J30" t="s">
        <v>287</v>
      </c>
      <c r="K30" t="s">
        <v>288</v>
      </c>
      <c r="L30">
        <v>1368</v>
      </c>
      <c r="N30">
        <v>1011</v>
      </c>
      <c r="O30" t="s">
        <v>289</v>
      </c>
      <c r="P30" t="s">
        <v>289</v>
      </c>
      <c r="Q30">
        <v>1</v>
      </c>
      <c r="W30">
        <v>0</v>
      </c>
      <c r="X30">
        <v>-275119293</v>
      </c>
      <c r="Y30">
        <f>(AT30*ROUND(1.25,7))</f>
        <v>1.2500000000000001E-2</v>
      </c>
      <c r="AA30">
        <v>0</v>
      </c>
      <c r="AB30">
        <v>48.89</v>
      </c>
      <c r="AC30">
        <v>237.19</v>
      </c>
      <c r="AD30">
        <v>0</v>
      </c>
      <c r="AE30">
        <v>0</v>
      </c>
      <c r="AF30">
        <v>37.32</v>
      </c>
      <c r="AG30">
        <v>237.19</v>
      </c>
      <c r="AH30">
        <v>0</v>
      </c>
      <c r="AI30">
        <v>1</v>
      </c>
      <c r="AJ30">
        <v>1.31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0.01</v>
      </c>
      <c r="AU30" t="s">
        <v>28</v>
      </c>
      <c r="AV30">
        <v>1</v>
      </c>
      <c r="AW30">
        <v>2</v>
      </c>
      <c r="AX30">
        <v>59553081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0.37320000000000003</v>
      </c>
      <c r="BL30">
        <v>2.3719000000000001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0.46650000000000003</v>
      </c>
      <c r="BS30">
        <v>2.9648750000000001</v>
      </c>
      <c r="BT30">
        <v>0</v>
      </c>
      <c r="BU30">
        <v>0</v>
      </c>
      <c r="BV30">
        <v>0</v>
      </c>
      <c r="BW30">
        <v>1</v>
      </c>
      <c r="CX30">
        <f>ROUND(Y30*Source!I35,7)</f>
        <v>1.01288E-2</v>
      </c>
      <c r="CY30">
        <f>AB30</f>
        <v>48.89</v>
      </c>
      <c r="CZ30">
        <f>AF30</f>
        <v>37.32</v>
      </c>
      <c r="DA30">
        <f>AJ30</f>
        <v>1.31</v>
      </c>
      <c r="DB30">
        <f>ROUND((ROUND(AT30*CZ30,2)*ROUND(1.25,7)),2)</f>
        <v>0.46</v>
      </c>
      <c r="DC30">
        <f>ROUND((ROUND(AT30*AG30,2)*ROUND(1.25,7)),2)</f>
        <v>2.96</v>
      </c>
      <c r="DD30" t="s">
        <v>3</v>
      </c>
      <c r="DE30" t="s">
        <v>3</v>
      </c>
      <c r="DF30">
        <f t="shared" si="11"/>
        <v>0</v>
      </c>
      <c r="DG30">
        <f>ROUND(ROUND(AF30*AJ30,2)*CX30,2)</f>
        <v>0.5</v>
      </c>
      <c r="DH30">
        <f t="shared" si="1"/>
        <v>2.4</v>
      </c>
      <c r="DI30">
        <f t="shared" si="2"/>
        <v>0</v>
      </c>
      <c r="DJ30">
        <f>DG30+DH30</f>
        <v>2.9</v>
      </c>
      <c r="DK30">
        <v>1</v>
      </c>
      <c r="DL30" t="s">
        <v>290</v>
      </c>
      <c r="DM30">
        <v>3</v>
      </c>
      <c r="DN30" t="s">
        <v>278</v>
      </c>
      <c r="DO30">
        <v>1</v>
      </c>
    </row>
    <row r="31" spans="1:119" x14ac:dyDescent="0.2">
      <c r="A31">
        <f>ROW(Source!A35)</f>
        <v>35</v>
      </c>
      <c r="B31">
        <v>59552816</v>
      </c>
      <c r="C31">
        <v>59552954</v>
      </c>
      <c r="D31">
        <v>58107956</v>
      </c>
      <c r="E31">
        <v>1</v>
      </c>
      <c r="F31">
        <v>1</v>
      </c>
      <c r="G31">
        <v>1</v>
      </c>
      <c r="H31">
        <v>2</v>
      </c>
      <c r="I31" t="s">
        <v>291</v>
      </c>
      <c r="J31" t="s">
        <v>292</v>
      </c>
      <c r="K31" t="s">
        <v>293</v>
      </c>
      <c r="L31">
        <v>1368</v>
      </c>
      <c r="N31">
        <v>1011</v>
      </c>
      <c r="O31" t="s">
        <v>289</v>
      </c>
      <c r="P31" t="s">
        <v>289</v>
      </c>
      <c r="Q31">
        <v>1</v>
      </c>
      <c r="W31">
        <v>0</v>
      </c>
      <c r="X31">
        <v>-1755708642</v>
      </c>
      <c r="Y31">
        <f>(AT31*ROUND(1.25,7))</f>
        <v>1.2500000000000001E-2</v>
      </c>
      <c r="AA31">
        <v>0</v>
      </c>
      <c r="AB31">
        <v>540.04999999999995</v>
      </c>
      <c r="AC31">
        <v>267.08999999999997</v>
      </c>
      <c r="AD31">
        <v>0</v>
      </c>
      <c r="AE31">
        <v>0</v>
      </c>
      <c r="AF31">
        <v>477.92</v>
      </c>
      <c r="AG31">
        <v>267.08999999999997</v>
      </c>
      <c r="AH31">
        <v>0</v>
      </c>
      <c r="AI31">
        <v>1</v>
      </c>
      <c r="AJ31">
        <v>1.1299999999999999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0.01</v>
      </c>
      <c r="AU31" t="s">
        <v>28</v>
      </c>
      <c r="AV31">
        <v>1</v>
      </c>
      <c r="AW31">
        <v>2</v>
      </c>
      <c r="AX31">
        <v>59553082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4.7792000000000003</v>
      </c>
      <c r="BL31">
        <v>2.6708999999999996</v>
      </c>
      <c r="BM31">
        <v>0</v>
      </c>
      <c r="BN31">
        <v>0</v>
      </c>
      <c r="BO31">
        <v>0</v>
      </c>
      <c r="BP31">
        <v>1</v>
      </c>
      <c r="BQ31">
        <v>0</v>
      </c>
      <c r="BR31">
        <v>5.9740000000000002</v>
      </c>
      <c r="BS31">
        <v>3.338625</v>
      </c>
      <c r="BT31">
        <v>0</v>
      </c>
      <c r="BU31">
        <v>0</v>
      </c>
      <c r="BV31">
        <v>0</v>
      </c>
      <c r="BW31">
        <v>1</v>
      </c>
      <c r="CX31">
        <f>ROUND(Y31*Source!I35,7)</f>
        <v>1.01288E-2</v>
      </c>
      <c r="CY31">
        <f>AB31</f>
        <v>540.04999999999995</v>
      </c>
      <c r="CZ31">
        <f>AF31</f>
        <v>477.92</v>
      </c>
      <c r="DA31">
        <f>AJ31</f>
        <v>1.1299999999999999</v>
      </c>
      <c r="DB31">
        <f>ROUND((ROUND(AT31*CZ31,2)*ROUND(1.25,7)),2)</f>
        <v>5.98</v>
      </c>
      <c r="DC31">
        <f>ROUND((ROUND(AT31*AG31,2)*ROUND(1.25,7)),2)</f>
        <v>3.34</v>
      </c>
      <c r="DD31" t="s">
        <v>3</v>
      </c>
      <c r="DE31" t="s">
        <v>3</v>
      </c>
      <c r="DF31">
        <f t="shared" si="11"/>
        <v>0</v>
      </c>
      <c r="DG31">
        <f>ROUND(ROUND(AF31*AJ31,2)*CX31,2)</f>
        <v>5.47</v>
      </c>
      <c r="DH31">
        <f t="shared" si="1"/>
        <v>2.71</v>
      </c>
      <c r="DI31">
        <f t="shared" si="2"/>
        <v>0</v>
      </c>
      <c r="DJ31">
        <f>DG31+DH31</f>
        <v>8.18</v>
      </c>
      <c r="DK31">
        <v>1</v>
      </c>
      <c r="DL31" t="s">
        <v>294</v>
      </c>
      <c r="DM31">
        <v>4</v>
      </c>
      <c r="DN31" t="s">
        <v>278</v>
      </c>
      <c r="DO31">
        <v>1</v>
      </c>
    </row>
    <row r="32" spans="1:119" x14ac:dyDescent="0.2">
      <c r="A32">
        <f>ROW(Source!A35)</f>
        <v>35</v>
      </c>
      <c r="B32">
        <v>59552816</v>
      </c>
      <c r="C32">
        <v>59552954</v>
      </c>
      <c r="D32">
        <v>58063712</v>
      </c>
      <c r="E32">
        <v>1</v>
      </c>
      <c r="F32">
        <v>1</v>
      </c>
      <c r="G32">
        <v>1</v>
      </c>
      <c r="H32">
        <v>3</v>
      </c>
      <c r="I32" t="s">
        <v>333</v>
      </c>
      <c r="J32" t="s">
        <v>334</v>
      </c>
      <c r="K32" t="s">
        <v>335</v>
      </c>
      <c r="L32">
        <v>1346</v>
      </c>
      <c r="N32">
        <v>1009</v>
      </c>
      <c r="O32" t="s">
        <v>336</v>
      </c>
      <c r="P32" t="s">
        <v>336</v>
      </c>
      <c r="Q32">
        <v>1</v>
      </c>
      <c r="W32">
        <v>0</v>
      </c>
      <c r="X32">
        <v>-132351515</v>
      </c>
      <c r="Y32">
        <f t="shared" ref="Y32:Y39" si="13">AT32</f>
        <v>0.1</v>
      </c>
      <c r="AA32">
        <v>106.23</v>
      </c>
      <c r="AB32">
        <v>0</v>
      </c>
      <c r="AC32">
        <v>0</v>
      </c>
      <c r="AD32">
        <v>0</v>
      </c>
      <c r="AE32">
        <v>56.81</v>
      </c>
      <c r="AF32">
        <v>0</v>
      </c>
      <c r="AG32">
        <v>0</v>
      </c>
      <c r="AH32">
        <v>0</v>
      </c>
      <c r="AI32">
        <v>1.87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0.1</v>
      </c>
      <c r="AU32" t="s">
        <v>3</v>
      </c>
      <c r="AV32">
        <v>0</v>
      </c>
      <c r="AW32">
        <v>2</v>
      </c>
      <c r="AX32">
        <v>59553083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5.6810000000000009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5.6810000000000009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X32">
        <f>ROUND(Y32*Source!I35,7)</f>
        <v>8.1030000000000005E-2</v>
      </c>
      <c r="CY32">
        <f>AA32</f>
        <v>106.23</v>
      </c>
      <c r="CZ32">
        <f>AE32</f>
        <v>56.81</v>
      </c>
      <c r="DA32">
        <f>AI32</f>
        <v>1.87</v>
      </c>
      <c r="DB32">
        <f t="shared" ref="DB32:DB39" si="14">ROUND(ROUND(AT32*CZ32,2),2)</f>
        <v>5.68</v>
      </c>
      <c r="DC32">
        <f t="shared" ref="DC32:DC39" si="15">ROUND(ROUND(AT32*AG32,2),2)</f>
        <v>0</v>
      </c>
      <c r="DD32" t="s">
        <v>3</v>
      </c>
      <c r="DE32" t="s">
        <v>3</v>
      </c>
      <c r="DF32">
        <f>ROUND(ROUND(AE32*AI32,2)*CX32,2)</f>
        <v>8.61</v>
      </c>
      <c r="DG32">
        <f>ROUND(ROUND(AF32,2)*CX32,2)</f>
        <v>0</v>
      </c>
      <c r="DH32">
        <f t="shared" si="1"/>
        <v>0</v>
      </c>
      <c r="DI32">
        <f t="shared" si="2"/>
        <v>0</v>
      </c>
      <c r="DJ32">
        <f>DF32</f>
        <v>8.61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ROW(Source!A35)</f>
        <v>35</v>
      </c>
      <c r="B33">
        <v>59552816</v>
      </c>
      <c r="C33">
        <v>59552954</v>
      </c>
      <c r="D33">
        <v>0</v>
      </c>
      <c r="E33">
        <v>0</v>
      </c>
      <c r="F33">
        <v>1</v>
      </c>
      <c r="G33">
        <v>1</v>
      </c>
      <c r="H33">
        <v>3</v>
      </c>
      <c r="I33" t="s">
        <v>326</v>
      </c>
      <c r="J33" t="s">
        <v>3</v>
      </c>
      <c r="K33" t="s">
        <v>337</v>
      </c>
      <c r="L33">
        <v>1348</v>
      </c>
      <c r="N33">
        <v>1009</v>
      </c>
      <c r="O33" t="s">
        <v>281</v>
      </c>
      <c r="P33" t="s">
        <v>281</v>
      </c>
      <c r="Q33">
        <v>1000</v>
      </c>
      <c r="W33">
        <v>0</v>
      </c>
      <c r="X33">
        <v>-1722100437</v>
      </c>
      <c r="Y33">
        <f t="shared" si="13"/>
        <v>1.0300012341108231E-2</v>
      </c>
      <c r="AA33">
        <v>117000</v>
      </c>
      <c r="AB33">
        <v>0</v>
      </c>
      <c r="AC33">
        <v>0</v>
      </c>
      <c r="AD33">
        <v>0</v>
      </c>
      <c r="AE33">
        <v>117000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2</v>
      </c>
      <c r="AQ33">
        <v>1</v>
      </c>
      <c r="AR33">
        <v>0</v>
      </c>
      <c r="AS33" t="s">
        <v>3</v>
      </c>
      <c r="AT33">
        <v>1.0300012341108231E-2</v>
      </c>
      <c r="AU33" t="s">
        <v>3</v>
      </c>
      <c r="AV33">
        <v>0</v>
      </c>
      <c r="AW33">
        <v>1</v>
      </c>
      <c r="AX33">
        <v>-1</v>
      </c>
      <c r="AY33">
        <v>0</v>
      </c>
      <c r="AZ33">
        <v>0</v>
      </c>
      <c r="BA33" t="s">
        <v>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1205.101443909663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1205.101443909663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CX33">
        <f>ROUND(Y33*Source!I35,7)</f>
        <v>8.3461000000000004E-3</v>
      </c>
      <c r="CY33">
        <f>AA33</f>
        <v>117000</v>
      </c>
      <c r="CZ33">
        <f>AE33</f>
        <v>117000</v>
      </c>
      <c r="DA33">
        <f>AI33</f>
        <v>1</v>
      </c>
      <c r="DB33">
        <f t="shared" si="14"/>
        <v>1205.0999999999999</v>
      </c>
      <c r="DC33">
        <f t="shared" si="15"/>
        <v>0</v>
      </c>
      <c r="DD33" t="s">
        <v>3</v>
      </c>
      <c r="DE33" t="s">
        <v>3</v>
      </c>
      <c r="DF33">
        <f>ROUND(ROUND(AE33,2)*CX33,2)</f>
        <v>976.49</v>
      </c>
      <c r="DG33">
        <f>ROUND(ROUND(AF33,2)*CX33,2)</f>
        <v>0</v>
      </c>
      <c r="DH33">
        <f t="shared" ref="DH33:DH64" si="16">ROUND(ROUND(AG33,2)*CX33,2)</f>
        <v>0</v>
      </c>
      <c r="DI33">
        <f t="shared" ref="DI33:DI64" si="17">ROUND(ROUND(AH33,2)*CX33,2)</f>
        <v>0</v>
      </c>
      <c r="DJ33">
        <f>DF33</f>
        <v>976.49</v>
      </c>
      <c r="DK33">
        <v>2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ROW(Source!A36)</f>
        <v>36</v>
      </c>
      <c r="B34">
        <v>59552816</v>
      </c>
      <c r="C34">
        <v>59553106</v>
      </c>
      <c r="D34">
        <v>57987297</v>
      </c>
      <c r="E34">
        <v>107</v>
      </c>
      <c r="F34">
        <v>1</v>
      </c>
      <c r="G34">
        <v>1</v>
      </c>
      <c r="H34">
        <v>1</v>
      </c>
      <c r="I34" t="s">
        <v>338</v>
      </c>
      <c r="J34" t="s">
        <v>3</v>
      </c>
      <c r="K34" t="s">
        <v>339</v>
      </c>
      <c r="L34">
        <v>1191</v>
      </c>
      <c r="N34">
        <v>1013</v>
      </c>
      <c r="O34" t="s">
        <v>278</v>
      </c>
      <c r="P34" t="s">
        <v>278</v>
      </c>
      <c r="Q34">
        <v>1</v>
      </c>
      <c r="W34">
        <v>0</v>
      </c>
      <c r="X34">
        <v>-112797078</v>
      </c>
      <c r="Y34">
        <f t="shared" si="13"/>
        <v>21.13</v>
      </c>
      <c r="AA34">
        <v>0</v>
      </c>
      <c r="AB34">
        <v>0</v>
      </c>
      <c r="AC34">
        <v>0</v>
      </c>
      <c r="AD34">
        <v>249.15</v>
      </c>
      <c r="AE34">
        <v>0</v>
      </c>
      <c r="AF34">
        <v>0</v>
      </c>
      <c r="AG34">
        <v>0</v>
      </c>
      <c r="AH34">
        <v>249.15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21.13</v>
      </c>
      <c r="AU34" t="s">
        <v>3</v>
      </c>
      <c r="AV34">
        <v>1</v>
      </c>
      <c r="AW34">
        <v>2</v>
      </c>
      <c r="AX34">
        <v>59553107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5264.5394999999999</v>
      </c>
      <c r="BN34">
        <v>21.13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5264.5394999999999</v>
      </c>
      <c r="BU34">
        <v>21.13</v>
      </c>
      <c r="BV34">
        <v>0</v>
      </c>
      <c r="BW34">
        <v>1</v>
      </c>
      <c r="CX34">
        <f>ROUND(Y34*Source!I36,7)</f>
        <v>0.84519999999999995</v>
      </c>
      <c r="CY34">
        <f>AD34</f>
        <v>249.15</v>
      </c>
      <c r="CZ34">
        <f>AH34</f>
        <v>249.15</v>
      </c>
      <c r="DA34">
        <f>AL34</f>
        <v>1</v>
      </c>
      <c r="DB34">
        <f t="shared" si="14"/>
        <v>5264.54</v>
      </c>
      <c r="DC34">
        <f t="shared" si="15"/>
        <v>0</v>
      </c>
      <c r="DD34" t="s">
        <v>3</v>
      </c>
      <c r="DE34" t="s">
        <v>3</v>
      </c>
      <c r="DF34">
        <f>ROUND(ROUND(AE34,2)*CX34,2)</f>
        <v>0</v>
      </c>
      <c r="DG34">
        <f>ROUND(ROUND(AF34,2)*CX34,2)</f>
        <v>0</v>
      </c>
      <c r="DH34">
        <f t="shared" si="16"/>
        <v>0</v>
      </c>
      <c r="DI34">
        <f t="shared" si="17"/>
        <v>210.58</v>
      </c>
      <c r="DJ34">
        <f>DI34</f>
        <v>210.58</v>
      </c>
      <c r="DK34">
        <v>1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ROW(Source!A36)</f>
        <v>36</v>
      </c>
      <c r="B35">
        <v>59552816</v>
      </c>
      <c r="C35">
        <v>59553106</v>
      </c>
      <c r="D35">
        <v>57987490</v>
      </c>
      <c r="E35">
        <v>107</v>
      </c>
      <c r="F35">
        <v>1</v>
      </c>
      <c r="G35">
        <v>1</v>
      </c>
      <c r="H35">
        <v>1</v>
      </c>
      <c r="I35" t="s">
        <v>284</v>
      </c>
      <c r="J35" t="s">
        <v>3</v>
      </c>
      <c r="K35" t="s">
        <v>285</v>
      </c>
      <c r="L35">
        <v>1191</v>
      </c>
      <c r="N35">
        <v>1013</v>
      </c>
      <c r="O35" t="s">
        <v>278</v>
      </c>
      <c r="P35" t="s">
        <v>278</v>
      </c>
      <c r="Q35">
        <v>1</v>
      </c>
      <c r="W35">
        <v>0</v>
      </c>
      <c r="X35">
        <v>-1417349443</v>
      </c>
      <c r="Y35">
        <f t="shared" si="13"/>
        <v>0.06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0.06</v>
      </c>
      <c r="AU35" t="s">
        <v>3</v>
      </c>
      <c r="AV35">
        <v>2</v>
      </c>
      <c r="AW35">
        <v>2</v>
      </c>
      <c r="AX35">
        <v>59553108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0.06</v>
      </c>
      <c r="BP35">
        <v>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0.06</v>
      </c>
      <c r="BW35">
        <v>1</v>
      </c>
      <c r="CX35">
        <f>ROUND(Y35*Source!I36,7)</f>
        <v>2.3999999999999998E-3</v>
      </c>
      <c r="CY35">
        <f>AD35</f>
        <v>0</v>
      </c>
      <c r="CZ35">
        <f>AH35</f>
        <v>0</v>
      </c>
      <c r="DA35">
        <f>AL35</f>
        <v>1</v>
      </c>
      <c r="DB35">
        <f t="shared" si="14"/>
        <v>0</v>
      </c>
      <c r="DC35">
        <f t="shared" si="15"/>
        <v>0</v>
      </c>
      <c r="DD35" t="s">
        <v>3</v>
      </c>
      <c r="DE35" t="s">
        <v>3</v>
      </c>
      <c r="DF35">
        <f>ROUND(ROUND(AE35,2)*CX35,2)</f>
        <v>0</v>
      </c>
      <c r="DG35">
        <f>ROUND(ROUND(AF35,2)*CX35,2)</f>
        <v>0</v>
      </c>
      <c r="DH35">
        <f t="shared" si="16"/>
        <v>0</v>
      </c>
      <c r="DI35">
        <f t="shared" si="17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ROW(Source!A36)</f>
        <v>36</v>
      </c>
      <c r="B36">
        <v>59552816</v>
      </c>
      <c r="C36">
        <v>59553106</v>
      </c>
      <c r="D36">
        <v>58107956</v>
      </c>
      <c r="E36">
        <v>1</v>
      </c>
      <c r="F36">
        <v>1</v>
      </c>
      <c r="G36">
        <v>1</v>
      </c>
      <c r="H36">
        <v>2</v>
      </c>
      <c r="I36" t="s">
        <v>291</v>
      </c>
      <c r="J36" t="s">
        <v>292</v>
      </c>
      <c r="K36" t="s">
        <v>293</v>
      </c>
      <c r="L36">
        <v>1368</v>
      </c>
      <c r="N36">
        <v>1011</v>
      </c>
      <c r="O36" t="s">
        <v>289</v>
      </c>
      <c r="P36" t="s">
        <v>289</v>
      </c>
      <c r="Q36">
        <v>1</v>
      </c>
      <c r="W36">
        <v>0</v>
      </c>
      <c r="X36">
        <v>-1755708642</v>
      </c>
      <c r="Y36">
        <f t="shared" si="13"/>
        <v>0.06</v>
      </c>
      <c r="AA36">
        <v>0</v>
      </c>
      <c r="AB36">
        <v>540.04999999999995</v>
      </c>
      <c r="AC36">
        <v>267.08999999999997</v>
      </c>
      <c r="AD36">
        <v>0</v>
      </c>
      <c r="AE36">
        <v>0</v>
      </c>
      <c r="AF36">
        <v>477.92</v>
      </c>
      <c r="AG36">
        <v>267.08999999999997</v>
      </c>
      <c r="AH36">
        <v>0</v>
      </c>
      <c r="AI36">
        <v>1</v>
      </c>
      <c r="AJ36">
        <v>1.1299999999999999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0.06</v>
      </c>
      <c r="AU36" t="s">
        <v>3</v>
      </c>
      <c r="AV36">
        <v>1</v>
      </c>
      <c r="AW36">
        <v>2</v>
      </c>
      <c r="AX36">
        <v>59553109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28.6752</v>
      </c>
      <c r="BL36">
        <v>16.025399999999998</v>
      </c>
      <c r="BM36">
        <v>0</v>
      </c>
      <c r="BN36">
        <v>0</v>
      </c>
      <c r="BO36">
        <v>0</v>
      </c>
      <c r="BP36">
        <v>1</v>
      </c>
      <c r="BQ36">
        <v>0</v>
      </c>
      <c r="BR36">
        <v>28.6752</v>
      </c>
      <c r="BS36">
        <v>16.025399999999998</v>
      </c>
      <c r="BT36">
        <v>0</v>
      </c>
      <c r="BU36">
        <v>0</v>
      </c>
      <c r="BV36">
        <v>0</v>
      </c>
      <c r="BW36">
        <v>1</v>
      </c>
      <c r="CX36">
        <f>ROUND(Y36*Source!I36,7)</f>
        <v>2.3999999999999998E-3</v>
      </c>
      <c r="CY36">
        <f>AB36</f>
        <v>540.04999999999995</v>
      </c>
      <c r="CZ36">
        <f>AF36</f>
        <v>477.92</v>
      </c>
      <c r="DA36">
        <f>AJ36</f>
        <v>1.1299999999999999</v>
      </c>
      <c r="DB36">
        <f t="shared" si="14"/>
        <v>28.68</v>
      </c>
      <c r="DC36">
        <f t="shared" si="15"/>
        <v>16.03</v>
      </c>
      <c r="DD36" t="s">
        <v>3</v>
      </c>
      <c r="DE36" t="s">
        <v>3</v>
      </c>
      <c r="DF36">
        <f>ROUND(ROUND(AE36,2)*CX36,2)</f>
        <v>0</v>
      </c>
      <c r="DG36">
        <f>ROUND(ROUND(AF36*AJ36,2)*CX36,2)</f>
        <v>1.3</v>
      </c>
      <c r="DH36">
        <f t="shared" si="16"/>
        <v>0.64</v>
      </c>
      <c r="DI36">
        <f t="shared" si="17"/>
        <v>0</v>
      </c>
      <c r="DJ36">
        <f>DG36+DH36</f>
        <v>1.94</v>
      </c>
      <c r="DK36">
        <v>1</v>
      </c>
      <c r="DL36" t="s">
        <v>294</v>
      </c>
      <c r="DM36">
        <v>4</v>
      </c>
      <c r="DN36" t="s">
        <v>278</v>
      </c>
      <c r="DO36">
        <v>1</v>
      </c>
    </row>
    <row r="37" spans="1:119" x14ac:dyDescent="0.2">
      <c r="A37">
        <f>ROW(Source!A36)</f>
        <v>36</v>
      </c>
      <c r="B37">
        <v>59552816</v>
      </c>
      <c r="C37">
        <v>59553106</v>
      </c>
      <c r="D37">
        <v>58078226</v>
      </c>
      <c r="E37">
        <v>1</v>
      </c>
      <c r="F37">
        <v>1</v>
      </c>
      <c r="G37">
        <v>1</v>
      </c>
      <c r="H37">
        <v>3</v>
      </c>
      <c r="I37" t="s">
        <v>340</v>
      </c>
      <c r="J37" t="s">
        <v>341</v>
      </c>
      <c r="K37" t="s">
        <v>342</v>
      </c>
      <c r="L37">
        <v>1346</v>
      </c>
      <c r="N37">
        <v>1009</v>
      </c>
      <c r="O37" t="s">
        <v>336</v>
      </c>
      <c r="P37" t="s">
        <v>336</v>
      </c>
      <c r="Q37">
        <v>1</v>
      </c>
      <c r="W37">
        <v>0</v>
      </c>
      <c r="X37">
        <v>193614647</v>
      </c>
      <c r="Y37">
        <f t="shared" si="13"/>
        <v>20.6</v>
      </c>
      <c r="AA37">
        <v>94.73</v>
      </c>
      <c r="AB37">
        <v>0</v>
      </c>
      <c r="AC37">
        <v>0</v>
      </c>
      <c r="AD37">
        <v>0</v>
      </c>
      <c r="AE37">
        <v>65.33</v>
      </c>
      <c r="AF37">
        <v>0</v>
      </c>
      <c r="AG37">
        <v>0</v>
      </c>
      <c r="AH37">
        <v>0</v>
      </c>
      <c r="AI37">
        <v>1.45</v>
      </c>
      <c r="AJ37">
        <v>1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3</v>
      </c>
      <c r="AT37">
        <v>20.6</v>
      </c>
      <c r="AU37" t="s">
        <v>3</v>
      </c>
      <c r="AV37">
        <v>0</v>
      </c>
      <c r="AW37">
        <v>2</v>
      </c>
      <c r="AX37">
        <v>59553111</v>
      </c>
      <c r="AY37">
        <v>1</v>
      </c>
      <c r="AZ37">
        <v>0</v>
      </c>
      <c r="BA37">
        <v>38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1345.798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1345.798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CX37">
        <f>ROUND(Y37*Source!I36,7)</f>
        <v>0.82399999999999995</v>
      </c>
      <c r="CY37">
        <f>AA37</f>
        <v>94.73</v>
      </c>
      <c r="CZ37">
        <f>AE37</f>
        <v>65.33</v>
      </c>
      <c r="DA37">
        <f>AI37</f>
        <v>1.45</v>
      </c>
      <c r="DB37">
        <f t="shared" si="14"/>
        <v>1345.8</v>
      </c>
      <c r="DC37">
        <f t="shared" si="15"/>
        <v>0</v>
      </c>
      <c r="DD37" t="s">
        <v>3</v>
      </c>
      <c r="DE37" t="s">
        <v>3</v>
      </c>
      <c r="DF37">
        <f>ROUND(ROUND(AE37*AI37,2)*CX37,2)</f>
        <v>78.06</v>
      </c>
      <c r="DG37">
        <f>ROUND(ROUND(AF37,2)*CX37,2)</f>
        <v>0</v>
      </c>
      <c r="DH37">
        <f t="shared" si="16"/>
        <v>0</v>
      </c>
      <c r="DI37">
        <f t="shared" si="17"/>
        <v>0</v>
      </c>
      <c r="DJ37">
        <f>DF37</f>
        <v>78.06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ROW(Source!A36)</f>
        <v>36</v>
      </c>
      <c r="B38">
        <v>59552816</v>
      </c>
      <c r="C38">
        <v>59553106</v>
      </c>
      <c r="D38">
        <v>58078527</v>
      </c>
      <c r="E38">
        <v>1</v>
      </c>
      <c r="F38">
        <v>1</v>
      </c>
      <c r="G38">
        <v>1</v>
      </c>
      <c r="H38">
        <v>3</v>
      </c>
      <c r="I38" t="s">
        <v>343</v>
      </c>
      <c r="J38" t="s">
        <v>344</v>
      </c>
      <c r="K38" t="s">
        <v>345</v>
      </c>
      <c r="L38">
        <v>1346</v>
      </c>
      <c r="N38">
        <v>1009</v>
      </c>
      <c r="O38" t="s">
        <v>336</v>
      </c>
      <c r="P38" t="s">
        <v>336</v>
      </c>
      <c r="Q38">
        <v>1</v>
      </c>
      <c r="W38">
        <v>0</v>
      </c>
      <c r="X38">
        <v>-2032332937</v>
      </c>
      <c r="Y38">
        <f t="shared" si="13"/>
        <v>10.3</v>
      </c>
      <c r="AA38">
        <v>155.65</v>
      </c>
      <c r="AB38">
        <v>0</v>
      </c>
      <c r="AC38">
        <v>0</v>
      </c>
      <c r="AD38">
        <v>0</v>
      </c>
      <c r="AE38">
        <v>144.12</v>
      </c>
      <c r="AF38">
        <v>0</v>
      </c>
      <c r="AG38">
        <v>0</v>
      </c>
      <c r="AH38">
        <v>0</v>
      </c>
      <c r="AI38">
        <v>1.08</v>
      </c>
      <c r="AJ38">
        <v>1</v>
      </c>
      <c r="AK38">
        <v>1</v>
      </c>
      <c r="AL38">
        <v>1</v>
      </c>
      <c r="AM38">
        <v>2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3</v>
      </c>
      <c r="AT38">
        <v>10.3</v>
      </c>
      <c r="AU38" t="s">
        <v>3</v>
      </c>
      <c r="AV38">
        <v>0</v>
      </c>
      <c r="AW38">
        <v>2</v>
      </c>
      <c r="AX38">
        <v>59553112</v>
      </c>
      <c r="AY38">
        <v>1</v>
      </c>
      <c r="AZ38">
        <v>0</v>
      </c>
      <c r="BA38">
        <v>39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1484.4360000000001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1484.4360000000001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CX38">
        <f>ROUND(Y38*Source!I36,7)</f>
        <v>0.41199999999999998</v>
      </c>
      <c r="CY38">
        <f>AA38</f>
        <v>155.65</v>
      </c>
      <c r="CZ38">
        <f>AE38</f>
        <v>144.12</v>
      </c>
      <c r="DA38">
        <f>AI38</f>
        <v>1.08</v>
      </c>
      <c r="DB38">
        <f t="shared" si="14"/>
        <v>1484.44</v>
      </c>
      <c r="DC38">
        <f t="shared" si="15"/>
        <v>0</v>
      </c>
      <c r="DD38" t="s">
        <v>3</v>
      </c>
      <c r="DE38" t="s">
        <v>3</v>
      </c>
      <c r="DF38">
        <f>ROUND(ROUND(AE38*AI38,2)*CX38,2)</f>
        <v>64.13</v>
      </c>
      <c r="DG38">
        <f>ROUND(ROUND(AF38,2)*CX38,2)</f>
        <v>0</v>
      </c>
      <c r="DH38">
        <f t="shared" si="16"/>
        <v>0</v>
      </c>
      <c r="DI38">
        <f t="shared" si="17"/>
        <v>0</v>
      </c>
      <c r="DJ38">
        <f>DF38</f>
        <v>64.13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ROW(Source!A36)</f>
        <v>36</v>
      </c>
      <c r="B39">
        <v>59552816</v>
      </c>
      <c r="C39">
        <v>59553106</v>
      </c>
      <c r="D39">
        <v>0</v>
      </c>
      <c r="E39">
        <v>0</v>
      </c>
      <c r="F39">
        <v>1</v>
      </c>
      <c r="G39">
        <v>1</v>
      </c>
      <c r="H39">
        <v>3</v>
      </c>
      <c r="I39" t="s">
        <v>326</v>
      </c>
      <c r="J39" t="s">
        <v>3</v>
      </c>
      <c r="K39" t="s">
        <v>346</v>
      </c>
      <c r="L39">
        <v>1327</v>
      </c>
      <c r="N39">
        <v>1005</v>
      </c>
      <c r="O39" t="s">
        <v>49</v>
      </c>
      <c r="P39" t="s">
        <v>49</v>
      </c>
      <c r="Q39">
        <v>1</v>
      </c>
      <c r="W39">
        <v>0</v>
      </c>
      <c r="X39">
        <v>2003914395</v>
      </c>
      <c r="Y39">
        <f t="shared" si="13"/>
        <v>111.1</v>
      </c>
      <c r="AA39">
        <v>11.35</v>
      </c>
      <c r="AB39">
        <v>0</v>
      </c>
      <c r="AC39">
        <v>0</v>
      </c>
      <c r="AD39">
        <v>0</v>
      </c>
      <c r="AE39">
        <v>11.35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2</v>
      </c>
      <c r="AQ39">
        <v>1</v>
      </c>
      <c r="AR39">
        <v>0</v>
      </c>
      <c r="AS39" t="s">
        <v>3</v>
      </c>
      <c r="AT39">
        <v>111.1</v>
      </c>
      <c r="AU39" t="s">
        <v>3</v>
      </c>
      <c r="AV39">
        <v>0</v>
      </c>
      <c r="AW39">
        <v>1</v>
      </c>
      <c r="AX39">
        <v>-1</v>
      </c>
      <c r="AY39">
        <v>0</v>
      </c>
      <c r="AZ39">
        <v>0</v>
      </c>
      <c r="BA39" t="s">
        <v>3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1260.9849999999999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1260.9849999999999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CX39">
        <f>ROUND(Y39*Source!I36,7)</f>
        <v>4.444</v>
      </c>
      <c r="CY39">
        <f>AA39</f>
        <v>11.35</v>
      </c>
      <c r="CZ39">
        <f>AE39</f>
        <v>11.35</v>
      </c>
      <c r="DA39">
        <f>AI39</f>
        <v>1</v>
      </c>
      <c r="DB39">
        <f t="shared" si="14"/>
        <v>1260.99</v>
      </c>
      <c r="DC39">
        <f t="shared" si="15"/>
        <v>0</v>
      </c>
      <c r="DD39" t="s">
        <v>3</v>
      </c>
      <c r="DE39" t="s">
        <v>3</v>
      </c>
      <c r="DF39">
        <f>ROUND(ROUND(AE39,2)*CX39,2)</f>
        <v>50.44</v>
      </c>
      <c r="DG39">
        <f>ROUND(ROUND(AF39,2)*CX39,2)</f>
        <v>0</v>
      </c>
      <c r="DH39">
        <f t="shared" si="16"/>
        <v>0</v>
      </c>
      <c r="DI39">
        <f t="shared" si="17"/>
        <v>0</v>
      </c>
      <c r="DJ39">
        <f>DF39</f>
        <v>50.44</v>
      </c>
      <c r="DK39">
        <v>2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ROW(Source!A37)</f>
        <v>37</v>
      </c>
      <c r="B40">
        <v>59552816</v>
      </c>
      <c r="C40">
        <v>59553244</v>
      </c>
      <c r="D40">
        <v>57987293</v>
      </c>
      <c r="E40">
        <v>107</v>
      </c>
      <c r="F40">
        <v>1</v>
      </c>
      <c r="G40">
        <v>1</v>
      </c>
      <c r="H40">
        <v>1</v>
      </c>
      <c r="I40" t="s">
        <v>347</v>
      </c>
      <c r="J40" t="s">
        <v>3</v>
      </c>
      <c r="K40" t="s">
        <v>348</v>
      </c>
      <c r="L40">
        <v>1191</v>
      </c>
      <c r="N40">
        <v>1013</v>
      </c>
      <c r="O40" t="s">
        <v>278</v>
      </c>
      <c r="P40" t="s">
        <v>278</v>
      </c>
      <c r="Q40">
        <v>1</v>
      </c>
      <c r="W40">
        <v>0</v>
      </c>
      <c r="X40">
        <v>784619160</v>
      </c>
      <c r="Y40">
        <f>(AT40*ROUND(1.15,7))</f>
        <v>72.472999999999999</v>
      </c>
      <c r="AA40">
        <v>0</v>
      </c>
      <c r="AB40">
        <v>0</v>
      </c>
      <c r="AC40">
        <v>0</v>
      </c>
      <c r="AD40">
        <v>243.17</v>
      </c>
      <c r="AE40">
        <v>0</v>
      </c>
      <c r="AF40">
        <v>0</v>
      </c>
      <c r="AG40">
        <v>0</v>
      </c>
      <c r="AH40">
        <v>243.17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63.02</v>
      </c>
      <c r="AU40" t="s">
        <v>29</v>
      </c>
      <c r="AV40">
        <v>1</v>
      </c>
      <c r="AW40">
        <v>2</v>
      </c>
      <c r="AX40">
        <v>59553443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15324.573399999999</v>
      </c>
      <c r="BN40">
        <v>63.02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17623.259409999999</v>
      </c>
      <c r="BU40">
        <v>72.472999999999999</v>
      </c>
      <c r="BV40">
        <v>0</v>
      </c>
      <c r="BW40">
        <v>1</v>
      </c>
      <c r="CX40">
        <f>ROUND(Y40*Source!I37,7)</f>
        <v>2.8989199999999999</v>
      </c>
      <c r="CY40">
        <f>AD40</f>
        <v>243.17</v>
      </c>
      <c r="CZ40">
        <f>AH40</f>
        <v>243.17</v>
      </c>
      <c r="DA40">
        <f>AL40</f>
        <v>1</v>
      </c>
      <c r="DB40">
        <f>ROUND((ROUND(AT40*CZ40,2)*ROUND(1.15,7)),2)</f>
        <v>17623.259999999998</v>
      </c>
      <c r="DC40">
        <f>ROUND((ROUND(AT40*AG40,2)*ROUND(1.15,7)),2)</f>
        <v>0</v>
      </c>
      <c r="DD40" t="s">
        <v>3</v>
      </c>
      <c r="DE40" t="s">
        <v>3</v>
      </c>
      <c r="DF40">
        <f>ROUND(ROUND(AE40,2)*CX40,2)</f>
        <v>0</v>
      </c>
      <c r="DG40">
        <f>ROUND(ROUND(AF40,2)*CX40,2)</f>
        <v>0</v>
      </c>
      <c r="DH40">
        <f t="shared" si="16"/>
        <v>0</v>
      </c>
      <c r="DI40">
        <f t="shared" si="17"/>
        <v>704.93</v>
      </c>
      <c r="DJ40">
        <f>DI40</f>
        <v>704.93</v>
      </c>
      <c r="DK40">
        <v>1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ROW(Source!A37)</f>
        <v>37</v>
      </c>
      <c r="B41">
        <v>59552816</v>
      </c>
      <c r="C41">
        <v>59553244</v>
      </c>
      <c r="D41">
        <v>57987490</v>
      </c>
      <c r="E41">
        <v>107</v>
      </c>
      <c r="F41">
        <v>1</v>
      </c>
      <c r="G41">
        <v>1</v>
      </c>
      <c r="H41">
        <v>1</v>
      </c>
      <c r="I41" t="s">
        <v>284</v>
      </c>
      <c r="J41" t="s">
        <v>3</v>
      </c>
      <c r="K41" t="s">
        <v>285</v>
      </c>
      <c r="L41">
        <v>1191</v>
      </c>
      <c r="N41">
        <v>1013</v>
      </c>
      <c r="O41" t="s">
        <v>278</v>
      </c>
      <c r="P41" t="s">
        <v>278</v>
      </c>
      <c r="Q41">
        <v>1</v>
      </c>
      <c r="W41">
        <v>0</v>
      </c>
      <c r="X41">
        <v>-1417349443</v>
      </c>
      <c r="Y41">
        <f>(AT41*ROUND(1.25,7))</f>
        <v>0.3125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0.25</v>
      </c>
      <c r="AU41" t="s">
        <v>28</v>
      </c>
      <c r="AV41">
        <v>2</v>
      </c>
      <c r="AW41">
        <v>2</v>
      </c>
      <c r="AX41">
        <v>59553444</v>
      </c>
      <c r="AY41">
        <v>1</v>
      </c>
      <c r="AZ41">
        <v>0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0.25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0.3125</v>
      </c>
      <c r="BW41">
        <v>1</v>
      </c>
      <c r="CX41">
        <f>ROUND(Y41*Source!I37,7)</f>
        <v>1.2500000000000001E-2</v>
      </c>
      <c r="CY41">
        <f>AD41</f>
        <v>0</v>
      </c>
      <c r="CZ41">
        <f>AH41</f>
        <v>0</v>
      </c>
      <c r="DA41">
        <f>AL41</f>
        <v>1</v>
      </c>
      <c r="DB41">
        <f>ROUND((ROUND(AT41*CZ41,2)*ROUND(1.25,7)),2)</f>
        <v>0</v>
      </c>
      <c r="DC41">
        <f>ROUND((ROUND(AT41*AG41,2)*ROUND(1.25,7)),2)</f>
        <v>0</v>
      </c>
      <c r="DD41" t="s">
        <v>3</v>
      </c>
      <c r="DE41" t="s">
        <v>3</v>
      </c>
      <c r="DF41">
        <f>ROUND(ROUND(AE41,2)*CX41,2)</f>
        <v>0</v>
      </c>
      <c r="DG41">
        <f>ROUND(ROUND(AF41,2)*CX41,2)</f>
        <v>0</v>
      </c>
      <c r="DH41">
        <f t="shared" si="16"/>
        <v>0</v>
      </c>
      <c r="DI41">
        <f t="shared" si="17"/>
        <v>0</v>
      </c>
      <c r="DJ41">
        <f>DI41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ROW(Source!A37)</f>
        <v>37</v>
      </c>
      <c r="B42">
        <v>59552816</v>
      </c>
      <c r="C42">
        <v>59553244</v>
      </c>
      <c r="D42">
        <v>58107258</v>
      </c>
      <c r="E42">
        <v>1</v>
      </c>
      <c r="F42">
        <v>1</v>
      </c>
      <c r="G42">
        <v>1</v>
      </c>
      <c r="H42">
        <v>2</v>
      </c>
      <c r="I42" t="s">
        <v>349</v>
      </c>
      <c r="J42" t="s">
        <v>350</v>
      </c>
      <c r="K42" t="s">
        <v>351</v>
      </c>
      <c r="L42">
        <v>1368</v>
      </c>
      <c r="N42">
        <v>1011</v>
      </c>
      <c r="O42" t="s">
        <v>289</v>
      </c>
      <c r="P42" t="s">
        <v>289</v>
      </c>
      <c r="Q42">
        <v>1</v>
      </c>
      <c r="W42">
        <v>0</v>
      </c>
      <c r="X42">
        <v>-2074700680</v>
      </c>
      <c r="Y42">
        <f>(AT42*ROUND(1.25,7))</f>
        <v>3.7499999999999999E-2</v>
      </c>
      <c r="AA42">
        <v>0</v>
      </c>
      <c r="AB42">
        <v>40.1</v>
      </c>
      <c r="AC42">
        <v>237.19</v>
      </c>
      <c r="AD42">
        <v>0</v>
      </c>
      <c r="AE42">
        <v>0</v>
      </c>
      <c r="AF42">
        <v>30.61</v>
      </c>
      <c r="AG42">
        <v>237.19</v>
      </c>
      <c r="AH42">
        <v>0</v>
      </c>
      <c r="AI42">
        <v>1</v>
      </c>
      <c r="AJ42">
        <v>1.31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0.03</v>
      </c>
      <c r="AU42" t="s">
        <v>28</v>
      </c>
      <c r="AV42">
        <v>1</v>
      </c>
      <c r="AW42">
        <v>2</v>
      </c>
      <c r="AX42">
        <v>59553445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0.91829999999999989</v>
      </c>
      <c r="BL42">
        <v>7.1156999999999995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1.147875</v>
      </c>
      <c r="BS42">
        <v>8.8946249999999996</v>
      </c>
      <c r="BT42">
        <v>0</v>
      </c>
      <c r="BU42">
        <v>0</v>
      </c>
      <c r="BV42">
        <v>0</v>
      </c>
      <c r="BW42">
        <v>1</v>
      </c>
      <c r="CX42">
        <f>ROUND(Y42*Source!I37,7)</f>
        <v>1.5E-3</v>
      </c>
      <c r="CY42">
        <f>AB42</f>
        <v>40.1</v>
      </c>
      <c r="CZ42">
        <f>AF42</f>
        <v>30.61</v>
      </c>
      <c r="DA42">
        <f>AJ42</f>
        <v>1.31</v>
      </c>
      <c r="DB42">
        <f>ROUND((ROUND(AT42*CZ42,2)*ROUND(1.25,7)),2)</f>
        <v>1.1499999999999999</v>
      </c>
      <c r="DC42">
        <f>ROUND((ROUND(AT42*AG42,2)*ROUND(1.25,7)),2)</f>
        <v>8.9</v>
      </c>
      <c r="DD42" t="s">
        <v>3</v>
      </c>
      <c r="DE42" t="s">
        <v>3</v>
      </c>
      <c r="DF42">
        <f>ROUND(ROUND(AE42,2)*CX42,2)</f>
        <v>0</v>
      </c>
      <c r="DG42">
        <f>ROUND(ROUND(AF42*AJ42,2)*CX42,2)</f>
        <v>0.06</v>
      </c>
      <c r="DH42">
        <f t="shared" si="16"/>
        <v>0.36</v>
      </c>
      <c r="DI42">
        <f t="shared" si="17"/>
        <v>0</v>
      </c>
      <c r="DJ42">
        <f>DG42+DH42</f>
        <v>0.42</v>
      </c>
      <c r="DK42">
        <v>1</v>
      </c>
      <c r="DL42" t="s">
        <v>290</v>
      </c>
      <c r="DM42">
        <v>3</v>
      </c>
      <c r="DN42" t="s">
        <v>278</v>
      </c>
      <c r="DO42">
        <v>1</v>
      </c>
    </row>
    <row r="43" spans="1:119" x14ac:dyDescent="0.2">
      <c r="A43">
        <f>ROW(Source!A37)</f>
        <v>37</v>
      </c>
      <c r="B43">
        <v>59552816</v>
      </c>
      <c r="C43">
        <v>59553244</v>
      </c>
      <c r="D43">
        <v>58107956</v>
      </c>
      <c r="E43">
        <v>1</v>
      </c>
      <c r="F43">
        <v>1</v>
      </c>
      <c r="G43">
        <v>1</v>
      </c>
      <c r="H43">
        <v>2</v>
      </c>
      <c r="I43" t="s">
        <v>291</v>
      </c>
      <c r="J43" t="s">
        <v>292</v>
      </c>
      <c r="K43" t="s">
        <v>293</v>
      </c>
      <c r="L43">
        <v>1368</v>
      </c>
      <c r="N43">
        <v>1011</v>
      </c>
      <c r="O43" t="s">
        <v>289</v>
      </c>
      <c r="P43" t="s">
        <v>289</v>
      </c>
      <c r="Q43">
        <v>1</v>
      </c>
      <c r="W43">
        <v>0</v>
      </c>
      <c r="X43">
        <v>-1755708642</v>
      </c>
      <c r="Y43">
        <f>(AT43*ROUND(1.25,7))</f>
        <v>0.27500000000000002</v>
      </c>
      <c r="AA43">
        <v>0</v>
      </c>
      <c r="AB43">
        <v>540.04999999999995</v>
      </c>
      <c r="AC43">
        <v>267.08999999999997</v>
      </c>
      <c r="AD43">
        <v>0</v>
      </c>
      <c r="AE43">
        <v>0</v>
      </c>
      <c r="AF43">
        <v>477.92</v>
      </c>
      <c r="AG43">
        <v>267.08999999999997</v>
      </c>
      <c r="AH43">
        <v>0</v>
      </c>
      <c r="AI43">
        <v>1</v>
      </c>
      <c r="AJ43">
        <v>1.1299999999999999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0.22</v>
      </c>
      <c r="AU43" t="s">
        <v>28</v>
      </c>
      <c r="AV43">
        <v>1</v>
      </c>
      <c r="AW43">
        <v>2</v>
      </c>
      <c r="AX43">
        <v>59553446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105.14240000000001</v>
      </c>
      <c r="BL43">
        <v>58.759799999999991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131.42800000000003</v>
      </c>
      <c r="BS43">
        <v>73.449749999999995</v>
      </c>
      <c r="BT43">
        <v>0</v>
      </c>
      <c r="BU43">
        <v>0</v>
      </c>
      <c r="BV43">
        <v>0</v>
      </c>
      <c r="BW43">
        <v>1</v>
      </c>
      <c r="CX43">
        <f>ROUND(Y43*Source!I37,7)</f>
        <v>1.0999999999999999E-2</v>
      </c>
      <c r="CY43">
        <f>AB43</f>
        <v>540.04999999999995</v>
      </c>
      <c r="CZ43">
        <f>AF43</f>
        <v>477.92</v>
      </c>
      <c r="DA43">
        <f>AJ43</f>
        <v>1.1299999999999999</v>
      </c>
      <c r="DB43">
        <f>ROUND((ROUND(AT43*CZ43,2)*ROUND(1.25,7)),2)</f>
        <v>131.43</v>
      </c>
      <c r="DC43">
        <f>ROUND((ROUND(AT43*AG43,2)*ROUND(1.25,7)),2)</f>
        <v>73.45</v>
      </c>
      <c r="DD43" t="s">
        <v>3</v>
      </c>
      <c r="DE43" t="s">
        <v>3</v>
      </c>
      <c r="DF43">
        <f>ROUND(ROUND(AE43,2)*CX43,2)</f>
        <v>0</v>
      </c>
      <c r="DG43">
        <f>ROUND(ROUND(AF43*AJ43,2)*CX43,2)</f>
        <v>5.94</v>
      </c>
      <c r="DH43">
        <f t="shared" si="16"/>
        <v>2.94</v>
      </c>
      <c r="DI43">
        <f t="shared" si="17"/>
        <v>0</v>
      </c>
      <c r="DJ43">
        <f>DG43+DH43</f>
        <v>8.8800000000000008</v>
      </c>
      <c r="DK43">
        <v>1</v>
      </c>
      <c r="DL43" t="s">
        <v>294</v>
      </c>
      <c r="DM43">
        <v>4</v>
      </c>
      <c r="DN43" t="s">
        <v>278</v>
      </c>
      <c r="DO43">
        <v>1</v>
      </c>
    </row>
    <row r="44" spans="1:119" x14ac:dyDescent="0.2">
      <c r="A44">
        <f>ROW(Source!A37)</f>
        <v>37</v>
      </c>
      <c r="B44">
        <v>59552816</v>
      </c>
      <c r="C44">
        <v>59553244</v>
      </c>
      <c r="D44">
        <v>58063386</v>
      </c>
      <c r="E44">
        <v>1</v>
      </c>
      <c r="F44">
        <v>1</v>
      </c>
      <c r="G44">
        <v>1</v>
      </c>
      <c r="H44">
        <v>3</v>
      </c>
      <c r="I44" t="s">
        <v>352</v>
      </c>
      <c r="J44" t="s">
        <v>353</v>
      </c>
      <c r="K44" t="s">
        <v>354</v>
      </c>
      <c r="L44">
        <v>1327</v>
      </c>
      <c r="N44">
        <v>1005</v>
      </c>
      <c r="O44" t="s">
        <v>49</v>
      </c>
      <c r="P44" t="s">
        <v>49</v>
      </c>
      <c r="Q44">
        <v>1</v>
      </c>
      <c r="W44">
        <v>0</v>
      </c>
      <c r="X44">
        <v>-56027178</v>
      </c>
      <c r="Y44">
        <f>AT44</f>
        <v>0.88</v>
      </c>
      <c r="AA44">
        <v>542.07000000000005</v>
      </c>
      <c r="AB44">
        <v>0</v>
      </c>
      <c r="AC44">
        <v>0</v>
      </c>
      <c r="AD44">
        <v>0</v>
      </c>
      <c r="AE44">
        <v>531.44000000000005</v>
      </c>
      <c r="AF44">
        <v>0</v>
      </c>
      <c r="AG44">
        <v>0</v>
      </c>
      <c r="AH44">
        <v>0</v>
      </c>
      <c r="AI44">
        <v>1.02</v>
      </c>
      <c r="AJ44">
        <v>1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0.88</v>
      </c>
      <c r="AU44" t="s">
        <v>3</v>
      </c>
      <c r="AV44">
        <v>0</v>
      </c>
      <c r="AW44">
        <v>2</v>
      </c>
      <c r="AX44">
        <v>59553447</v>
      </c>
      <c r="AY44">
        <v>1</v>
      </c>
      <c r="AZ44">
        <v>0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467.66720000000004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467.66720000000004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CX44">
        <f>ROUND(Y44*Source!I37,7)</f>
        <v>3.5200000000000002E-2</v>
      </c>
      <c r="CY44">
        <f>AA44</f>
        <v>542.07000000000005</v>
      </c>
      <c r="CZ44">
        <f>AE44</f>
        <v>531.44000000000005</v>
      </c>
      <c r="DA44">
        <f>AI44</f>
        <v>1.02</v>
      </c>
      <c r="DB44">
        <f>ROUND(ROUND(AT44*CZ44,2),2)</f>
        <v>467.67</v>
      </c>
      <c r="DC44">
        <f>ROUND(ROUND(AT44*AG44,2),2)</f>
        <v>0</v>
      </c>
      <c r="DD44" t="s">
        <v>3</v>
      </c>
      <c r="DE44" t="s">
        <v>3</v>
      </c>
      <c r="DF44">
        <f>ROUND(ROUND(AE44*AI44,2)*CX44,2)</f>
        <v>19.079999999999998</v>
      </c>
      <c r="DG44">
        <f t="shared" ref="DG44:DG50" si="18">ROUND(ROUND(AF44,2)*CX44,2)</f>
        <v>0</v>
      </c>
      <c r="DH44">
        <f t="shared" si="16"/>
        <v>0</v>
      </c>
      <c r="DI44">
        <f t="shared" si="17"/>
        <v>0</v>
      </c>
      <c r="DJ44">
        <f>DF44</f>
        <v>19.079999999999998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ROW(Source!A37)</f>
        <v>37</v>
      </c>
      <c r="B45">
        <v>59552816</v>
      </c>
      <c r="C45">
        <v>59553244</v>
      </c>
      <c r="D45">
        <v>58063712</v>
      </c>
      <c r="E45">
        <v>1</v>
      </c>
      <c r="F45">
        <v>1</v>
      </c>
      <c r="G45">
        <v>1</v>
      </c>
      <c r="H45">
        <v>3</v>
      </c>
      <c r="I45" t="s">
        <v>333</v>
      </c>
      <c r="J45" t="s">
        <v>334</v>
      </c>
      <c r="K45" t="s">
        <v>335</v>
      </c>
      <c r="L45">
        <v>1346</v>
      </c>
      <c r="N45">
        <v>1009</v>
      </c>
      <c r="O45" t="s">
        <v>336</v>
      </c>
      <c r="P45" t="s">
        <v>336</v>
      </c>
      <c r="Q45">
        <v>1</v>
      </c>
      <c r="W45">
        <v>0</v>
      </c>
      <c r="X45">
        <v>-132351515</v>
      </c>
      <c r="Y45">
        <f>AT45</f>
        <v>0.36</v>
      </c>
      <c r="AA45">
        <v>106.23</v>
      </c>
      <c r="AB45">
        <v>0</v>
      </c>
      <c r="AC45">
        <v>0</v>
      </c>
      <c r="AD45">
        <v>0</v>
      </c>
      <c r="AE45">
        <v>56.81</v>
      </c>
      <c r="AF45">
        <v>0</v>
      </c>
      <c r="AG45">
        <v>0</v>
      </c>
      <c r="AH45">
        <v>0</v>
      </c>
      <c r="AI45">
        <v>1.87</v>
      </c>
      <c r="AJ45">
        <v>1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0.36</v>
      </c>
      <c r="AU45" t="s">
        <v>3</v>
      </c>
      <c r="AV45">
        <v>0</v>
      </c>
      <c r="AW45">
        <v>2</v>
      </c>
      <c r="AX45">
        <v>59553448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20.451599999999999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20.451599999999999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CX45">
        <f>ROUND(Y45*Source!I37,7)</f>
        <v>1.44E-2</v>
      </c>
      <c r="CY45">
        <f>AA45</f>
        <v>106.23</v>
      </c>
      <c r="CZ45">
        <f>AE45</f>
        <v>56.81</v>
      </c>
      <c r="DA45">
        <f>AI45</f>
        <v>1.87</v>
      </c>
      <c r="DB45">
        <f>ROUND(ROUND(AT45*CZ45,2),2)</f>
        <v>20.45</v>
      </c>
      <c r="DC45">
        <f>ROUND(ROUND(AT45*AG45,2),2)</f>
        <v>0</v>
      </c>
      <c r="DD45" t="s">
        <v>3</v>
      </c>
      <c r="DE45" t="s">
        <v>3</v>
      </c>
      <c r="DF45">
        <f>ROUND(ROUND(AE45*AI45,2)*CX45,2)</f>
        <v>1.53</v>
      </c>
      <c r="DG45">
        <f t="shared" si="18"/>
        <v>0</v>
      </c>
      <c r="DH45">
        <f t="shared" si="16"/>
        <v>0</v>
      </c>
      <c r="DI45">
        <f t="shared" si="17"/>
        <v>0</v>
      </c>
      <c r="DJ45">
        <f>DF45</f>
        <v>1.53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ROW(Source!A37)</f>
        <v>37</v>
      </c>
      <c r="B46">
        <v>59552816</v>
      </c>
      <c r="C46">
        <v>59553244</v>
      </c>
      <c r="D46">
        <v>0</v>
      </c>
      <c r="E46">
        <v>0</v>
      </c>
      <c r="F46">
        <v>1</v>
      </c>
      <c r="G46">
        <v>1</v>
      </c>
      <c r="H46">
        <v>3</v>
      </c>
      <c r="I46" t="s">
        <v>326</v>
      </c>
      <c r="J46" t="s">
        <v>3</v>
      </c>
      <c r="K46" t="s">
        <v>355</v>
      </c>
      <c r="L46">
        <v>1348</v>
      </c>
      <c r="N46">
        <v>1009</v>
      </c>
      <c r="O46" t="s">
        <v>281</v>
      </c>
      <c r="P46" t="s">
        <v>281</v>
      </c>
      <c r="Q46">
        <v>1000</v>
      </c>
      <c r="W46">
        <v>0</v>
      </c>
      <c r="X46">
        <v>-927504812</v>
      </c>
      <c r="Y46">
        <f>AT46</f>
        <v>3.3000000000000002E-2</v>
      </c>
      <c r="AA46">
        <v>306015</v>
      </c>
      <c r="AB46">
        <v>0</v>
      </c>
      <c r="AC46">
        <v>0</v>
      </c>
      <c r="AD46">
        <v>0</v>
      </c>
      <c r="AE46">
        <v>306015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2</v>
      </c>
      <c r="AQ46">
        <v>1</v>
      </c>
      <c r="AR46">
        <v>0</v>
      </c>
      <c r="AS46" t="s">
        <v>3</v>
      </c>
      <c r="AT46">
        <v>3.3000000000000002E-2</v>
      </c>
      <c r="AU46" t="s">
        <v>3</v>
      </c>
      <c r="AV46">
        <v>0</v>
      </c>
      <c r="AW46">
        <v>1</v>
      </c>
      <c r="AX46">
        <v>-1</v>
      </c>
      <c r="AY46">
        <v>0</v>
      </c>
      <c r="AZ46">
        <v>0</v>
      </c>
      <c r="BA46" t="s">
        <v>3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10098.495000000001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10098.495000000001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CX46">
        <f>ROUND(Y46*Source!I37,7)</f>
        <v>1.32E-3</v>
      </c>
      <c r="CY46">
        <f>AA46</f>
        <v>306015</v>
      </c>
      <c r="CZ46">
        <f>AE46</f>
        <v>306015</v>
      </c>
      <c r="DA46">
        <f>AI46</f>
        <v>1</v>
      </c>
      <c r="DB46">
        <f>ROUND(ROUND(AT46*CZ46,2),2)</f>
        <v>10098.5</v>
      </c>
      <c r="DC46">
        <f>ROUND(ROUND(AT46*AG46,2),2)</f>
        <v>0</v>
      </c>
      <c r="DD46" t="s">
        <v>3</v>
      </c>
      <c r="DE46" t="s">
        <v>3</v>
      </c>
      <c r="DF46">
        <f t="shared" ref="DF46:DF52" si="19">ROUND(ROUND(AE46,2)*CX46,2)</f>
        <v>403.94</v>
      </c>
      <c r="DG46">
        <f t="shared" si="18"/>
        <v>0</v>
      </c>
      <c r="DH46">
        <f t="shared" si="16"/>
        <v>0</v>
      </c>
      <c r="DI46">
        <f t="shared" si="17"/>
        <v>0</v>
      </c>
      <c r="DJ46">
        <f>DF46</f>
        <v>403.94</v>
      </c>
      <c r="DK46">
        <v>2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ROW(Source!A37)</f>
        <v>37</v>
      </c>
      <c r="B47">
        <v>59552816</v>
      </c>
      <c r="C47">
        <v>59553244</v>
      </c>
      <c r="D47">
        <v>0</v>
      </c>
      <c r="E47">
        <v>0</v>
      </c>
      <c r="F47">
        <v>1</v>
      </c>
      <c r="G47">
        <v>1</v>
      </c>
      <c r="H47">
        <v>3</v>
      </c>
      <c r="I47" t="s">
        <v>326</v>
      </c>
      <c r="J47" t="s">
        <v>3</v>
      </c>
      <c r="K47" t="s">
        <v>337</v>
      </c>
      <c r="L47">
        <v>1348</v>
      </c>
      <c r="N47">
        <v>1009</v>
      </c>
      <c r="O47" t="s">
        <v>281</v>
      </c>
      <c r="P47" t="s">
        <v>281</v>
      </c>
      <c r="Q47">
        <v>1000</v>
      </c>
      <c r="W47">
        <v>0</v>
      </c>
      <c r="X47">
        <v>-1722100437</v>
      </c>
      <c r="Y47">
        <f>AT47</f>
        <v>2.1999999999999999E-2</v>
      </c>
      <c r="AA47">
        <v>117000</v>
      </c>
      <c r="AB47">
        <v>0</v>
      </c>
      <c r="AC47">
        <v>0</v>
      </c>
      <c r="AD47">
        <v>0</v>
      </c>
      <c r="AE47">
        <v>117000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2</v>
      </c>
      <c r="AQ47">
        <v>1</v>
      </c>
      <c r="AR47">
        <v>0</v>
      </c>
      <c r="AS47" t="s">
        <v>3</v>
      </c>
      <c r="AT47">
        <v>2.1999999999999999E-2</v>
      </c>
      <c r="AU47" t="s">
        <v>3</v>
      </c>
      <c r="AV47">
        <v>0</v>
      </c>
      <c r="AW47">
        <v>1</v>
      </c>
      <c r="AX47">
        <v>-1</v>
      </c>
      <c r="AY47">
        <v>0</v>
      </c>
      <c r="AZ47">
        <v>0</v>
      </c>
      <c r="BA47" t="s">
        <v>3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2574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2574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X47">
        <f>ROUND(Y47*Source!I37,7)</f>
        <v>8.8000000000000003E-4</v>
      </c>
      <c r="CY47">
        <f>AA47</f>
        <v>117000</v>
      </c>
      <c r="CZ47">
        <f>AE47</f>
        <v>117000</v>
      </c>
      <c r="DA47">
        <f>AI47</f>
        <v>1</v>
      </c>
      <c r="DB47">
        <f>ROUND(ROUND(AT47*CZ47,2),2)</f>
        <v>2574</v>
      </c>
      <c r="DC47">
        <f>ROUND(ROUND(AT47*AG47,2),2)</f>
        <v>0</v>
      </c>
      <c r="DD47" t="s">
        <v>3</v>
      </c>
      <c r="DE47" t="s">
        <v>3</v>
      </c>
      <c r="DF47">
        <f t="shared" si="19"/>
        <v>102.96</v>
      </c>
      <c r="DG47">
        <f t="shared" si="18"/>
        <v>0</v>
      </c>
      <c r="DH47">
        <f t="shared" si="16"/>
        <v>0</v>
      </c>
      <c r="DI47">
        <f t="shared" si="17"/>
        <v>0</v>
      </c>
      <c r="DJ47">
        <f>DF47</f>
        <v>102.96</v>
      </c>
      <c r="DK47">
        <v>2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ROW(Source!A37)</f>
        <v>37</v>
      </c>
      <c r="B48">
        <v>59552816</v>
      </c>
      <c r="C48">
        <v>59553244</v>
      </c>
      <c r="D48">
        <v>0</v>
      </c>
      <c r="E48">
        <v>0</v>
      </c>
      <c r="F48">
        <v>1</v>
      </c>
      <c r="G48">
        <v>1</v>
      </c>
      <c r="H48">
        <v>3</v>
      </c>
      <c r="I48" t="s">
        <v>326</v>
      </c>
      <c r="J48" t="s">
        <v>3</v>
      </c>
      <c r="K48" t="s">
        <v>356</v>
      </c>
      <c r="L48">
        <v>1348</v>
      </c>
      <c r="N48">
        <v>1009</v>
      </c>
      <c r="O48" t="s">
        <v>281</v>
      </c>
      <c r="P48" t="s">
        <v>281</v>
      </c>
      <c r="Q48">
        <v>1000</v>
      </c>
      <c r="W48">
        <v>0</v>
      </c>
      <c r="X48">
        <v>741145995</v>
      </c>
      <c r="Y48">
        <f>AT48</f>
        <v>9.1999999999999998E-2</v>
      </c>
      <c r="AA48">
        <v>92670</v>
      </c>
      <c r="AB48">
        <v>0</v>
      </c>
      <c r="AC48">
        <v>0</v>
      </c>
      <c r="AD48">
        <v>0</v>
      </c>
      <c r="AE48">
        <v>92670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2</v>
      </c>
      <c r="AQ48">
        <v>1</v>
      </c>
      <c r="AR48">
        <v>0</v>
      </c>
      <c r="AS48" t="s">
        <v>3</v>
      </c>
      <c r="AT48">
        <v>9.1999999999999998E-2</v>
      </c>
      <c r="AU48" t="s">
        <v>3</v>
      </c>
      <c r="AV48">
        <v>0</v>
      </c>
      <c r="AW48">
        <v>1</v>
      </c>
      <c r="AX48">
        <v>-1</v>
      </c>
      <c r="AY48">
        <v>0</v>
      </c>
      <c r="AZ48">
        <v>0</v>
      </c>
      <c r="BA48" t="s">
        <v>3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8525.64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8525.64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CX48">
        <f>ROUND(Y48*Source!I37,7)</f>
        <v>3.6800000000000001E-3</v>
      </c>
      <c r="CY48">
        <f>AA48</f>
        <v>92670</v>
      </c>
      <c r="CZ48">
        <f>AE48</f>
        <v>92670</v>
      </c>
      <c r="DA48">
        <f>AI48</f>
        <v>1</v>
      </c>
      <c r="DB48">
        <f>ROUND(ROUND(AT48*CZ48,2),2)</f>
        <v>8525.64</v>
      </c>
      <c r="DC48">
        <f>ROUND(ROUND(AT48*AG48,2),2)</f>
        <v>0</v>
      </c>
      <c r="DD48" t="s">
        <v>3</v>
      </c>
      <c r="DE48" t="s">
        <v>3</v>
      </c>
      <c r="DF48">
        <f t="shared" si="19"/>
        <v>341.03</v>
      </c>
      <c r="DG48">
        <f t="shared" si="18"/>
        <v>0</v>
      </c>
      <c r="DH48">
        <f t="shared" si="16"/>
        <v>0</v>
      </c>
      <c r="DI48">
        <f t="shared" si="17"/>
        <v>0</v>
      </c>
      <c r="DJ48">
        <f>DF48</f>
        <v>341.03</v>
      </c>
      <c r="DK48">
        <v>2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ROW(Source!A38)</f>
        <v>38</v>
      </c>
      <c r="B49">
        <v>59552816</v>
      </c>
      <c r="C49">
        <v>59553062</v>
      </c>
      <c r="D49">
        <v>57987315</v>
      </c>
      <c r="E49">
        <v>107</v>
      </c>
      <c r="F49">
        <v>1</v>
      </c>
      <c r="G49">
        <v>1</v>
      </c>
      <c r="H49">
        <v>1</v>
      </c>
      <c r="I49" t="s">
        <v>331</v>
      </c>
      <c r="J49" t="s">
        <v>3</v>
      </c>
      <c r="K49" t="s">
        <v>332</v>
      </c>
      <c r="L49">
        <v>1191</v>
      </c>
      <c r="N49">
        <v>1013</v>
      </c>
      <c r="O49" t="s">
        <v>278</v>
      </c>
      <c r="P49" t="s">
        <v>278</v>
      </c>
      <c r="Q49">
        <v>1</v>
      </c>
      <c r="W49">
        <v>0</v>
      </c>
      <c r="X49">
        <v>-1111239348</v>
      </c>
      <c r="Y49">
        <f>(AT49*ROUND(1.15,7))</f>
        <v>6.5319999999999991</v>
      </c>
      <c r="AA49">
        <v>0</v>
      </c>
      <c r="AB49">
        <v>0</v>
      </c>
      <c r="AC49">
        <v>0</v>
      </c>
      <c r="AD49">
        <v>267.08999999999997</v>
      </c>
      <c r="AE49">
        <v>0</v>
      </c>
      <c r="AF49">
        <v>0</v>
      </c>
      <c r="AG49">
        <v>0</v>
      </c>
      <c r="AH49">
        <v>267.08999999999997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5.68</v>
      </c>
      <c r="AU49" t="s">
        <v>29</v>
      </c>
      <c r="AV49">
        <v>1</v>
      </c>
      <c r="AW49">
        <v>2</v>
      </c>
      <c r="AX49">
        <v>59553085</v>
      </c>
      <c r="AY49">
        <v>1</v>
      </c>
      <c r="AZ49">
        <v>0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1517.0711999999999</v>
      </c>
      <c r="BN49">
        <v>5.68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1744.6318799999997</v>
      </c>
      <c r="BU49">
        <v>6.5319999999999991</v>
      </c>
      <c r="BV49">
        <v>0</v>
      </c>
      <c r="BW49">
        <v>1</v>
      </c>
      <c r="CX49">
        <f>ROUND(Y49*Source!I38,7)</f>
        <v>4.2458</v>
      </c>
      <c r="CY49">
        <f>AD49</f>
        <v>267.08999999999997</v>
      </c>
      <c r="CZ49">
        <f>AH49</f>
        <v>267.08999999999997</v>
      </c>
      <c r="DA49">
        <f>AL49</f>
        <v>1</v>
      </c>
      <c r="DB49">
        <f>ROUND((ROUND(AT49*CZ49,2)*ROUND(1.15,7)),2)</f>
        <v>1744.63</v>
      </c>
      <c r="DC49">
        <f>ROUND((ROUND(AT49*AG49,2)*ROUND(1.15,7)),2)</f>
        <v>0</v>
      </c>
      <c r="DD49" t="s">
        <v>3</v>
      </c>
      <c r="DE49" t="s">
        <v>3</v>
      </c>
      <c r="DF49">
        <f t="shared" si="19"/>
        <v>0</v>
      </c>
      <c r="DG49">
        <f t="shared" si="18"/>
        <v>0</v>
      </c>
      <c r="DH49">
        <f t="shared" si="16"/>
        <v>0</v>
      </c>
      <c r="DI49">
        <f t="shared" si="17"/>
        <v>1134.01</v>
      </c>
      <c r="DJ49">
        <f>DI49</f>
        <v>1134.01</v>
      </c>
      <c r="DK49">
        <v>1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ROW(Source!A38)</f>
        <v>38</v>
      </c>
      <c r="B50">
        <v>59552816</v>
      </c>
      <c r="C50">
        <v>59553062</v>
      </c>
      <c r="D50">
        <v>57987490</v>
      </c>
      <c r="E50">
        <v>107</v>
      </c>
      <c r="F50">
        <v>1</v>
      </c>
      <c r="G50">
        <v>1</v>
      </c>
      <c r="H50">
        <v>1</v>
      </c>
      <c r="I50" t="s">
        <v>284</v>
      </c>
      <c r="J50" t="s">
        <v>3</v>
      </c>
      <c r="K50" t="s">
        <v>285</v>
      </c>
      <c r="L50">
        <v>1191</v>
      </c>
      <c r="N50">
        <v>1013</v>
      </c>
      <c r="O50" t="s">
        <v>278</v>
      </c>
      <c r="P50" t="s">
        <v>278</v>
      </c>
      <c r="Q50">
        <v>1</v>
      </c>
      <c r="W50">
        <v>0</v>
      </c>
      <c r="X50">
        <v>-1417349443</v>
      </c>
      <c r="Y50">
        <f>(AT50*ROUND(1.25,7))</f>
        <v>2.5000000000000001E-2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0.02</v>
      </c>
      <c r="AU50" t="s">
        <v>28</v>
      </c>
      <c r="AV50">
        <v>2</v>
      </c>
      <c r="AW50">
        <v>2</v>
      </c>
      <c r="AX50">
        <v>59553086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0.02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2.5000000000000001E-2</v>
      </c>
      <c r="BW50">
        <v>1</v>
      </c>
      <c r="CX50">
        <f>ROUND(Y50*Source!I38,7)</f>
        <v>1.6250000000000001E-2</v>
      </c>
      <c r="CY50">
        <f>AD50</f>
        <v>0</v>
      </c>
      <c r="CZ50">
        <f>AH50</f>
        <v>0</v>
      </c>
      <c r="DA50">
        <f>AL50</f>
        <v>1</v>
      </c>
      <c r="DB50">
        <f>ROUND((ROUND(AT50*CZ50,2)*ROUND(1.25,7)),2)</f>
        <v>0</v>
      </c>
      <c r="DC50">
        <f>ROUND((ROUND(AT50*AG50,2)*ROUND(1.25,7)),2)</f>
        <v>0</v>
      </c>
      <c r="DD50" t="s">
        <v>3</v>
      </c>
      <c r="DE50" t="s">
        <v>3</v>
      </c>
      <c r="DF50">
        <f t="shared" si="19"/>
        <v>0</v>
      </c>
      <c r="DG50">
        <f t="shared" si="18"/>
        <v>0</v>
      </c>
      <c r="DH50">
        <f t="shared" si="16"/>
        <v>0</v>
      </c>
      <c r="DI50">
        <f t="shared" si="17"/>
        <v>0</v>
      </c>
      <c r="DJ50">
        <f>DI50</f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ROW(Source!A38)</f>
        <v>38</v>
      </c>
      <c r="B51">
        <v>59552816</v>
      </c>
      <c r="C51">
        <v>59553062</v>
      </c>
      <c r="D51">
        <v>58107260</v>
      </c>
      <c r="E51">
        <v>1</v>
      </c>
      <c r="F51">
        <v>1</v>
      </c>
      <c r="G51">
        <v>1</v>
      </c>
      <c r="H51">
        <v>2</v>
      </c>
      <c r="I51" t="s">
        <v>286</v>
      </c>
      <c r="J51" t="s">
        <v>287</v>
      </c>
      <c r="K51" t="s">
        <v>288</v>
      </c>
      <c r="L51">
        <v>1368</v>
      </c>
      <c r="N51">
        <v>1011</v>
      </c>
      <c r="O51" t="s">
        <v>289</v>
      </c>
      <c r="P51" t="s">
        <v>289</v>
      </c>
      <c r="Q51">
        <v>1</v>
      </c>
      <c r="W51">
        <v>0</v>
      </c>
      <c r="X51">
        <v>-275119293</v>
      </c>
      <c r="Y51">
        <f>(AT51*ROUND(1.25,7))</f>
        <v>1.2500000000000001E-2</v>
      </c>
      <c r="AA51">
        <v>0</v>
      </c>
      <c r="AB51">
        <v>48.89</v>
      </c>
      <c r="AC51">
        <v>237.19</v>
      </c>
      <c r="AD51">
        <v>0</v>
      </c>
      <c r="AE51">
        <v>0</v>
      </c>
      <c r="AF51">
        <v>37.32</v>
      </c>
      <c r="AG51">
        <v>237.19</v>
      </c>
      <c r="AH51">
        <v>0</v>
      </c>
      <c r="AI51">
        <v>1</v>
      </c>
      <c r="AJ51">
        <v>1.31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0.01</v>
      </c>
      <c r="AU51" t="s">
        <v>28</v>
      </c>
      <c r="AV51">
        <v>1</v>
      </c>
      <c r="AW51">
        <v>2</v>
      </c>
      <c r="AX51">
        <v>59553087</v>
      </c>
      <c r="AY51">
        <v>1</v>
      </c>
      <c r="AZ51">
        <v>0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0.37320000000000003</v>
      </c>
      <c r="BL51">
        <v>2.3719000000000001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0.46650000000000003</v>
      </c>
      <c r="BS51">
        <v>2.9648750000000001</v>
      </c>
      <c r="BT51">
        <v>0</v>
      </c>
      <c r="BU51">
        <v>0</v>
      </c>
      <c r="BV51">
        <v>0</v>
      </c>
      <c r="BW51">
        <v>1</v>
      </c>
      <c r="CX51">
        <f>ROUND(Y51*Source!I38,7)</f>
        <v>8.1250000000000003E-3</v>
      </c>
      <c r="CY51">
        <f>AB51</f>
        <v>48.89</v>
      </c>
      <c r="CZ51">
        <f>AF51</f>
        <v>37.32</v>
      </c>
      <c r="DA51">
        <f>AJ51</f>
        <v>1.31</v>
      </c>
      <c r="DB51">
        <f>ROUND((ROUND(AT51*CZ51,2)*ROUND(1.25,7)),2)</f>
        <v>0.46</v>
      </c>
      <c r="DC51">
        <f>ROUND((ROUND(AT51*AG51,2)*ROUND(1.25,7)),2)</f>
        <v>2.96</v>
      </c>
      <c r="DD51" t="s">
        <v>3</v>
      </c>
      <c r="DE51" t="s">
        <v>3</v>
      </c>
      <c r="DF51">
        <f t="shared" si="19"/>
        <v>0</v>
      </c>
      <c r="DG51">
        <f>ROUND(ROUND(AF51*AJ51,2)*CX51,2)</f>
        <v>0.4</v>
      </c>
      <c r="DH51">
        <f t="shared" si="16"/>
        <v>1.93</v>
      </c>
      <c r="DI51">
        <f t="shared" si="17"/>
        <v>0</v>
      </c>
      <c r="DJ51">
        <f>DG51+DH51</f>
        <v>2.33</v>
      </c>
      <c r="DK51">
        <v>1</v>
      </c>
      <c r="DL51" t="s">
        <v>290</v>
      </c>
      <c r="DM51">
        <v>3</v>
      </c>
      <c r="DN51" t="s">
        <v>278</v>
      </c>
      <c r="DO51">
        <v>1</v>
      </c>
    </row>
    <row r="52" spans="1:119" x14ac:dyDescent="0.2">
      <c r="A52">
        <f>ROW(Source!A38)</f>
        <v>38</v>
      </c>
      <c r="B52">
        <v>59552816</v>
      </c>
      <c r="C52">
        <v>59553062</v>
      </c>
      <c r="D52">
        <v>58107956</v>
      </c>
      <c r="E52">
        <v>1</v>
      </c>
      <c r="F52">
        <v>1</v>
      </c>
      <c r="G52">
        <v>1</v>
      </c>
      <c r="H52">
        <v>2</v>
      </c>
      <c r="I52" t="s">
        <v>291</v>
      </c>
      <c r="J52" t="s">
        <v>292</v>
      </c>
      <c r="K52" t="s">
        <v>293</v>
      </c>
      <c r="L52">
        <v>1368</v>
      </c>
      <c r="N52">
        <v>1011</v>
      </c>
      <c r="O52" t="s">
        <v>289</v>
      </c>
      <c r="P52" t="s">
        <v>289</v>
      </c>
      <c r="Q52">
        <v>1</v>
      </c>
      <c r="W52">
        <v>0</v>
      </c>
      <c r="X52">
        <v>-1755708642</v>
      </c>
      <c r="Y52">
        <f>(AT52*ROUND(1.25,7))</f>
        <v>1.2500000000000001E-2</v>
      </c>
      <c r="AA52">
        <v>0</v>
      </c>
      <c r="AB52">
        <v>540.04999999999995</v>
      </c>
      <c r="AC52">
        <v>267.08999999999997</v>
      </c>
      <c r="AD52">
        <v>0</v>
      </c>
      <c r="AE52">
        <v>0</v>
      </c>
      <c r="AF52">
        <v>477.92</v>
      </c>
      <c r="AG52">
        <v>267.08999999999997</v>
      </c>
      <c r="AH52">
        <v>0</v>
      </c>
      <c r="AI52">
        <v>1</v>
      </c>
      <c r="AJ52">
        <v>1.1299999999999999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0.01</v>
      </c>
      <c r="AU52" t="s">
        <v>28</v>
      </c>
      <c r="AV52">
        <v>1</v>
      </c>
      <c r="AW52">
        <v>2</v>
      </c>
      <c r="AX52">
        <v>59553088</v>
      </c>
      <c r="AY52">
        <v>1</v>
      </c>
      <c r="AZ52">
        <v>0</v>
      </c>
      <c r="BA52">
        <v>52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4.7792000000000003</v>
      </c>
      <c r="BL52">
        <v>2.6708999999999996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5.9740000000000002</v>
      </c>
      <c r="BS52">
        <v>3.338625</v>
      </c>
      <c r="BT52">
        <v>0</v>
      </c>
      <c r="BU52">
        <v>0</v>
      </c>
      <c r="BV52">
        <v>0</v>
      </c>
      <c r="BW52">
        <v>1</v>
      </c>
      <c r="CX52">
        <f>ROUND(Y52*Source!I38,7)</f>
        <v>8.1250000000000003E-3</v>
      </c>
      <c r="CY52">
        <f>AB52</f>
        <v>540.04999999999995</v>
      </c>
      <c r="CZ52">
        <f>AF52</f>
        <v>477.92</v>
      </c>
      <c r="DA52">
        <f>AJ52</f>
        <v>1.1299999999999999</v>
      </c>
      <c r="DB52">
        <f>ROUND((ROUND(AT52*CZ52,2)*ROUND(1.25,7)),2)</f>
        <v>5.98</v>
      </c>
      <c r="DC52">
        <f>ROUND((ROUND(AT52*AG52,2)*ROUND(1.25,7)),2)</f>
        <v>3.34</v>
      </c>
      <c r="DD52" t="s">
        <v>3</v>
      </c>
      <c r="DE52" t="s">
        <v>3</v>
      </c>
      <c r="DF52">
        <f t="shared" si="19"/>
        <v>0</v>
      </c>
      <c r="DG52">
        <f>ROUND(ROUND(AF52*AJ52,2)*CX52,2)</f>
        <v>4.3899999999999997</v>
      </c>
      <c r="DH52">
        <f t="shared" si="16"/>
        <v>2.17</v>
      </c>
      <c r="DI52">
        <f t="shared" si="17"/>
        <v>0</v>
      </c>
      <c r="DJ52">
        <f>DG52+DH52</f>
        <v>6.56</v>
      </c>
      <c r="DK52">
        <v>1</v>
      </c>
      <c r="DL52" t="s">
        <v>294</v>
      </c>
      <c r="DM52">
        <v>4</v>
      </c>
      <c r="DN52" t="s">
        <v>278</v>
      </c>
      <c r="DO52">
        <v>1</v>
      </c>
    </row>
    <row r="53" spans="1:119" x14ac:dyDescent="0.2">
      <c r="A53">
        <f>ROW(Source!A38)</f>
        <v>38</v>
      </c>
      <c r="B53">
        <v>59552816</v>
      </c>
      <c r="C53">
        <v>59553062</v>
      </c>
      <c r="D53">
        <v>58063712</v>
      </c>
      <c r="E53">
        <v>1</v>
      </c>
      <c r="F53">
        <v>1</v>
      </c>
      <c r="G53">
        <v>1</v>
      </c>
      <c r="H53">
        <v>3</v>
      </c>
      <c r="I53" t="s">
        <v>333</v>
      </c>
      <c r="J53" t="s">
        <v>334</v>
      </c>
      <c r="K53" t="s">
        <v>335</v>
      </c>
      <c r="L53">
        <v>1346</v>
      </c>
      <c r="N53">
        <v>1009</v>
      </c>
      <c r="O53" t="s">
        <v>336</v>
      </c>
      <c r="P53" t="s">
        <v>336</v>
      </c>
      <c r="Q53">
        <v>1</v>
      </c>
      <c r="W53">
        <v>0</v>
      </c>
      <c r="X53">
        <v>-132351515</v>
      </c>
      <c r="Y53">
        <f>AT53</f>
        <v>0.1</v>
      </c>
      <c r="AA53">
        <v>106.23</v>
      </c>
      <c r="AB53">
        <v>0</v>
      </c>
      <c r="AC53">
        <v>0</v>
      </c>
      <c r="AD53">
        <v>0</v>
      </c>
      <c r="AE53">
        <v>56.81</v>
      </c>
      <c r="AF53">
        <v>0</v>
      </c>
      <c r="AG53">
        <v>0</v>
      </c>
      <c r="AH53">
        <v>0</v>
      </c>
      <c r="AI53">
        <v>1.87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0.1</v>
      </c>
      <c r="AU53" t="s">
        <v>3</v>
      </c>
      <c r="AV53">
        <v>0</v>
      </c>
      <c r="AW53">
        <v>2</v>
      </c>
      <c r="AX53">
        <v>59553089</v>
      </c>
      <c r="AY53">
        <v>1</v>
      </c>
      <c r="AZ53">
        <v>0</v>
      </c>
      <c r="BA53">
        <v>53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5.6810000000000009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5.6810000000000009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X53">
        <f>ROUND(Y53*Source!I38,7)</f>
        <v>6.5000000000000002E-2</v>
      </c>
      <c r="CY53">
        <f>AA53</f>
        <v>106.23</v>
      </c>
      <c r="CZ53">
        <f>AE53</f>
        <v>56.81</v>
      </c>
      <c r="DA53">
        <f>AI53</f>
        <v>1.87</v>
      </c>
      <c r="DB53">
        <f>ROUND(ROUND(AT53*CZ53,2),2)</f>
        <v>5.68</v>
      </c>
      <c r="DC53">
        <f>ROUND(ROUND(AT53*AG53,2),2)</f>
        <v>0</v>
      </c>
      <c r="DD53" t="s">
        <v>3</v>
      </c>
      <c r="DE53" t="s">
        <v>3</v>
      </c>
      <c r="DF53">
        <f>ROUND(ROUND(AE53*AI53,2)*CX53,2)</f>
        <v>6.9</v>
      </c>
      <c r="DG53">
        <f>ROUND(ROUND(AF53,2)*CX53,2)</f>
        <v>0</v>
      </c>
      <c r="DH53">
        <f t="shared" si="16"/>
        <v>0</v>
      </c>
      <c r="DI53">
        <f t="shared" si="17"/>
        <v>0</v>
      </c>
      <c r="DJ53">
        <f>DF53</f>
        <v>6.9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ROW(Source!A38)</f>
        <v>38</v>
      </c>
      <c r="B54">
        <v>59552816</v>
      </c>
      <c r="C54">
        <v>59553062</v>
      </c>
      <c r="D54">
        <v>0</v>
      </c>
      <c r="E54">
        <v>0</v>
      </c>
      <c r="F54">
        <v>1</v>
      </c>
      <c r="G54">
        <v>1</v>
      </c>
      <c r="H54">
        <v>3</v>
      </c>
      <c r="I54" t="s">
        <v>326</v>
      </c>
      <c r="J54" t="s">
        <v>3</v>
      </c>
      <c r="K54" t="s">
        <v>337</v>
      </c>
      <c r="L54">
        <v>1348</v>
      </c>
      <c r="N54">
        <v>1009</v>
      </c>
      <c r="O54" t="s">
        <v>281</v>
      </c>
      <c r="P54" t="s">
        <v>281</v>
      </c>
      <c r="Q54">
        <v>1000</v>
      </c>
      <c r="W54">
        <v>0</v>
      </c>
      <c r="X54">
        <v>-1722100437</v>
      </c>
      <c r="Y54">
        <f>AT54</f>
        <v>1.03E-2</v>
      </c>
      <c r="AA54">
        <v>117000</v>
      </c>
      <c r="AB54">
        <v>0</v>
      </c>
      <c r="AC54">
        <v>0</v>
      </c>
      <c r="AD54">
        <v>0</v>
      </c>
      <c r="AE54">
        <v>117000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2</v>
      </c>
      <c r="AQ54">
        <v>1</v>
      </c>
      <c r="AR54">
        <v>0</v>
      </c>
      <c r="AS54" t="s">
        <v>3</v>
      </c>
      <c r="AT54">
        <v>1.03E-2</v>
      </c>
      <c r="AU54" t="s">
        <v>3</v>
      </c>
      <c r="AV54">
        <v>0</v>
      </c>
      <c r="AW54">
        <v>1</v>
      </c>
      <c r="AX54">
        <v>-1</v>
      </c>
      <c r="AY54">
        <v>0</v>
      </c>
      <c r="AZ54">
        <v>0</v>
      </c>
      <c r="BA54" t="s">
        <v>3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1205.0999999999999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1205.0999999999999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1</v>
      </c>
      <c r="CX54">
        <f>ROUND(Y54*Source!I38,7)</f>
        <v>6.6950000000000004E-3</v>
      </c>
      <c r="CY54">
        <f>AA54</f>
        <v>117000</v>
      </c>
      <c r="CZ54">
        <f>AE54</f>
        <v>117000</v>
      </c>
      <c r="DA54">
        <f>AI54</f>
        <v>1</v>
      </c>
      <c r="DB54">
        <f>ROUND(ROUND(AT54*CZ54,2),2)</f>
        <v>1205.0999999999999</v>
      </c>
      <c r="DC54">
        <f>ROUND(ROUND(AT54*AG54,2),2)</f>
        <v>0</v>
      </c>
      <c r="DD54" t="s">
        <v>3</v>
      </c>
      <c r="DE54" t="s">
        <v>3</v>
      </c>
      <c r="DF54">
        <f>ROUND(ROUND(AE54,2)*CX54,2)</f>
        <v>783.32</v>
      </c>
      <c r="DG54">
        <f>ROUND(ROUND(AF54,2)*CX54,2)</f>
        <v>0</v>
      </c>
      <c r="DH54">
        <f t="shared" si="16"/>
        <v>0</v>
      </c>
      <c r="DI54">
        <f t="shared" si="17"/>
        <v>0</v>
      </c>
      <c r="DJ54">
        <f>DF54</f>
        <v>783.32</v>
      </c>
      <c r="DK54">
        <v>2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ROW(Source!A39)</f>
        <v>39</v>
      </c>
      <c r="B55">
        <v>59552816</v>
      </c>
      <c r="C55">
        <v>59553145</v>
      </c>
      <c r="D55">
        <v>57987313</v>
      </c>
      <c r="E55">
        <v>107</v>
      </c>
      <c r="F55">
        <v>1</v>
      </c>
      <c r="G55">
        <v>1</v>
      </c>
      <c r="H55">
        <v>1</v>
      </c>
      <c r="I55" t="s">
        <v>357</v>
      </c>
      <c r="J55" t="s">
        <v>3</v>
      </c>
      <c r="K55" t="s">
        <v>358</v>
      </c>
      <c r="L55">
        <v>1191</v>
      </c>
      <c r="N55">
        <v>1013</v>
      </c>
      <c r="O55" t="s">
        <v>278</v>
      </c>
      <c r="P55" t="s">
        <v>278</v>
      </c>
      <c r="Q55">
        <v>1</v>
      </c>
      <c r="W55">
        <v>0</v>
      </c>
      <c r="X55">
        <v>1608048003</v>
      </c>
      <c r="Y55">
        <f>(AT55*ROUND(1.15,7))</f>
        <v>12.535</v>
      </c>
      <c r="AA55">
        <v>0</v>
      </c>
      <c r="AB55">
        <v>0</v>
      </c>
      <c r="AC55">
        <v>0</v>
      </c>
      <c r="AD55">
        <v>264.10000000000002</v>
      </c>
      <c r="AE55">
        <v>0</v>
      </c>
      <c r="AF55">
        <v>0</v>
      </c>
      <c r="AG55">
        <v>0</v>
      </c>
      <c r="AH55">
        <v>264.10000000000002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10.9</v>
      </c>
      <c r="AU55" t="s">
        <v>29</v>
      </c>
      <c r="AV55">
        <v>1</v>
      </c>
      <c r="AW55">
        <v>2</v>
      </c>
      <c r="AX55">
        <v>59553146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2878.6900000000005</v>
      </c>
      <c r="BN55">
        <v>10.9</v>
      </c>
      <c r="BO55">
        <v>0</v>
      </c>
      <c r="BP55">
        <v>1</v>
      </c>
      <c r="BQ55">
        <v>0</v>
      </c>
      <c r="BR55">
        <v>0</v>
      </c>
      <c r="BS55">
        <v>0</v>
      </c>
      <c r="BT55">
        <v>3310.4935000000005</v>
      </c>
      <c r="BU55">
        <v>12.535</v>
      </c>
      <c r="BV55">
        <v>0</v>
      </c>
      <c r="BW55">
        <v>1</v>
      </c>
      <c r="CX55">
        <f>ROUND(Y55*Source!I39,7)</f>
        <v>10.1571105</v>
      </c>
      <c r="CY55">
        <f>AD55</f>
        <v>264.10000000000002</v>
      </c>
      <c r="CZ55">
        <f>AH55</f>
        <v>264.10000000000002</v>
      </c>
      <c r="DA55">
        <f>AL55</f>
        <v>1</v>
      </c>
      <c r="DB55">
        <f>ROUND((ROUND(AT55*CZ55,2)*ROUND(1.15,7)),2)</f>
        <v>3310.49</v>
      </c>
      <c r="DC55">
        <f>ROUND((ROUND(AT55*AG55,2)*ROUND(1.15,7)),2)</f>
        <v>0</v>
      </c>
      <c r="DD55" t="s">
        <v>3</v>
      </c>
      <c r="DE55" t="s">
        <v>3</v>
      </c>
      <c r="DF55">
        <f>ROUND(ROUND(AE55,2)*CX55,2)</f>
        <v>0</v>
      </c>
      <c r="DG55">
        <f>ROUND(ROUND(AF55,2)*CX55,2)</f>
        <v>0</v>
      </c>
      <c r="DH55">
        <f t="shared" si="16"/>
        <v>0</v>
      </c>
      <c r="DI55">
        <f t="shared" si="17"/>
        <v>2682.49</v>
      </c>
      <c r="DJ55">
        <f>DI55</f>
        <v>2682.49</v>
      </c>
      <c r="DK55">
        <v>1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ROW(Source!A39)</f>
        <v>39</v>
      </c>
      <c r="B56">
        <v>59552816</v>
      </c>
      <c r="C56">
        <v>59553145</v>
      </c>
      <c r="D56">
        <v>57987490</v>
      </c>
      <c r="E56">
        <v>107</v>
      </c>
      <c r="F56">
        <v>1</v>
      </c>
      <c r="G56">
        <v>1</v>
      </c>
      <c r="H56">
        <v>1</v>
      </c>
      <c r="I56" t="s">
        <v>284</v>
      </c>
      <c r="J56" t="s">
        <v>3</v>
      </c>
      <c r="K56" t="s">
        <v>285</v>
      </c>
      <c r="L56">
        <v>1191</v>
      </c>
      <c r="N56">
        <v>1013</v>
      </c>
      <c r="O56" t="s">
        <v>278</v>
      </c>
      <c r="P56" t="s">
        <v>278</v>
      </c>
      <c r="Q56">
        <v>1</v>
      </c>
      <c r="W56">
        <v>0</v>
      </c>
      <c r="X56">
        <v>-1417349443</v>
      </c>
      <c r="Y56">
        <f>(AT56*ROUND(1.25,7))</f>
        <v>0.05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0.04</v>
      </c>
      <c r="AU56" t="s">
        <v>28</v>
      </c>
      <c r="AV56">
        <v>2</v>
      </c>
      <c r="AW56">
        <v>2</v>
      </c>
      <c r="AX56">
        <v>59553147</v>
      </c>
      <c r="AY56">
        <v>1</v>
      </c>
      <c r="AZ56">
        <v>0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0.04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0.05</v>
      </c>
      <c r="BW56">
        <v>1</v>
      </c>
      <c r="CX56">
        <f>ROUND(Y56*Source!I39,7)</f>
        <v>4.0515000000000002E-2</v>
      </c>
      <c r="CY56">
        <f>AD56</f>
        <v>0</v>
      </c>
      <c r="CZ56">
        <f>AH56</f>
        <v>0</v>
      </c>
      <c r="DA56">
        <f>AL56</f>
        <v>1</v>
      </c>
      <c r="DB56">
        <f>ROUND((ROUND(AT56*CZ56,2)*ROUND(1.25,7)),2)</f>
        <v>0</v>
      </c>
      <c r="DC56">
        <f>ROUND((ROUND(AT56*AG56,2)*ROUND(1.25,7)),2)</f>
        <v>0</v>
      </c>
      <c r="DD56" t="s">
        <v>3</v>
      </c>
      <c r="DE56" t="s">
        <v>3</v>
      </c>
      <c r="DF56">
        <f>ROUND(ROUND(AE56,2)*CX56,2)</f>
        <v>0</v>
      </c>
      <c r="DG56">
        <f>ROUND(ROUND(AF56,2)*CX56,2)</f>
        <v>0</v>
      </c>
      <c r="DH56">
        <f t="shared" si="16"/>
        <v>0</v>
      </c>
      <c r="DI56">
        <f t="shared" si="17"/>
        <v>0</v>
      </c>
      <c r="DJ56">
        <f>DI56</f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ROW(Source!A39)</f>
        <v>39</v>
      </c>
      <c r="B57">
        <v>59552816</v>
      </c>
      <c r="C57">
        <v>59553145</v>
      </c>
      <c r="D57">
        <v>58107260</v>
      </c>
      <c r="E57">
        <v>1</v>
      </c>
      <c r="F57">
        <v>1</v>
      </c>
      <c r="G57">
        <v>1</v>
      </c>
      <c r="H57">
        <v>2</v>
      </c>
      <c r="I57" t="s">
        <v>286</v>
      </c>
      <c r="J57" t="s">
        <v>287</v>
      </c>
      <c r="K57" t="s">
        <v>288</v>
      </c>
      <c r="L57">
        <v>1368</v>
      </c>
      <c r="N57">
        <v>1011</v>
      </c>
      <c r="O57" t="s">
        <v>289</v>
      </c>
      <c r="P57" t="s">
        <v>289</v>
      </c>
      <c r="Q57">
        <v>1</v>
      </c>
      <c r="W57">
        <v>0</v>
      </c>
      <c r="X57">
        <v>-275119293</v>
      </c>
      <c r="Y57">
        <f>(AT57*ROUND(1.25,7))</f>
        <v>1.2500000000000001E-2</v>
      </c>
      <c r="AA57">
        <v>0</v>
      </c>
      <c r="AB57">
        <v>48.89</v>
      </c>
      <c r="AC57">
        <v>237.19</v>
      </c>
      <c r="AD57">
        <v>0</v>
      </c>
      <c r="AE57">
        <v>0</v>
      </c>
      <c r="AF57">
        <v>37.32</v>
      </c>
      <c r="AG57">
        <v>237.19</v>
      </c>
      <c r="AH57">
        <v>0</v>
      </c>
      <c r="AI57">
        <v>1</v>
      </c>
      <c r="AJ57">
        <v>1.31</v>
      </c>
      <c r="AK57">
        <v>1</v>
      </c>
      <c r="AL57">
        <v>1</v>
      </c>
      <c r="AM57">
        <v>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0.01</v>
      </c>
      <c r="AU57" t="s">
        <v>28</v>
      </c>
      <c r="AV57">
        <v>1</v>
      </c>
      <c r="AW57">
        <v>2</v>
      </c>
      <c r="AX57">
        <v>59553148</v>
      </c>
      <c r="AY57">
        <v>1</v>
      </c>
      <c r="AZ57">
        <v>0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0.37320000000000003</v>
      </c>
      <c r="BL57">
        <v>2.3719000000000001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0.46650000000000003</v>
      </c>
      <c r="BS57">
        <v>2.9648750000000001</v>
      </c>
      <c r="BT57">
        <v>0</v>
      </c>
      <c r="BU57">
        <v>0</v>
      </c>
      <c r="BV57">
        <v>0</v>
      </c>
      <c r="BW57">
        <v>1</v>
      </c>
      <c r="CX57">
        <f>ROUND(Y57*Source!I39,7)</f>
        <v>1.01288E-2</v>
      </c>
      <c r="CY57">
        <f>AB57</f>
        <v>48.89</v>
      </c>
      <c r="CZ57">
        <f>AF57</f>
        <v>37.32</v>
      </c>
      <c r="DA57">
        <f>AJ57</f>
        <v>1.31</v>
      </c>
      <c r="DB57">
        <f>ROUND((ROUND(AT57*CZ57,2)*ROUND(1.25,7)),2)</f>
        <v>0.46</v>
      </c>
      <c r="DC57">
        <f>ROUND((ROUND(AT57*AG57,2)*ROUND(1.25,7)),2)</f>
        <v>2.96</v>
      </c>
      <c r="DD57" t="s">
        <v>3</v>
      </c>
      <c r="DE57" t="s">
        <v>3</v>
      </c>
      <c r="DF57">
        <f>ROUND(ROUND(AE57,2)*CX57,2)</f>
        <v>0</v>
      </c>
      <c r="DG57">
        <f>ROUND(ROUND(AF57*AJ57,2)*CX57,2)</f>
        <v>0.5</v>
      </c>
      <c r="DH57">
        <f t="shared" si="16"/>
        <v>2.4</v>
      </c>
      <c r="DI57">
        <f t="shared" si="17"/>
        <v>0</v>
      </c>
      <c r="DJ57">
        <f>DG57+DH57</f>
        <v>2.9</v>
      </c>
      <c r="DK57">
        <v>1</v>
      </c>
      <c r="DL57" t="s">
        <v>290</v>
      </c>
      <c r="DM57">
        <v>3</v>
      </c>
      <c r="DN57" t="s">
        <v>278</v>
      </c>
      <c r="DO57">
        <v>1</v>
      </c>
    </row>
    <row r="58" spans="1:119" x14ac:dyDescent="0.2">
      <c r="A58">
        <f>ROW(Source!A39)</f>
        <v>39</v>
      </c>
      <c r="B58">
        <v>59552816</v>
      </c>
      <c r="C58">
        <v>59553145</v>
      </c>
      <c r="D58">
        <v>58107956</v>
      </c>
      <c r="E58">
        <v>1</v>
      </c>
      <c r="F58">
        <v>1</v>
      </c>
      <c r="G58">
        <v>1</v>
      </c>
      <c r="H58">
        <v>2</v>
      </c>
      <c r="I58" t="s">
        <v>291</v>
      </c>
      <c r="J58" t="s">
        <v>292</v>
      </c>
      <c r="K58" t="s">
        <v>293</v>
      </c>
      <c r="L58">
        <v>1368</v>
      </c>
      <c r="N58">
        <v>1011</v>
      </c>
      <c r="O58" t="s">
        <v>289</v>
      </c>
      <c r="P58" t="s">
        <v>289</v>
      </c>
      <c r="Q58">
        <v>1</v>
      </c>
      <c r="W58">
        <v>0</v>
      </c>
      <c r="X58">
        <v>-1755708642</v>
      </c>
      <c r="Y58">
        <f>(AT58*ROUND(1.25,7))</f>
        <v>3.7499999999999999E-2</v>
      </c>
      <c r="AA58">
        <v>0</v>
      </c>
      <c r="AB58">
        <v>540.04999999999995</v>
      </c>
      <c r="AC58">
        <v>267.08999999999997</v>
      </c>
      <c r="AD58">
        <v>0</v>
      </c>
      <c r="AE58">
        <v>0</v>
      </c>
      <c r="AF58">
        <v>477.92</v>
      </c>
      <c r="AG58">
        <v>267.08999999999997</v>
      </c>
      <c r="AH58">
        <v>0</v>
      </c>
      <c r="AI58">
        <v>1</v>
      </c>
      <c r="AJ58">
        <v>1.1299999999999999</v>
      </c>
      <c r="AK58">
        <v>1</v>
      </c>
      <c r="AL58">
        <v>1</v>
      </c>
      <c r="AM58">
        <v>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0.03</v>
      </c>
      <c r="AU58" t="s">
        <v>28</v>
      </c>
      <c r="AV58">
        <v>1</v>
      </c>
      <c r="AW58">
        <v>2</v>
      </c>
      <c r="AX58">
        <v>59553149</v>
      </c>
      <c r="AY58">
        <v>1</v>
      </c>
      <c r="AZ58">
        <v>0</v>
      </c>
      <c r="BA58">
        <v>58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14.3376</v>
      </c>
      <c r="BL58">
        <v>8.0126999999999988</v>
      </c>
      <c r="BM58">
        <v>0</v>
      </c>
      <c r="BN58">
        <v>0</v>
      </c>
      <c r="BO58">
        <v>0</v>
      </c>
      <c r="BP58">
        <v>1</v>
      </c>
      <c r="BQ58">
        <v>0</v>
      </c>
      <c r="BR58">
        <v>17.922000000000001</v>
      </c>
      <c r="BS58">
        <v>10.015874999999999</v>
      </c>
      <c r="BT58">
        <v>0</v>
      </c>
      <c r="BU58">
        <v>0</v>
      </c>
      <c r="BV58">
        <v>0</v>
      </c>
      <c r="BW58">
        <v>1</v>
      </c>
      <c r="CX58">
        <f>ROUND(Y58*Source!I39,7)</f>
        <v>3.0386300000000002E-2</v>
      </c>
      <c r="CY58">
        <f>AB58</f>
        <v>540.04999999999995</v>
      </c>
      <c r="CZ58">
        <f>AF58</f>
        <v>477.92</v>
      </c>
      <c r="DA58">
        <f>AJ58</f>
        <v>1.1299999999999999</v>
      </c>
      <c r="DB58">
        <f>ROUND((ROUND(AT58*CZ58,2)*ROUND(1.25,7)),2)</f>
        <v>17.93</v>
      </c>
      <c r="DC58">
        <f>ROUND((ROUND(AT58*AG58,2)*ROUND(1.25,7)),2)</f>
        <v>10.01</v>
      </c>
      <c r="DD58" t="s">
        <v>3</v>
      </c>
      <c r="DE58" t="s">
        <v>3</v>
      </c>
      <c r="DF58">
        <f>ROUND(ROUND(AE58,2)*CX58,2)</f>
        <v>0</v>
      </c>
      <c r="DG58">
        <f>ROUND(ROUND(AF58*AJ58,2)*CX58,2)</f>
        <v>16.41</v>
      </c>
      <c r="DH58">
        <f t="shared" si="16"/>
        <v>8.1199999999999992</v>
      </c>
      <c r="DI58">
        <f t="shared" si="17"/>
        <v>0</v>
      </c>
      <c r="DJ58">
        <f>DG58+DH58</f>
        <v>24.53</v>
      </c>
      <c r="DK58">
        <v>1</v>
      </c>
      <c r="DL58" t="s">
        <v>294</v>
      </c>
      <c r="DM58">
        <v>4</v>
      </c>
      <c r="DN58" t="s">
        <v>278</v>
      </c>
      <c r="DO58">
        <v>1</v>
      </c>
    </row>
    <row r="59" spans="1:119" x14ac:dyDescent="0.2">
      <c r="A59">
        <f>ROW(Source!A39)</f>
        <v>39</v>
      </c>
      <c r="B59">
        <v>59552816</v>
      </c>
      <c r="C59">
        <v>59553145</v>
      </c>
      <c r="D59">
        <v>58063386</v>
      </c>
      <c r="E59">
        <v>1</v>
      </c>
      <c r="F59">
        <v>1</v>
      </c>
      <c r="G59">
        <v>1</v>
      </c>
      <c r="H59">
        <v>3</v>
      </c>
      <c r="I59" t="s">
        <v>352</v>
      </c>
      <c r="J59" t="s">
        <v>353</v>
      </c>
      <c r="K59" t="s">
        <v>354</v>
      </c>
      <c r="L59">
        <v>1327</v>
      </c>
      <c r="N59">
        <v>1005</v>
      </c>
      <c r="O59" t="s">
        <v>49</v>
      </c>
      <c r="P59" t="s">
        <v>49</v>
      </c>
      <c r="Q59">
        <v>1</v>
      </c>
      <c r="W59">
        <v>0</v>
      </c>
      <c r="X59">
        <v>-56027178</v>
      </c>
      <c r="Y59">
        <f>AT59</f>
        <v>4.4000000000000004</v>
      </c>
      <c r="AA59">
        <v>542.07000000000005</v>
      </c>
      <c r="AB59">
        <v>0</v>
      </c>
      <c r="AC59">
        <v>0</v>
      </c>
      <c r="AD59">
        <v>0</v>
      </c>
      <c r="AE59">
        <v>531.44000000000005</v>
      </c>
      <c r="AF59">
        <v>0</v>
      </c>
      <c r="AG59">
        <v>0</v>
      </c>
      <c r="AH59">
        <v>0</v>
      </c>
      <c r="AI59">
        <v>1.02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4.4000000000000004</v>
      </c>
      <c r="AU59" t="s">
        <v>3</v>
      </c>
      <c r="AV59">
        <v>0</v>
      </c>
      <c r="AW59">
        <v>2</v>
      </c>
      <c r="AX59">
        <v>59553150</v>
      </c>
      <c r="AY59">
        <v>1</v>
      </c>
      <c r="AZ59">
        <v>0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2338.3360000000002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2338.3360000000002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X59">
        <f>ROUND(Y59*Source!I39,7)</f>
        <v>3.5653199999999998</v>
      </c>
      <c r="CY59">
        <f>AA59</f>
        <v>542.07000000000005</v>
      </c>
      <c r="CZ59">
        <f>AE59</f>
        <v>531.44000000000005</v>
      </c>
      <c r="DA59">
        <f>AI59</f>
        <v>1.02</v>
      </c>
      <c r="DB59">
        <f>ROUND(ROUND(AT59*CZ59,2),2)</f>
        <v>2338.34</v>
      </c>
      <c r="DC59">
        <f>ROUND(ROUND(AT59*AG59,2),2)</f>
        <v>0</v>
      </c>
      <c r="DD59" t="s">
        <v>3</v>
      </c>
      <c r="DE59" t="s">
        <v>3</v>
      </c>
      <c r="DF59">
        <f>ROUND(ROUND(AE59*AI59,2)*CX59,2)</f>
        <v>1932.65</v>
      </c>
      <c r="DG59">
        <f>ROUND(ROUND(AF59,2)*CX59,2)</f>
        <v>0</v>
      </c>
      <c r="DH59">
        <f t="shared" si="16"/>
        <v>0</v>
      </c>
      <c r="DI59">
        <f t="shared" si="17"/>
        <v>0</v>
      </c>
      <c r="DJ59">
        <f>DF59</f>
        <v>1932.65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ROW(Source!A39)</f>
        <v>39</v>
      </c>
      <c r="B60">
        <v>59552816</v>
      </c>
      <c r="C60">
        <v>59553145</v>
      </c>
      <c r="D60">
        <v>58063712</v>
      </c>
      <c r="E60">
        <v>1</v>
      </c>
      <c r="F60">
        <v>1</v>
      </c>
      <c r="G60">
        <v>1</v>
      </c>
      <c r="H60">
        <v>3</v>
      </c>
      <c r="I60" t="s">
        <v>333</v>
      </c>
      <c r="J60" t="s">
        <v>334</v>
      </c>
      <c r="K60" t="s">
        <v>335</v>
      </c>
      <c r="L60">
        <v>1346</v>
      </c>
      <c r="N60">
        <v>1009</v>
      </c>
      <c r="O60" t="s">
        <v>336</v>
      </c>
      <c r="P60" t="s">
        <v>336</v>
      </c>
      <c r="Q60">
        <v>1</v>
      </c>
      <c r="W60">
        <v>0</v>
      </c>
      <c r="X60">
        <v>-132351515</v>
      </c>
      <c r="Y60">
        <f>AT60</f>
        <v>0.15</v>
      </c>
      <c r="AA60">
        <v>106.23</v>
      </c>
      <c r="AB60">
        <v>0</v>
      </c>
      <c r="AC60">
        <v>0</v>
      </c>
      <c r="AD60">
        <v>0</v>
      </c>
      <c r="AE60">
        <v>56.81</v>
      </c>
      <c r="AF60">
        <v>0</v>
      </c>
      <c r="AG60">
        <v>0</v>
      </c>
      <c r="AH60">
        <v>0</v>
      </c>
      <c r="AI60">
        <v>1.87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0.15</v>
      </c>
      <c r="AU60" t="s">
        <v>3</v>
      </c>
      <c r="AV60">
        <v>0</v>
      </c>
      <c r="AW60">
        <v>2</v>
      </c>
      <c r="AX60">
        <v>59553151</v>
      </c>
      <c r="AY60">
        <v>1</v>
      </c>
      <c r="AZ60">
        <v>0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8.5214999999999996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8.5214999999999996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X60">
        <f>ROUND(Y60*Source!I39,7)</f>
        <v>0.121545</v>
      </c>
      <c r="CY60">
        <f>AA60</f>
        <v>106.23</v>
      </c>
      <c r="CZ60">
        <f>AE60</f>
        <v>56.81</v>
      </c>
      <c r="DA60">
        <f>AI60</f>
        <v>1.87</v>
      </c>
      <c r="DB60">
        <f>ROUND(ROUND(AT60*CZ60,2),2)</f>
        <v>8.52</v>
      </c>
      <c r="DC60">
        <f>ROUND(ROUND(AT60*AG60,2),2)</f>
        <v>0</v>
      </c>
      <c r="DD60" t="s">
        <v>3</v>
      </c>
      <c r="DE60" t="s">
        <v>3</v>
      </c>
      <c r="DF60">
        <f>ROUND(ROUND(AE60*AI60,2)*CX60,2)</f>
        <v>12.91</v>
      </c>
      <c r="DG60">
        <f>ROUND(ROUND(AF60,2)*CX60,2)</f>
        <v>0</v>
      </c>
      <c r="DH60">
        <f t="shared" si="16"/>
        <v>0</v>
      </c>
      <c r="DI60">
        <f t="shared" si="17"/>
        <v>0</v>
      </c>
      <c r="DJ60">
        <f>DF60</f>
        <v>12.91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ROW(Source!A39)</f>
        <v>39</v>
      </c>
      <c r="B61">
        <v>59552816</v>
      </c>
      <c r="C61">
        <v>59553145</v>
      </c>
      <c r="D61">
        <v>0</v>
      </c>
      <c r="E61">
        <v>0</v>
      </c>
      <c r="F61">
        <v>1</v>
      </c>
      <c r="G61">
        <v>1</v>
      </c>
      <c r="H61">
        <v>3</v>
      </c>
      <c r="I61" t="s">
        <v>326</v>
      </c>
      <c r="J61" t="s">
        <v>3</v>
      </c>
      <c r="K61" t="s">
        <v>359</v>
      </c>
      <c r="L61">
        <v>1348</v>
      </c>
      <c r="N61">
        <v>1009</v>
      </c>
      <c r="O61" t="s">
        <v>281</v>
      </c>
      <c r="P61" t="s">
        <v>281</v>
      </c>
      <c r="Q61">
        <v>1000</v>
      </c>
      <c r="W61">
        <v>0</v>
      </c>
      <c r="X61">
        <v>-738615024</v>
      </c>
      <c r="Y61">
        <f>AT61</f>
        <v>2.9000000000000001E-2</v>
      </c>
      <c r="AA61">
        <v>92670</v>
      </c>
      <c r="AB61">
        <v>0</v>
      </c>
      <c r="AC61">
        <v>0</v>
      </c>
      <c r="AD61">
        <v>0</v>
      </c>
      <c r="AE61">
        <v>92670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0</v>
      </c>
      <c r="AN61">
        <v>0</v>
      </c>
      <c r="AO61">
        <v>0</v>
      </c>
      <c r="AP61">
        <v>2</v>
      </c>
      <c r="AQ61">
        <v>1</v>
      </c>
      <c r="AR61">
        <v>0</v>
      </c>
      <c r="AS61" t="s">
        <v>3</v>
      </c>
      <c r="AT61">
        <v>2.9000000000000001E-2</v>
      </c>
      <c r="AU61" t="s">
        <v>3</v>
      </c>
      <c r="AV61">
        <v>0</v>
      </c>
      <c r="AW61">
        <v>1</v>
      </c>
      <c r="AX61">
        <v>-1</v>
      </c>
      <c r="AY61">
        <v>0</v>
      </c>
      <c r="AZ61">
        <v>0</v>
      </c>
      <c r="BA61" t="s">
        <v>3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2687.4300000000003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2687.4300000000003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X61">
        <f>ROUND(Y61*Source!I39,7)</f>
        <v>2.3498700000000001E-2</v>
      </c>
      <c r="CY61">
        <f>AA61</f>
        <v>92670</v>
      </c>
      <c r="CZ61">
        <f>AE61</f>
        <v>92670</v>
      </c>
      <c r="DA61">
        <f>AI61</f>
        <v>1</v>
      </c>
      <c r="DB61">
        <f>ROUND(ROUND(AT61*CZ61,2),2)</f>
        <v>2687.43</v>
      </c>
      <c r="DC61">
        <f>ROUND(ROUND(AT61*AG61,2),2)</f>
        <v>0</v>
      </c>
      <c r="DD61" t="s">
        <v>3</v>
      </c>
      <c r="DE61" t="s">
        <v>3</v>
      </c>
      <c r="DF61">
        <f>ROUND(ROUND(AE61,2)*CX61,2)</f>
        <v>2177.62</v>
      </c>
      <c r="DG61">
        <f>ROUND(ROUND(AF61,2)*CX61,2)</f>
        <v>0</v>
      </c>
      <c r="DH61">
        <f t="shared" si="16"/>
        <v>0</v>
      </c>
      <c r="DI61">
        <f t="shared" si="17"/>
        <v>0</v>
      </c>
      <c r="DJ61">
        <f>DF61</f>
        <v>2177.62</v>
      </c>
      <c r="DK61">
        <v>2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ROW(Source!A40)</f>
        <v>40</v>
      </c>
      <c r="B62">
        <v>59552816</v>
      </c>
      <c r="C62">
        <v>59553153</v>
      </c>
      <c r="D62">
        <v>57987313</v>
      </c>
      <c r="E62">
        <v>107</v>
      </c>
      <c r="F62">
        <v>1</v>
      </c>
      <c r="G62">
        <v>1</v>
      </c>
      <c r="H62">
        <v>1</v>
      </c>
      <c r="I62" t="s">
        <v>357</v>
      </c>
      <c r="J62" t="s">
        <v>3</v>
      </c>
      <c r="K62" t="s">
        <v>358</v>
      </c>
      <c r="L62">
        <v>1191</v>
      </c>
      <c r="N62">
        <v>1013</v>
      </c>
      <c r="O62" t="s">
        <v>278</v>
      </c>
      <c r="P62" t="s">
        <v>278</v>
      </c>
      <c r="Q62">
        <v>1</v>
      </c>
      <c r="W62">
        <v>0</v>
      </c>
      <c r="X62">
        <v>1608048003</v>
      </c>
      <c r="Y62">
        <f>(AT62*ROUND(1.15,7))</f>
        <v>17.25</v>
      </c>
      <c r="AA62">
        <v>0</v>
      </c>
      <c r="AB62">
        <v>0</v>
      </c>
      <c r="AC62">
        <v>0</v>
      </c>
      <c r="AD62">
        <v>264.10000000000002</v>
      </c>
      <c r="AE62">
        <v>0</v>
      </c>
      <c r="AF62">
        <v>0</v>
      </c>
      <c r="AG62">
        <v>0</v>
      </c>
      <c r="AH62">
        <v>264.10000000000002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15</v>
      </c>
      <c r="AU62" t="s">
        <v>29</v>
      </c>
      <c r="AV62">
        <v>1</v>
      </c>
      <c r="AW62">
        <v>2</v>
      </c>
      <c r="AX62">
        <v>59553154</v>
      </c>
      <c r="AY62">
        <v>1</v>
      </c>
      <c r="AZ62">
        <v>0</v>
      </c>
      <c r="BA62">
        <v>62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3961.5000000000005</v>
      </c>
      <c r="BN62">
        <v>15</v>
      </c>
      <c r="BO62">
        <v>0</v>
      </c>
      <c r="BP62">
        <v>1</v>
      </c>
      <c r="BQ62">
        <v>0</v>
      </c>
      <c r="BR62">
        <v>0</v>
      </c>
      <c r="BS62">
        <v>0</v>
      </c>
      <c r="BT62">
        <v>4555.7250000000004</v>
      </c>
      <c r="BU62">
        <v>17.25</v>
      </c>
      <c r="BV62">
        <v>0</v>
      </c>
      <c r="BW62">
        <v>1</v>
      </c>
      <c r="CX62">
        <f>ROUND(Y62*Source!I40,7)</f>
        <v>11.2125</v>
      </c>
      <c r="CY62">
        <f>AD62</f>
        <v>264.10000000000002</v>
      </c>
      <c r="CZ62">
        <f>AH62</f>
        <v>264.10000000000002</v>
      </c>
      <c r="DA62">
        <f>AL62</f>
        <v>1</v>
      </c>
      <c r="DB62">
        <f>ROUND((ROUND(AT62*CZ62,2)*ROUND(1.15,7)),2)</f>
        <v>4555.7299999999996</v>
      </c>
      <c r="DC62">
        <f>ROUND((ROUND(AT62*AG62,2)*ROUND(1.15,7)),2)</f>
        <v>0</v>
      </c>
      <c r="DD62" t="s">
        <v>3</v>
      </c>
      <c r="DE62" t="s">
        <v>3</v>
      </c>
      <c r="DF62">
        <f>ROUND(ROUND(AE62,2)*CX62,2)</f>
        <v>0</v>
      </c>
      <c r="DG62">
        <f>ROUND(ROUND(AF62,2)*CX62,2)</f>
        <v>0</v>
      </c>
      <c r="DH62">
        <f t="shared" si="16"/>
        <v>0</v>
      </c>
      <c r="DI62">
        <f t="shared" si="17"/>
        <v>2961.22</v>
      </c>
      <c r="DJ62">
        <f>DI62</f>
        <v>2961.22</v>
      </c>
      <c r="DK62">
        <v>1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ROW(Source!A40)</f>
        <v>40</v>
      </c>
      <c r="B63">
        <v>59552816</v>
      </c>
      <c r="C63">
        <v>59553153</v>
      </c>
      <c r="D63">
        <v>57987490</v>
      </c>
      <c r="E63">
        <v>107</v>
      </c>
      <c r="F63">
        <v>1</v>
      </c>
      <c r="G63">
        <v>1</v>
      </c>
      <c r="H63">
        <v>1</v>
      </c>
      <c r="I63" t="s">
        <v>284</v>
      </c>
      <c r="J63" t="s">
        <v>3</v>
      </c>
      <c r="K63" t="s">
        <v>285</v>
      </c>
      <c r="L63">
        <v>1191</v>
      </c>
      <c r="N63">
        <v>1013</v>
      </c>
      <c r="O63" t="s">
        <v>278</v>
      </c>
      <c r="P63" t="s">
        <v>278</v>
      </c>
      <c r="Q63">
        <v>1</v>
      </c>
      <c r="W63">
        <v>0</v>
      </c>
      <c r="X63">
        <v>-1417349443</v>
      </c>
      <c r="Y63">
        <f>(AT63*ROUND(1.25,7))</f>
        <v>6.25E-2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3</v>
      </c>
      <c r="AT63">
        <v>0.05</v>
      </c>
      <c r="AU63" t="s">
        <v>28</v>
      </c>
      <c r="AV63">
        <v>2</v>
      </c>
      <c r="AW63">
        <v>2</v>
      </c>
      <c r="AX63">
        <v>59553155</v>
      </c>
      <c r="AY63">
        <v>1</v>
      </c>
      <c r="AZ63">
        <v>0</v>
      </c>
      <c r="BA63">
        <v>63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0.05</v>
      </c>
      <c r="BP63">
        <v>1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6.25E-2</v>
      </c>
      <c r="BW63">
        <v>1</v>
      </c>
      <c r="CX63">
        <f>ROUND(Y63*Source!I40,7)</f>
        <v>4.0625000000000001E-2</v>
      </c>
      <c r="CY63">
        <f>AD63</f>
        <v>0</v>
      </c>
      <c r="CZ63">
        <f>AH63</f>
        <v>0</v>
      </c>
      <c r="DA63">
        <f>AL63</f>
        <v>1</v>
      </c>
      <c r="DB63">
        <f>ROUND((ROUND(AT63*CZ63,2)*ROUND(1.25,7)),2)</f>
        <v>0</v>
      </c>
      <c r="DC63">
        <f>ROUND((ROUND(AT63*AG63,2)*ROUND(1.25,7)),2)</f>
        <v>0</v>
      </c>
      <c r="DD63" t="s">
        <v>3</v>
      </c>
      <c r="DE63" t="s">
        <v>3</v>
      </c>
      <c r="DF63">
        <f>ROUND(ROUND(AE63,2)*CX63,2)</f>
        <v>0</v>
      </c>
      <c r="DG63">
        <f>ROUND(ROUND(AF63,2)*CX63,2)</f>
        <v>0</v>
      </c>
      <c r="DH63">
        <f t="shared" si="16"/>
        <v>0</v>
      </c>
      <c r="DI63">
        <f t="shared" si="17"/>
        <v>0</v>
      </c>
      <c r="DJ63">
        <f>DI63</f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ROW(Source!A40)</f>
        <v>40</v>
      </c>
      <c r="B64">
        <v>59552816</v>
      </c>
      <c r="C64">
        <v>59553153</v>
      </c>
      <c r="D64">
        <v>58107260</v>
      </c>
      <c r="E64">
        <v>1</v>
      </c>
      <c r="F64">
        <v>1</v>
      </c>
      <c r="G64">
        <v>1</v>
      </c>
      <c r="H64">
        <v>2</v>
      </c>
      <c r="I64" t="s">
        <v>286</v>
      </c>
      <c r="J64" t="s">
        <v>287</v>
      </c>
      <c r="K64" t="s">
        <v>288</v>
      </c>
      <c r="L64">
        <v>1368</v>
      </c>
      <c r="N64">
        <v>1011</v>
      </c>
      <c r="O64" t="s">
        <v>289</v>
      </c>
      <c r="P64" t="s">
        <v>289</v>
      </c>
      <c r="Q64">
        <v>1</v>
      </c>
      <c r="W64">
        <v>0</v>
      </c>
      <c r="X64">
        <v>-275119293</v>
      </c>
      <c r="Y64">
        <f>(AT64*ROUND(1.25,7))</f>
        <v>1.2500000000000001E-2</v>
      </c>
      <c r="AA64">
        <v>0</v>
      </c>
      <c r="AB64">
        <v>48.89</v>
      </c>
      <c r="AC64">
        <v>237.19</v>
      </c>
      <c r="AD64">
        <v>0</v>
      </c>
      <c r="AE64">
        <v>0</v>
      </c>
      <c r="AF64">
        <v>37.32</v>
      </c>
      <c r="AG64">
        <v>237.19</v>
      </c>
      <c r="AH64">
        <v>0</v>
      </c>
      <c r="AI64">
        <v>1</v>
      </c>
      <c r="AJ64">
        <v>1.31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1</v>
      </c>
      <c r="AQ64">
        <v>1</v>
      </c>
      <c r="AR64">
        <v>0</v>
      </c>
      <c r="AS64" t="s">
        <v>3</v>
      </c>
      <c r="AT64">
        <v>0.01</v>
      </c>
      <c r="AU64" t="s">
        <v>28</v>
      </c>
      <c r="AV64">
        <v>1</v>
      </c>
      <c r="AW64">
        <v>2</v>
      </c>
      <c r="AX64">
        <v>59553156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0.37320000000000003</v>
      </c>
      <c r="BL64">
        <v>2.3719000000000001</v>
      </c>
      <c r="BM64">
        <v>0</v>
      </c>
      <c r="BN64">
        <v>0</v>
      </c>
      <c r="BO64">
        <v>0</v>
      </c>
      <c r="BP64">
        <v>1</v>
      </c>
      <c r="BQ64">
        <v>0</v>
      </c>
      <c r="BR64">
        <v>0.46650000000000003</v>
      </c>
      <c r="BS64">
        <v>2.9648750000000001</v>
      </c>
      <c r="BT64">
        <v>0</v>
      </c>
      <c r="BU64">
        <v>0</v>
      </c>
      <c r="BV64">
        <v>0</v>
      </c>
      <c r="BW64">
        <v>1</v>
      </c>
      <c r="CX64">
        <f>ROUND(Y64*Source!I40,7)</f>
        <v>8.1250000000000003E-3</v>
      </c>
      <c r="CY64">
        <f>AB64</f>
        <v>48.89</v>
      </c>
      <c r="CZ64">
        <f>AF64</f>
        <v>37.32</v>
      </c>
      <c r="DA64">
        <f>AJ64</f>
        <v>1.31</v>
      </c>
      <c r="DB64">
        <f>ROUND((ROUND(AT64*CZ64,2)*ROUND(1.25,7)),2)</f>
        <v>0.46</v>
      </c>
      <c r="DC64">
        <f>ROUND((ROUND(AT64*AG64,2)*ROUND(1.25,7)),2)</f>
        <v>2.96</v>
      </c>
      <c r="DD64" t="s">
        <v>3</v>
      </c>
      <c r="DE64" t="s">
        <v>3</v>
      </c>
      <c r="DF64">
        <f>ROUND(ROUND(AE64,2)*CX64,2)</f>
        <v>0</v>
      </c>
      <c r="DG64">
        <f>ROUND(ROUND(AF64*AJ64,2)*CX64,2)</f>
        <v>0.4</v>
      </c>
      <c r="DH64">
        <f t="shared" si="16"/>
        <v>1.93</v>
      </c>
      <c r="DI64">
        <f t="shared" si="17"/>
        <v>0</v>
      </c>
      <c r="DJ64">
        <f>DG64+DH64</f>
        <v>2.33</v>
      </c>
      <c r="DK64">
        <v>1</v>
      </c>
      <c r="DL64" t="s">
        <v>290</v>
      </c>
      <c r="DM64">
        <v>3</v>
      </c>
      <c r="DN64" t="s">
        <v>278</v>
      </c>
      <c r="DO64">
        <v>1</v>
      </c>
    </row>
    <row r="65" spans="1:119" x14ac:dyDescent="0.2">
      <c r="A65">
        <f>ROW(Source!A40)</f>
        <v>40</v>
      </c>
      <c r="B65">
        <v>59552816</v>
      </c>
      <c r="C65">
        <v>59553153</v>
      </c>
      <c r="D65">
        <v>58107956</v>
      </c>
      <c r="E65">
        <v>1</v>
      </c>
      <c r="F65">
        <v>1</v>
      </c>
      <c r="G65">
        <v>1</v>
      </c>
      <c r="H65">
        <v>2</v>
      </c>
      <c r="I65" t="s">
        <v>291</v>
      </c>
      <c r="J65" t="s">
        <v>292</v>
      </c>
      <c r="K65" t="s">
        <v>293</v>
      </c>
      <c r="L65">
        <v>1368</v>
      </c>
      <c r="N65">
        <v>1011</v>
      </c>
      <c r="O65" t="s">
        <v>289</v>
      </c>
      <c r="P65" t="s">
        <v>289</v>
      </c>
      <c r="Q65">
        <v>1</v>
      </c>
      <c r="W65">
        <v>0</v>
      </c>
      <c r="X65">
        <v>-1755708642</v>
      </c>
      <c r="Y65">
        <f>(AT65*ROUND(1.25,7))</f>
        <v>0.05</v>
      </c>
      <c r="AA65">
        <v>0</v>
      </c>
      <c r="AB65">
        <v>540.04999999999995</v>
      </c>
      <c r="AC65">
        <v>267.08999999999997</v>
      </c>
      <c r="AD65">
        <v>0</v>
      </c>
      <c r="AE65">
        <v>0</v>
      </c>
      <c r="AF65">
        <v>477.92</v>
      </c>
      <c r="AG65">
        <v>267.08999999999997</v>
      </c>
      <c r="AH65">
        <v>0</v>
      </c>
      <c r="AI65">
        <v>1</v>
      </c>
      <c r="AJ65">
        <v>1.1299999999999999</v>
      </c>
      <c r="AK65">
        <v>1</v>
      </c>
      <c r="AL65">
        <v>1</v>
      </c>
      <c r="AM65">
        <v>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0.04</v>
      </c>
      <c r="AU65" t="s">
        <v>28</v>
      </c>
      <c r="AV65">
        <v>1</v>
      </c>
      <c r="AW65">
        <v>2</v>
      </c>
      <c r="AX65">
        <v>59553157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19.116800000000001</v>
      </c>
      <c r="BL65">
        <v>10.683599999999998</v>
      </c>
      <c r="BM65">
        <v>0</v>
      </c>
      <c r="BN65">
        <v>0</v>
      </c>
      <c r="BO65">
        <v>0</v>
      </c>
      <c r="BP65">
        <v>1</v>
      </c>
      <c r="BQ65">
        <v>0</v>
      </c>
      <c r="BR65">
        <v>23.896000000000001</v>
      </c>
      <c r="BS65">
        <v>13.3545</v>
      </c>
      <c r="BT65">
        <v>0</v>
      </c>
      <c r="BU65">
        <v>0</v>
      </c>
      <c r="BV65">
        <v>0</v>
      </c>
      <c r="BW65">
        <v>1</v>
      </c>
      <c r="CX65">
        <f>ROUND(Y65*Source!I40,7)</f>
        <v>3.2500000000000001E-2</v>
      </c>
      <c r="CY65">
        <f>AB65</f>
        <v>540.04999999999995</v>
      </c>
      <c r="CZ65">
        <f>AF65</f>
        <v>477.92</v>
      </c>
      <c r="DA65">
        <f>AJ65</f>
        <v>1.1299999999999999</v>
      </c>
      <c r="DB65">
        <f>ROUND((ROUND(AT65*CZ65,2)*ROUND(1.25,7)),2)</f>
        <v>23.9</v>
      </c>
      <c r="DC65">
        <f>ROUND((ROUND(AT65*AG65,2)*ROUND(1.25,7)),2)</f>
        <v>13.35</v>
      </c>
      <c r="DD65" t="s">
        <v>3</v>
      </c>
      <c r="DE65" t="s">
        <v>3</v>
      </c>
      <c r="DF65">
        <f>ROUND(ROUND(AE65,2)*CX65,2)</f>
        <v>0</v>
      </c>
      <c r="DG65">
        <f>ROUND(ROUND(AF65*AJ65,2)*CX65,2)</f>
        <v>17.55</v>
      </c>
      <c r="DH65">
        <f t="shared" ref="DH65:DH96" si="20">ROUND(ROUND(AG65,2)*CX65,2)</f>
        <v>8.68</v>
      </c>
      <c r="DI65">
        <f t="shared" ref="DI65:DI96" si="21">ROUND(ROUND(AH65,2)*CX65,2)</f>
        <v>0</v>
      </c>
      <c r="DJ65">
        <f>DG65+DH65</f>
        <v>26.23</v>
      </c>
      <c r="DK65">
        <v>1</v>
      </c>
      <c r="DL65" t="s">
        <v>294</v>
      </c>
      <c r="DM65">
        <v>4</v>
      </c>
      <c r="DN65" t="s">
        <v>278</v>
      </c>
      <c r="DO65">
        <v>1</v>
      </c>
    </row>
    <row r="66" spans="1:119" x14ac:dyDescent="0.2">
      <c r="A66">
        <f>ROW(Source!A40)</f>
        <v>40</v>
      </c>
      <c r="B66">
        <v>59552816</v>
      </c>
      <c r="C66">
        <v>59553153</v>
      </c>
      <c r="D66">
        <v>58063386</v>
      </c>
      <c r="E66">
        <v>1</v>
      </c>
      <c r="F66">
        <v>1</v>
      </c>
      <c r="G66">
        <v>1</v>
      </c>
      <c r="H66">
        <v>3</v>
      </c>
      <c r="I66" t="s">
        <v>352</v>
      </c>
      <c r="J66" t="s">
        <v>353</v>
      </c>
      <c r="K66" t="s">
        <v>354</v>
      </c>
      <c r="L66">
        <v>1327</v>
      </c>
      <c r="N66">
        <v>1005</v>
      </c>
      <c r="O66" t="s">
        <v>49</v>
      </c>
      <c r="P66" t="s">
        <v>49</v>
      </c>
      <c r="Q66">
        <v>1</v>
      </c>
      <c r="W66">
        <v>0</v>
      </c>
      <c r="X66">
        <v>-56027178</v>
      </c>
      <c r="Y66">
        <f>AT66</f>
        <v>4.4000000000000004</v>
      </c>
      <c r="AA66">
        <v>542.07000000000005</v>
      </c>
      <c r="AB66">
        <v>0</v>
      </c>
      <c r="AC66">
        <v>0</v>
      </c>
      <c r="AD66">
        <v>0</v>
      </c>
      <c r="AE66">
        <v>531.44000000000005</v>
      </c>
      <c r="AF66">
        <v>0</v>
      </c>
      <c r="AG66">
        <v>0</v>
      </c>
      <c r="AH66">
        <v>0</v>
      </c>
      <c r="AI66">
        <v>1.02</v>
      </c>
      <c r="AJ66">
        <v>1</v>
      </c>
      <c r="AK66">
        <v>1</v>
      </c>
      <c r="AL66">
        <v>1</v>
      </c>
      <c r="AM66">
        <v>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4.4000000000000004</v>
      </c>
      <c r="AU66" t="s">
        <v>3</v>
      </c>
      <c r="AV66">
        <v>0</v>
      </c>
      <c r="AW66">
        <v>2</v>
      </c>
      <c r="AX66">
        <v>59553158</v>
      </c>
      <c r="AY66">
        <v>1</v>
      </c>
      <c r="AZ66">
        <v>0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2338.3360000000002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2338.3360000000002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CX66">
        <f>ROUND(Y66*Source!I40,7)</f>
        <v>2.86</v>
      </c>
      <c r="CY66">
        <f>AA66</f>
        <v>542.07000000000005</v>
      </c>
      <c r="CZ66">
        <f>AE66</f>
        <v>531.44000000000005</v>
      </c>
      <c r="DA66">
        <f>AI66</f>
        <v>1.02</v>
      </c>
      <c r="DB66">
        <f>ROUND(ROUND(AT66*CZ66,2),2)</f>
        <v>2338.34</v>
      </c>
      <c r="DC66">
        <f>ROUND(ROUND(AT66*AG66,2),2)</f>
        <v>0</v>
      </c>
      <c r="DD66" t="s">
        <v>3</v>
      </c>
      <c r="DE66" t="s">
        <v>3</v>
      </c>
      <c r="DF66">
        <f>ROUND(ROUND(AE66*AI66,2)*CX66,2)</f>
        <v>1550.32</v>
      </c>
      <c r="DG66">
        <f>ROUND(ROUND(AF66,2)*CX66,2)</f>
        <v>0</v>
      </c>
      <c r="DH66">
        <f t="shared" si="20"/>
        <v>0</v>
      </c>
      <c r="DI66">
        <f t="shared" si="21"/>
        <v>0</v>
      </c>
      <c r="DJ66">
        <f>DF66</f>
        <v>1550.32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ROW(Source!A40)</f>
        <v>40</v>
      </c>
      <c r="B67">
        <v>59552816</v>
      </c>
      <c r="C67">
        <v>59553153</v>
      </c>
      <c r="D67">
        <v>58063712</v>
      </c>
      <c r="E67">
        <v>1</v>
      </c>
      <c r="F67">
        <v>1</v>
      </c>
      <c r="G67">
        <v>1</v>
      </c>
      <c r="H67">
        <v>3</v>
      </c>
      <c r="I67" t="s">
        <v>333</v>
      </c>
      <c r="J67" t="s">
        <v>334</v>
      </c>
      <c r="K67" t="s">
        <v>335</v>
      </c>
      <c r="L67">
        <v>1346</v>
      </c>
      <c r="N67">
        <v>1009</v>
      </c>
      <c r="O67" t="s">
        <v>336</v>
      </c>
      <c r="P67" t="s">
        <v>336</v>
      </c>
      <c r="Q67">
        <v>1</v>
      </c>
      <c r="W67">
        <v>0</v>
      </c>
      <c r="X67">
        <v>-132351515</v>
      </c>
      <c r="Y67">
        <f>AT67</f>
        <v>0.15</v>
      </c>
      <c r="AA67">
        <v>106.23</v>
      </c>
      <c r="AB67">
        <v>0</v>
      </c>
      <c r="AC67">
        <v>0</v>
      </c>
      <c r="AD67">
        <v>0</v>
      </c>
      <c r="AE67">
        <v>56.81</v>
      </c>
      <c r="AF67">
        <v>0</v>
      </c>
      <c r="AG67">
        <v>0</v>
      </c>
      <c r="AH67">
        <v>0</v>
      </c>
      <c r="AI67">
        <v>1.87</v>
      </c>
      <c r="AJ67">
        <v>1</v>
      </c>
      <c r="AK67">
        <v>1</v>
      </c>
      <c r="AL67">
        <v>1</v>
      </c>
      <c r="AM67">
        <v>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0.15</v>
      </c>
      <c r="AU67" t="s">
        <v>3</v>
      </c>
      <c r="AV67">
        <v>0</v>
      </c>
      <c r="AW67">
        <v>2</v>
      </c>
      <c r="AX67">
        <v>59553159</v>
      </c>
      <c r="AY67">
        <v>1</v>
      </c>
      <c r="AZ67">
        <v>0</v>
      </c>
      <c r="BA67">
        <v>67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8.5214999999999996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8.5214999999999996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CX67">
        <f>ROUND(Y67*Source!I40,7)</f>
        <v>9.7500000000000003E-2</v>
      </c>
      <c r="CY67">
        <f>AA67</f>
        <v>106.23</v>
      </c>
      <c r="CZ67">
        <f>AE67</f>
        <v>56.81</v>
      </c>
      <c r="DA67">
        <f>AI67</f>
        <v>1.87</v>
      </c>
      <c r="DB67">
        <f>ROUND(ROUND(AT67*CZ67,2),2)</f>
        <v>8.52</v>
      </c>
      <c r="DC67">
        <f>ROUND(ROUND(AT67*AG67,2),2)</f>
        <v>0</v>
      </c>
      <c r="DD67" t="s">
        <v>3</v>
      </c>
      <c r="DE67" t="s">
        <v>3</v>
      </c>
      <c r="DF67">
        <f>ROUND(ROUND(AE67*AI67,2)*CX67,2)</f>
        <v>10.36</v>
      </c>
      <c r="DG67">
        <f>ROUND(ROUND(AF67,2)*CX67,2)</f>
        <v>0</v>
      </c>
      <c r="DH67">
        <f t="shared" si="20"/>
        <v>0</v>
      </c>
      <c r="DI67">
        <f t="shared" si="21"/>
        <v>0</v>
      </c>
      <c r="DJ67">
        <f>DF67</f>
        <v>10.36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ROW(Source!A40)</f>
        <v>40</v>
      </c>
      <c r="B68">
        <v>59552816</v>
      </c>
      <c r="C68">
        <v>59553153</v>
      </c>
      <c r="D68">
        <v>0</v>
      </c>
      <c r="E68">
        <v>0</v>
      </c>
      <c r="F68">
        <v>1</v>
      </c>
      <c r="G68">
        <v>1</v>
      </c>
      <c r="H68">
        <v>3</v>
      </c>
      <c r="I68" t="s">
        <v>326</v>
      </c>
      <c r="J68" t="s">
        <v>3</v>
      </c>
      <c r="K68" t="s">
        <v>359</v>
      </c>
      <c r="L68">
        <v>1348</v>
      </c>
      <c r="N68">
        <v>1009</v>
      </c>
      <c r="O68" t="s">
        <v>281</v>
      </c>
      <c r="P68" t="s">
        <v>281</v>
      </c>
      <c r="Q68">
        <v>1000</v>
      </c>
      <c r="W68">
        <v>0</v>
      </c>
      <c r="X68">
        <v>-738615024</v>
      </c>
      <c r="Y68">
        <f>AT68</f>
        <v>3.2000000000000001E-2</v>
      </c>
      <c r="AA68">
        <v>92670</v>
      </c>
      <c r="AB68">
        <v>0</v>
      </c>
      <c r="AC68">
        <v>0</v>
      </c>
      <c r="AD68">
        <v>0</v>
      </c>
      <c r="AE68">
        <v>92670</v>
      </c>
      <c r="AF68">
        <v>0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0</v>
      </c>
      <c r="AN68">
        <v>0</v>
      </c>
      <c r="AO68">
        <v>0</v>
      </c>
      <c r="AP68">
        <v>2</v>
      </c>
      <c r="AQ68">
        <v>1</v>
      </c>
      <c r="AR68">
        <v>0</v>
      </c>
      <c r="AS68" t="s">
        <v>3</v>
      </c>
      <c r="AT68">
        <v>3.2000000000000001E-2</v>
      </c>
      <c r="AU68" t="s">
        <v>3</v>
      </c>
      <c r="AV68">
        <v>0</v>
      </c>
      <c r="AW68">
        <v>1</v>
      </c>
      <c r="AX68">
        <v>-1</v>
      </c>
      <c r="AY68">
        <v>0</v>
      </c>
      <c r="AZ68">
        <v>0</v>
      </c>
      <c r="BA68" t="s">
        <v>3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2965.44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2965.44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CX68">
        <f>ROUND(Y68*Source!I40,7)</f>
        <v>2.0799999999999999E-2</v>
      </c>
      <c r="CY68">
        <f>AA68</f>
        <v>92670</v>
      </c>
      <c r="CZ68">
        <f>AE68</f>
        <v>92670</v>
      </c>
      <c r="DA68">
        <f>AI68</f>
        <v>1</v>
      </c>
      <c r="DB68">
        <f>ROUND(ROUND(AT68*CZ68,2),2)</f>
        <v>2965.44</v>
      </c>
      <c r="DC68">
        <f>ROUND(ROUND(AT68*AG68,2),2)</f>
        <v>0</v>
      </c>
      <c r="DD68" t="s">
        <v>3</v>
      </c>
      <c r="DE68" t="s">
        <v>3</v>
      </c>
      <c r="DF68">
        <f>ROUND(ROUND(AE68,2)*CX68,2)</f>
        <v>1927.54</v>
      </c>
      <c r="DG68">
        <f>ROUND(ROUND(AF68,2)*CX68,2)</f>
        <v>0</v>
      </c>
      <c r="DH68">
        <f t="shared" si="20"/>
        <v>0</v>
      </c>
      <c r="DI68">
        <f t="shared" si="21"/>
        <v>0</v>
      </c>
      <c r="DJ68">
        <f>DF68</f>
        <v>1927.54</v>
      </c>
      <c r="DK68">
        <v>2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ROW(Source!A41)</f>
        <v>41</v>
      </c>
      <c r="B69">
        <v>59552816</v>
      </c>
      <c r="C69">
        <v>59553021</v>
      </c>
      <c r="D69">
        <v>57987293</v>
      </c>
      <c r="E69">
        <v>107</v>
      </c>
      <c r="F69">
        <v>1</v>
      </c>
      <c r="G69">
        <v>1</v>
      </c>
      <c r="H69">
        <v>1</v>
      </c>
      <c r="I69" t="s">
        <v>347</v>
      </c>
      <c r="J69" t="s">
        <v>3</v>
      </c>
      <c r="K69" t="s">
        <v>348</v>
      </c>
      <c r="L69">
        <v>1191</v>
      </c>
      <c r="N69">
        <v>1013</v>
      </c>
      <c r="O69" t="s">
        <v>278</v>
      </c>
      <c r="P69" t="s">
        <v>278</v>
      </c>
      <c r="Q69">
        <v>1</v>
      </c>
      <c r="W69">
        <v>0</v>
      </c>
      <c r="X69">
        <v>784619160</v>
      </c>
      <c r="Y69">
        <f>(AT69*ROUND(1.15,7))</f>
        <v>72.449999999999989</v>
      </c>
      <c r="AA69">
        <v>0</v>
      </c>
      <c r="AB69">
        <v>0</v>
      </c>
      <c r="AC69">
        <v>0</v>
      </c>
      <c r="AD69">
        <v>243.17</v>
      </c>
      <c r="AE69">
        <v>0</v>
      </c>
      <c r="AF69">
        <v>0</v>
      </c>
      <c r="AG69">
        <v>0</v>
      </c>
      <c r="AH69">
        <v>243.17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63</v>
      </c>
      <c r="AU69" t="s">
        <v>29</v>
      </c>
      <c r="AV69">
        <v>1</v>
      </c>
      <c r="AW69">
        <v>2</v>
      </c>
      <c r="AX69">
        <v>59553022</v>
      </c>
      <c r="AY69">
        <v>1</v>
      </c>
      <c r="AZ69">
        <v>0</v>
      </c>
      <c r="BA69">
        <v>69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15319.71</v>
      </c>
      <c r="BN69">
        <v>63</v>
      </c>
      <c r="BO69">
        <v>0</v>
      </c>
      <c r="BP69">
        <v>1</v>
      </c>
      <c r="BQ69">
        <v>0</v>
      </c>
      <c r="BR69">
        <v>0</v>
      </c>
      <c r="BS69">
        <v>0</v>
      </c>
      <c r="BT69">
        <v>17617.666499999996</v>
      </c>
      <c r="BU69">
        <v>72.449999999999989</v>
      </c>
      <c r="BV69">
        <v>0</v>
      </c>
      <c r="BW69">
        <v>1</v>
      </c>
      <c r="CX69">
        <f>ROUND(Y69*Source!I41,7)</f>
        <v>47.092500000000001</v>
      </c>
      <c r="CY69">
        <f>AD69</f>
        <v>243.17</v>
      </c>
      <c r="CZ69">
        <f>AH69</f>
        <v>243.17</v>
      </c>
      <c r="DA69">
        <f>AL69</f>
        <v>1</v>
      </c>
      <c r="DB69">
        <f>ROUND((ROUND(AT69*CZ69,2)*ROUND(1.15,7)),2)</f>
        <v>17617.669999999998</v>
      </c>
      <c r="DC69">
        <f>ROUND((ROUND(AT69*AG69,2)*ROUND(1.15,7)),2)</f>
        <v>0</v>
      </c>
      <c r="DD69" t="s">
        <v>3</v>
      </c>
      <c r="DE69" t="s">
        <v>3</v>
      </c>
      <c r="DF69">
        <f>ROUND(ROUND(AE69,2)*CX69,2)</f>
        <v>0</v>
      </c>
      <c r="DG69">
        <f>ROUND(ROUND(AF69,2)*CX69,2)</f>
        <v>0</v>
      </c>
      <c r="DH69">
        <f t="shared" si="20"/>
        <v>0</v>
      </c>
      <c r="DI69">
        <f t="shared" si="21"/>
        <v>11451.48</v>
      </c>
      <c r="DJ69">
        <f>DI69</f>
        <v>11451.48</v>
      </c>
      <c r="DK69">
        <v>1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ROW(Source!A41)</f>
        <v>41</v>
      </c>
      <c r="B70">
        <v>59552816</v>
      </c>
      <c r="C70">
        <v>59553021</v>
      </c>
      <c r="D70">
        <v>57987490</v>
      </c>
      <c r="E70">
        <v>107</v>
      </c>
      <c r="F70">
        <v>1</v>
      </c>
      <c r="G70">
        <v>1</v>
      </c>
      <c r="H70">
        <v>1</v>
      </c>
      <c r="I70" t="s">
        <v>284</v>
      </c>
      <c r="J70" t="s">
        <v>3</v>
      </c>
      <c r="K70" t="s">
        <v>285</v>
      </c>
      <c r="L70">
        <v>1191</v>
      </c>
      <c r="N70">
        <v>1013</v>
      </c>
      <c r="O70" t="s">
        <v>278</v>
      </c>
      <c r="P70" t="s">
        <v>278</v>
      </c>
      <c r="Q70">
        <v>1</v>
      </c>
      <c r="W70">
        <v>0</v>
      </c>
      <c r="X70">
        <v>-1417349443</v>
      </c>
      <c r="Y70">
        <f>(AT70*ROUND(1.25,7))</f>
        <v>0.22499999999999998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0.18</v>
      </c>
      <c r="AU70" t="s">
        <v>28</v>
      </c>
      <c r="AV70">
        <v>2</v>
      </c>
      <c r="AW70">
        <v>2</v>
      </c>
      <c r="AX70">
        <v>59553023</v>
      </c>
      <c r="AY70">
        <v>1</v>
      </c>
      <c r="AZ70">
        <v>0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0.18</v>
      </c>
      <c r="BP70">
        <v>1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0.22499999999999998</v>
      </c>
      <c r="BW70">
        <v>1</v>
      </c>
      <c r="CX70">
        <f>ROUND(Y70*Source!I41,7)</f>
        <v>0.14624999999999999</v>
      </c>
      <c r="CY70">
        <f>AD70</f>
        <v>0</v>
      </c>
      <c r="CZ70">
        <f>AH70</f>
        <v>0</v>
      </c>
      <c r="DA70">
        <f>AL70</f>
        <v>1</v>
      </c>
      <c r="DB70">
        <f>ROUND((ROUND(AT70*CZ70,2)*ROUND(1.25,7)),2)</f>
        <v>0</v>
      </c>
      <c r="DC70">
        <f>ROUND((ROUND(AT70*AG70,2)*ROUND(1.25,7)),2)</f>
        <v>0</v>
      </c>
      <c r="DD70" t="s">
        <v>3</v>
      </c>
      <c r="DE70" t="s">
        <v>3</v>
      </c>
      <c r="DF70">
        <f>ROUND(ROUND(AE70,2)*CX70,2)</f>
        <v>0</v>
      </c>
      <c r="DG70">
        <f>ROUND(ROUND(AF70,2)*CX70,2)</f>
        <v>0</v>
      </c>
      <c r="DH70">
        <f t="shared" si="20"/>
        <v>0</v>
      </c>
      <c r="DI70">
        <f t="shared" si="21"/>
        <v>0</v>
      </c>
      <c r="DJ70">
        <f>DI70</f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ROW(Source!A41)</f>
        <v>41</v>
      </c>
      <c r="B71">
        <v>59552816</v>
      </c>
      <c r="C71">
        <v>59553021</v>
      </c>
      <c r="D71">
        <v>58107258</v>
      </c>
      <c r="E71">
        <v>1</v>
      </c>
      <c r="F71">
        <v>1</v>
      </c>
      <c r="G71">
        <v>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289</v>
      </c>
      <c r="P71" t="s">
        <v>289</v>
      </c>
      <c r="Q71">
        <v>1</v>
      </c>
      <c r="W71">
        <v>0</v>
      </c>
      <c r="X71">
        <v>-2074700680</v>
      </c>
      <c r="Y71">
        <f>(AT71*ROUND(1.25,7))</f>
        <v>2.5000000000000001E-2</v>
      </c>
      <c r="AA71">
        <v>0</v>
      </c>
      <c r="AB71">
        <v>40.1</v>
      </c>
      <c r="AC71">
        <v>237.19</v>
      </c>
      <c r="AD71">
        <v>0</v>
      </c>
      <c r="AE71">
        <v>0</v>
      </c>
      <c r="AF71">
        <v>30.61</v>
      </c>
      <c r="AG71">
        <v>237.19</v>
      </c>
      <c r="AH71">
        <v>0</v>
      </c>
      <c r="AI71">
        <v>1</v>
      </c>
      <c r="AJ71">
        <v>1.31</v>
      </c>
      <c r="AK71">
        <v>1</v>
      </c>
      <c r="AL71">
        <v>1</v>
      </c>
      <c r="AM71">
        <v>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0.02</v>
      </c>
      <c r="AU71" t="s">
        <v>28</v>
      </c>
      <c r="AV71">
        <v>1</v>
      </c>
      <c r="AW71">
        <v>2</v>
      </c>
      <c r="AX71">
        <v>59553024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0.61219999999999997</v>
      </c>
      <c r="BL71">
        <v>4.7438000000000002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0.76524999999999999</v>
      </c>
      <c r="BS71">
        <v>5.9297500000000003</v>
      </c>
      <c r="BT71">
        <v>0</v>
      </c>
      <c r="BU71">
        <v>0</v>
      </c>
      <c r="BV71">
        <v>0</v>
      </c>
      <c r="BW71">
        <v>1</v>
      </c>
      <c r="CX71">
        <f>ROUND(Y71*Source!I41,7)</f>
        <v>1.6250000000000001E-2</v>
      </c>
      <c r="CY71">
        <f>AB71</f>
        <v>40.1</v>
      </c>
      <c r="CZ71">
        <f>AF71</f>
        <v>30.61</v>
      </c>
      <c r="DA71">
        <f>AJ71</f>
        <v>1.31</v>
      </c>
      <c r="DB71">
        <f>ROUND((ROUND(AT71*CZ71,2)*ROUND(1.25,7)),2)</f>
        <v>0.76</v>
      </c>
      <c r="DC71">
        <f>ROUND((ROUND(AT71*AG71,2)*ROUND(1.25,7)),2)</f>
        <v>5.93</v>
      </c>
      <c r="DD71" t="s">
        <v>3</v>
      </c>
      <c r="DE71" t="s">
        <v>3</v>
      </c>
      <c r="DF71">
        <f>ROUND(ROUND(AE71,2)*CX71,2)</f>
        <v>0</v>
      </c>
      <c r="DG71">
        <f>ROUND(ROUND(AF71*AJ71,2)*CX71,2)</f>
        <v>0.65</v>
      </c>
      <c r="DH71">
        <f t="shared" si="20"/>
        <v>3.85</v>
      </c>
      <c r="DI71">
        <f t="shared" si="21"/>
        <v>0</v>
      </c>
      <c r="DJ71">
        <f>DG71+DH71</f>
        <v>4.5</v>
      </c>
      <c r="DK71">
        <v>1</v>
      </c>
      <c r="DL71" t="s">
        <v>290</v>
      </c>
      <c r="DM71">
        <v>3</v>
      </c>
      <c r="DN71" t="s">
        <v>278</v>
      </c>
      <c r="DO71">
        <v>1</v>
      </c>
    </row>
    <row r="72" spans="1:119" x14ac:dyDescent="0.2">
      <c r="A72">
        <f>ROW(Source!A41)</f>
        <v>41</v>
      </c>
      <c r="B72">
        <v>59552816</v>
      </c>
      <c r="C72">
        <v>59553021</v>
      </c>
      <c r="D72">
        <v>58107956</v>
      </c>
      <c r="E72">
        <v>1</v>
      </c>
      <c r="F72">
        <v>1</v>
      </c>
      <c r="G72">
        <v>1</v>
      </c>
      <c r="H72">
        <v>2</v>
      </c>
      <c r="I72" t="s">
        <v>291</v>
      </c>
      <c r="J72" t="s">
        <v>292</v>
      </c>
      <c r="K72" t="s">
        <v>293</v>
      </c>
      <c r="L72">
        <v>1368</v>
      </c>
      <c r="N72">
        <v>1011</v>
      </c>
      <c r="O72" t="s">
        <v>289</v>
      </c>
      <c r="P72" t="s">
        <v>289</v>
      </c>
      <c r="Q72">
        <v>1</v>
      </c>
      <c r="W72">
        <v>0</v>
      </c>
      <c r="X72">
        <v>-1755708642</v>
      </c>
      <c r="Y72">
        <f>(AT72*ROUND(1.25,7))</f>
        <v>0.2</v>
      </c>
      <c r="AA72">
        <v>0</v>
      </c>
      <c r="AB72">
        <v>540.04999999999995</v>
      </c>
      <c r="AC72">
        <v>267.08999999999997</v>
      </c>
      <c r="AD72">
        <v>0</v>
      </c>
      <c r="AE72">
        <v>0</v>
      </c>
      <c r="AF72">
        <v>477.92</v>
      </c>
      <c r="AG72">
        <v>267.08999999999997</v>
      </c>
      <c r="AH72">
        <v>0</v>
      </c>
      <c r="AI72">
        <v>1</v>
      </c>
      <c r="AJ72">
        <v>1.1299999999999999</v>
      </c>
      <c r="AK72">
        <v>1</v>
      </c>
      <c r="AL72">
        <v>1</v>
      </c>
      <c r="AM72">
        <v>2</v>
      </c>
      <c r="AN72">
        <v>0</v>
      </c>
      <c r="AO72">
        <v>0</v>
      </c>
      <c r="AP72">
        <v>1</v>
      </c>
      <c r="AQ72">
        <v>1</v>
      </c>
      <c r="AR72">
        <v>0</v>
      </c>
      <c r="AS72" t="s">
        <v>3</v>
      </c>
      <c r="AT72">
        <v>0.16</v>
      </c>
      <c r="AU72" t="s">
        <v>28</v>
      </c>
      <c r="AV72">
        <v>1</v>
      </c>
      <c r="AW72">
        <v>2</v>
      </c>
      <c r="AX72">
        <v>59553025</v>
      </c>
      <c r="AY72">
        <v>1</v>
      </c>
      <c r="AZ72">
        <v>0</v>
      </c>
      <c r="BA72">
        <v>72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76.467200000000005</v>
      </c>
      <c r="BL72">
        <v>42.734399999999994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95.584000000000003</v>
      </c>
      <c r="BS72">
        <v>53.417999999999999</v>
      </c>
      <c r="BT72">
        <v>0</v>
      </c>
      <c r="BU72">
        <v>0</v>
      </c>
      <c r="BV72">
        <v>0</v>
      </c>
      <c r="BW72">
        <v>1</v>
      </c>
      <c r="CX72">
        <f>ROUND(Y72*Source!I41,7)</f>
        <v>0.13</v>
      </c>
      <c r="CY72">
        <f>AB72</f>
        <v>540.04999999999995</v>
      </c>
      <c r="CZ72">
        <f>AF72</f>
        <v>477.92</v>
      </c>
      <c r="DA72">
        <f>AJ72</f>
        <v>1.1299999999999999</v>
      </c>
      <c r="DB72">
        <f>ROUND((ROUND(AT72*CZ72,2)*ROUND(1.25,7)),2)</f>
        <v>95.59</v>
      </c>
      <c r="DC72">
        <f>ROUND((ROUND(AT72*AG72,2)*ROUND(1.25,7)),2)</f>
        <v>53.41</v>
      </c>
      <c r="DD72" t="s">
        <v>3</v>
      </c>
      <c r="DE72" t="s">
        <v>3</v>
      </c>
      <c r="DF72">
        <f>ROUND(ROUND(AE72,2)*CX72,2)</f>
        <v>0</v>
      </c>
      <c r="DG72">
        <f>ROUND(ROUND(AF72*AJ72,2)*CX72,2)</f>
        <v>70.209999999999994</v>
      </c>
      <c r="DH72">
        <f t="shared" si="20"/>
        <v>34.72</v>
      </c>
      <c r="DI72">
        <f t="shared" si="21"/>
        <v>0</v>
      </c>
      <c r="DJ72">
        <f>DG72+DH72</f>
        <v>104.92999999999999</v>
      </c>
      <c r="DK72">
        <v>1</v>
      </c>
      <c r="DL72" t="s">
        <v>294</v>
      </c>
      <c r="DM72">
        <v>4</v>
      </c>
      <c r="DN72" t="s">
        <v>278</v>
      </c>
      <c r="DO72">
        <v>1</v>
      </c>
    </row>
    <row r="73" spans="1:119" x14ac:dyDescent="0.2">
      <c r="A73">
        <f>ROW(Source!A41)</f>
        <v>41</v>
      </c>
      <c r="B73">
        <v>59552816</v>
      </c>
      <c r="C73">
        <v>59553021</v>
      </c>
      <c r="D73">
        <v>58063386</v>
      </c>
      <c r="E73">
        <v>1</v>
      </c>
      <c r="F73">
        <v>1</v>
      </c>
      <c r="G73">
        <v>1</v>
      </c>
      <c r="H73">
        <v>3</v>
      </c>
      <c r="I73" t="s">
        <v>352</v>
      </c>
      <c r="J73" t="s">
        <v>353</v>
      </c>
      <c r="K73" t="s">
        <v>354</v>
      </c>
      <c r="L73">
        <v>1327</v>
      </c>
      <c r="N73">
        <v>1005</v>
      </c>
      <c r="O73" t="s">
        <v>49</v>
      </c>
      <c r="P73" t="s">
        <v>49</v>
      </c>
      <c r="Q73">
        <v>1</v>
      </c>
      <c r="W73">
        <v>0</v>
      </c>
      <c r="X73">
        <v>-56027178</v>
      </c>
      <c r="Y73">
        <f>AT73</f>
        <v>0.84</v>
      </c>
      <c r="AA73">
        <v>542.07000000000005</v>
      </c>
      <c r="AB73">
        <v>0</v>
      </c>
      <c r="AC73">
        <v>0</v>
      </c>
      <c r="AD73">
        <v>0</v>
      </c>
      <c r="AE73">
        <v>531.44000000000005</v>
      </c>
      <c r="AF73">
        <v>0</v>
      </c>
      <c r="AG73">
        <v>0</v>
      </c>
      <c r="AH73">
        <v>0</v>
      </c>
      <c r="AI73">
        <v>1.02</v>
      </c>
      <c r="AJ73">
        <v>1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0</v>
      </c>
      <c r="AQ73">
        <v>1</v>
      </c>
      <c r="AR73">
        <v>0</v>
      </c>
      <c r="AS73" t="s">
        <v>3</v>
      </c>
      <c r="AT73">
        <v>0.84</v>
      </c>
      <c r="AU73" t="s">
        <v>3</v>
      </c>
      <c r="AV73">
        <v>0</v>
      </c>
      <c r="AW73">
        <v>2</v>
      </c>
      <c r="AX73">
        <v>59553026</v>
      </c>
      <c r="AY73">
        <v>1</v>
      </c>
      <c r="AZ73">
        <v>0</v>
      </c>
      <c r="BA73">
        <v>73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446.40960000000001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446.40960000000001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CX73">
        <f>ROUND(Y73*Source!I41,7)</f>
        <v>0.54600000000000004</v>
      </c>
      <c r="CY73">
        <f>AA73</f>
        <v>542.07000000000005</v>
      </c>
      <c r="CZ73">
        <f>AE73</f>
        <v>531.44000000000005</v>
      </c>
      <c r="DA73">
        <f>AI73</f>
        <v>1.02</v>
      </c>
      <c r="DB73">
        <f>ROUND(ROUND(AT73*CZ73,2),2)</f>
        <v>446.41</v>
      </c>
      <c r="DC73">
        <f>ROUND(ROUND(AT73*AG73,2),2)</f>
        <v>0</v>
      </c>
      <c r="DD73" t="s">
        <v>3</v>
      </c>
      <c r="DE73" t="s">
        <v>3</v>
      </c>
      <c r="DF73">
        <f>ROUND(ROUND(AE73*AI73,2)*CX73,2)</f>
        <v>295.97000000000003</v>
      </c>
      <c r="DG73">
        <f t="shared" ref="DG73:DG79" si="22">ROUND(ROUND(AF73,2)*CX73,2)</f>
        <v>0</v>
      </c>
      <c r="DH73">
        <f t="shared" si="20"/>
        <v>0</v>
      </c>
      <c r="DI73">
        <f t="shared" si="21"/>
        <v>0</v>
      </c>
      <c r="DJ73">
        <f>DF73</f>
        <v>295.97000000000003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ROW(Source!A41)</f>
        <v>41</v>
      </c>
      <c r="B74">
        <v>59552816</v>
      </c>
      <c r="C74">
        <v>59553021</v>
      </c>
      <c r="D74">
        <v>58063712</v>
      </c>
      <c r="E74">
        <v>1</v>
      </c>
      <c r="F74">
        <v>1</v>
      </c>
      <c r="G74">
        <v>1</v>
      </c>
      <c r="H74">
        <v>3</v>
      </c>
      <c r="I74" t="s">
        <v>333</v>
      </c>
      <c r="J74" t="s">
        <v>334</v>
      </c>
      <c r="K74" t="s">
        <v>335</v>
      </c>
      <c r="L74">
        <v>1346</v>
      </c>
      <c r="N74">
        <v>1009</v>
      </c>
      <c r="O74" t="s">
        <v>336</v>
      </c>
      <c r="P74" t="s">
        <v>336</v>
      </c>
      <c r="Q74">
        <v>1</v>
      </c>
      <c r="W74">
        <v>0</v>
      </c>
      <c r="X74">
        <v>-132351515</v>
      </c>
      <c r="Y74">
        <f>AT74</f>
        <v>0.31</v>
      </c>
      <c r="AA74">
        <v>106.23</v>
      </c>
      <c r="AB74">
        <v>0</v>
      </c>
      <c r="AC74">
        <v>0</v>
      </c>
      <c r="AD74">
        <v>0</v>
      </c>
      <c r="AE74">
        <v>56.81</v>
      </c>
      <c r="AF74">
        <v>0</v>
      </c>
      <c r="AG74">
        <v>0</v>
      </c>
      <c r="AH74">
        <v>0</v>
      </c>
      <c r="AI74">
        <v>1.87</v>
      </c>
      <c r="AJ74">
        <v>1</v>
      </c>
      <c r="AK74">
        <v>1</v>
      </c>
      <c r="AL74">
        <v>1</v>
      </c>
      <c r="AM74">
        <v>2</v>
      </c>
      <c r="AN74">
        <v>0</v>
      </c>
      <c r="AO74">
        <v>0</v>
      </c>
      <c r="AP74">
        <v>0</v>
      </c>
      <c r="AQ74">
        <v>1</v>
      </c>
      <c r="AR74">
        <v>0</v>
      </c>
      <c r="AS74" t="s">
        <v>3</v>
      </c>
      <c r="AT74">
        <v>0.31</v>
      </c>
      <c r="AU74" t="s">
        <v>3</v>
      </c>
      <c r="AV74">
        <v>0</v>
      </c>
      <c r="AW74">
        <v>2</v>
      </c>
      <c r="AX74">
        <v>59553027</v>
      </c>
      <c r="AY74">
        <v>1</v>
      </c>
      <c r="AZ74">
        <v>0</v>
      </c>
      <c r="BA74">
        <v>74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17.6111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17.6111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1</v>
      </c>
      <c r="CX74">
        <f>ROUND(Y74*Source!I41,7)</f>
        <v>0.20150000000000001</v>
      </c>
      <c r="CY74">
        <f>AA74</f>
        <v>106.23</v>
      </c>
      <c r="CZ74">
        <f>AE74</f>
        <v>56.81</v>
      </c>
      <c r="DA74">
        <f>AI74</f>
        <v>1.87</v>
      </c>
      <c r="DB74">
        <f>ROUND(ROUND(AT74*CZ74,2),2)</f>
        <v>17.61</v>
      </c>
      <c r="DC74">
        <f>ROUND(ROUND(AT74*AG74,2),2)</f>
        <v>0</v>
      </c>
      <c r="DD74" t="s">
        <v>3</v>
      </c>
      <c r="DE74" t="s">
        <v>3</v>
      </c>
      <c r="DF74">
        <f>ROUND(ROUND(AE74*AI74,2)*CX74,2)</f>
        <v>21.41</v>
      </c>
      <c r="DG74">
        <f t="shared" si="22"/>
        <v>0</v>
      </c>
      <c r="DH74">
        <f t="shared" si="20"/>
        <v>0</v>
      </c>
      <c r="DI74">
        <f t="shared" si="21"/>
        <v>0</v>
      </c>
      <c r="DJ74">
        <f>DF74</f>
        <v>21.41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ROW(Source!A41)</f>
        <v>41</v>
      </c>
      <c r="B75">
        <v>59552816</v>
      </c>
      <c r="C75">
        <v>59553021</v>
      </c>
      <c r="D75">
        <v>0</v>
      </c>
      <c r="E75">
        <v>0</v>
      </c>
      <c r="F75">
        <v>1</v>
      </c>
      <c r="G75">
        <v>1</v>
      </c>
      <c r="H75">
        <v>3</v>
      </c>
      <c r="I75" t="s">
        <v>326</v>
      </c>
      <c r="J75" t="s">
        <v>3</v>
      </c>
      <c r="K75" t="s">
        <v>355</v>
      </c>
      <c r="L75">
        <v>1348</v>
      </c>
      <c r="N75">
        <v>1009</v>
      </c>
      <c r="O75" t="s">
        <v>281</v>
      </c>
      <c r="P75" t="s">
        <v>281</v>
      </c>
      <c r="Q75">
        <v>1000</v>
      </c>
      <c r="W75">
        <v>0</v>
      </c>
      <c r="X75">
        <v>-927504812</v>
      </c>
      <c r="Y75">
        <f>AT75</f>
        <v>3.3000000000000002E-2</v>
      </c>
      <c r="AA75">
        <v>306015</v>
      </c>
      <c r="AB75">
        <v>0</v>
      </c>
      <c r="AC75">
        <v>0</v>
      </c>
      <c r="AD75">
        <v>0</v>
      </c>
      <c r="AE75">
        <v>306015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2</v>
      </c>
      <c r="AQ75">
        <v>1</v>
      </c>
      <c r="AR75">
        <v>0</v>
      </c>
      <c r="AS75" t="s">
        <v>3</v>
      </c>
      <c r="AT75">
        <v>3.3000000000000002E-2</v>
      </c>
      <c r="AU75" t="s">
        <v>3</v>
      </c>
      <c r="AV75">
        <v>0</v>
      </c>
      <c r="AW75">
        <v>1</v>
      </c>
      <c r="AX75">
        <v>-1</v>
      </c>
      <c r="AY75">
        <v>0</v>
      </c>
      <c r="AZ75">
        <v>0</v>
      </c>
      <c r="BA75" t="s">
        <v>3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10098.495000000001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10098.495000000001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CX75">
        <f>ROUND(Y75*Source!I41,7)</f>
        <v>2.145E-2</v>
      </c>
      <c r="CY75">
        <f>AA75</f>
        <v>306015</v>
      </c>
      <c r="CZ75">
        <f>AE75</f>
        <v>306015</v>
      </c>
      <c r="DA75">
        <f>AI75</f>
        <v>1</v>
      </c>
      <c r="DB75">
        <f>ROUND(ROUND(AT75*CZ75,2),2)</f>
        <v>10098.5</v>
      </c>
      <c r="DC75">
        <f>ROUND(ROUND(AT75*AG75,2),2)</f>
        <v>0</v>
      </c>
      <c r="DD75" t="s">
        <v>3</v>
      </c>
      <c r="DE75" t="s">
        <v>3</v>
      </c>
      <c r="DF75">
        <f t="shared" ref="DF75:DF81" si="23">ROUND(ROUND(AE75,2)*CX75,2)</f>
        <v>6564.02</v>
      </c>
      <c r="DG75">
        <f t="shared" si="22"/>
        <v>0</v>
      </c>
      <c r="DH75">
        <f t="shared" si="20"/>
        <v>0</v>
      </c>
      <c r="DI75">
        <f t="shared" si="21"/>
        <v>0</v>
      </c>
      <c r="DJ75">
        <f>DF75</f>
        <v>6564.02</v>
      </c>
      <c r="DK75">
        <v>2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ROW(Source!A41)</f>
        <v>41</v>
      </c>
      <c r="B76">
        <v>59552816</v>
      </c>
      <c r="C76">
        <v>59553021</v>
      </c>
      <c r="D76">
        <v>0</v>
      </c>
      <c r="E76">
        <v>0</v>
      </c>
      <c r="F76">
        <v>1</v>
      </c>
      <c r="G76">
        <v>1</v>
      </c>
      <c r="H76">
        <v>3</v>
      </c>
      <c r="I76" t="s">
        <v>326</v>
      </c>
      <c r="J76" t="s">
        <v>3</v>
      </c>
      <c r="K76" t="s">
        <v>337</v>
      </c>
      <c r="L76">
        <v>1348</v>
      </c>
      <c r="N76">
        <v>1009</v>
      </c>
      <c r="O76" t="s">
        <v>281</v>
      </c>
      <c r="P76" t="s">
        <v>281</v>
      </c>
      <c r="Q76">
        <v>1000</v>
      </c>
      <c r="W76">
        <v>0</v>
      </c>
      <c r="X76">
        <v>-1722100437</v>
      </c>
      <c r="Y76">
        <f>AT76</f>
        <v>2.1999999999999999E-2</v>
      </c>
      <c r="AA76">
        <v>117000</v>
      </c>
      <c r="AB76">
        <v>0</v>
      </c>
      <c r="AC76">
        <v>0</v>
      </c>
      <c r="AD76">
        <v>0</v>
      </c>
      <c r="AE76">
        <v>117000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0</v>
      </c>
      <c r="AN76">
        <v>0</v>
      </c>
      <c r="AO76">
        <v>0</v>
      </c>
      <c r="AP76">
        <v>2</v>
      </c>
      <c r="AQ76">
        <v>1</v>
      </c>
      <c r="AR76">
        <v>0</v>
      </c>
      <c r="AS76" t="s">
        <v>3</v>
      </c>
      <c r="AT76">
        <v>2.1999999999999999E-2</v>
      </c>
      <c r="AU76" t="s">
        <v>3</v>
      </c>
      <c r="AV76">
        <v>0</v>
      </c>
      <c r="AW76">
        <v>1</v>
      </c>
      <c r="AX76">
        <v>-1</v>
      </c>
      <c r="AY76">
        <v>0</v>
      </c>
      <c r="AZ76">
        <v>0</v>
      </c>
      <c r="BA76" t="s">
        <v>3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2574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2574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X76">
        <f>ROUND(Y76*Source!I41,7)</f>
        <v>1.43E-2</v>
      </c>
      <c r="CY76">
        <f>AA76</f>
        <v>117000</v>
      </c>
      <c r="CZ76">
        <f>AE76</f>
        <v>117000</v>
      </c>
      <c r="DA76">
        <f>AI76</f>
        <v>1</v>
      </c>
      <c r="DB76">
        <f>ROUND(ROUND(AT76*CZ76,2),2)</f>
        <v>2574</v>
      </c>
      <c r="DC76">
        <f>ROUND(ROUND(AT76*AG76,2),2)</f>
        <v>0</v>
      </c>
      <c r="DD76" t="s">
        <v>3</v>
      </c>
      <c r="DE76" t="s">
        <v>3</v>
      </c>
      <c r="DF76">
        <f t="shared" si="23"/>
        <v>1673.1</v>
      </c>
      <c r="DG76">
        <f t="shared" si="22"/>
        <v>0</v>
      </c>
      <c r="DH76">
        <f t="shared" si="20"/>
        <v>0</v>
      </c>
      <c r="DI76">
        <f t="shared" si="21"/>
        <v>0</v>
      </c>
      <c r="DJ76">
        <f>DF76</f>
        <v>1673.1</v>
      </c>
      <c r="DK76">
        <v>2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ROW(Source!A41)</f>
        <v>41</v>
      </c>
      <c r="B77">
        <v>59552816</v>
      </c>
      <c r="C77">
        <v>59553021</v>
      </c>
      <c r="D77">
        <v>0</v>
      </c>
      <c r="E77">
        <v>0</v>
      </c>
      <c r="F77">
        <v>1</v>
      </c>
      <c r="G77">
        <v>1</v>
      </c>
      <c r="H77">
        <v>3</v>
      </c>
      <c r="I77" t="s">
        <v>326</v>
      </c>
      <c r="J77" t="s">
        <v>3</v>
      </c>
      <c r="K77" t="s">
        <v>360</v>
      </c>
      <c r="L77">
        <v>1348</v>
      </c>
      <c r="N77">
        <v>1009</v>
      </c>
      <c r="O77" t="s">
        <v>281</v>
      </c>
      <c r="P77" t="s">
        <v>281</v>
      </c>
      <c r="Q77">
        <v>1000</v>
      </c>
      <c r="W77">
        <v>0</v>
      </c>
      <c r="X77">
        <v>-1838140789</v>
      </c>
      <c r="Y77">
        <f>AT77</f>
        <v>5.4999999999999993E-2</v>
      </c>
      <c r="AA77">
        <v>92670</v>
      </c>
      <c r="AB77">
        <v>0</v>
      </c>
      <c r="AC77">
        <v>0</v>
      </c>
      <c r="AD77">
        <v>0</v>
      </c>
      <c r="AE77">
        <v>92670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2</v>
      </c>
      <c r="AQ77">
        <v>1</v>
      </c>
      <c r="AR77">
        <v>0</v>
      </c>
      <c r="AS77" t="s">
        <v>3</v>
      </c>
      <c r="AT77">
        <v>5.4999999999999993E-2</v>
      </c>
      <c r="AU77" t="s">
        <v>3</v>
      </c>
      <c r="AV77">
        <v>0</v>
      </c>
      <c r="AW77">
        <v>1</v>
      </c>
      <c r="AX77">
        <v>-1</v>
      </c>
      <c r="AY77">
        <v>0</v>
      </c>
      <c r="AZ77">
        <v>0</v>
      </c>
      <c r="BA77" t="s">
        <v>3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5096.8499999999995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5096.8499999999995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</v>
      </c>
      <c r="CX77">
        <f>ROUND(Y77*Source!I41,7)</f>
        <v>3.5749999999999997E-2</v>
      </c>
      <c r="CY77">
        <f>AA77</f>
        <v>92670</v>
      </c>
      <c r="CZ77">
        <f>AE77</f>
        <v>92670</v>
      </c>
      <c r="DA77">
        <f>AI77</f>
        <v>1</v>
      </c>
      <c r="DB77">
        <f>ROUND(ROUND(AT77*CZ77,2),2)</f>
        <v>5096.8500000000004</v>
      </c>
      <c r="DC77">
        <f>ROUND(ROUND(AT77*AG77,2),2)</f>
        <v>0</v>
      </c>
      <c r="DD77" t="s">
        <v>3</v>
      </c>
      <c r="DE77" t="s">
        <v>3</v>
      </c>
      <c r="DF77">
        <f t="shared" si="23"/>
        <v>3312.95</v>
      </c>
      <c r="DG77">
        <f t="shared" si="22"/>
        <v>0</v>
      </c>
      <c r="DH77">
        <f t="shared" si="20"/>
        <v>0</v>
      </c>
      <c r="DI77">
        <f t="shared" si="21"/>
        <v>0</v>
      </c>
      <c r="DJ77">
        <f>DF77</f>
        <v>3312.95</v>
      </c>
      <c r="DK77">
        <v>2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ROW(Source!A42)</f>
        <v>42</v>
      </c>
      <c r="B78">
        <v>59552816</v>
      </c>
      <c r="C78">
        <v>59553031</v>
      </c>
      <c r="D78">
        <v>57987293</v>
      </c>
      <c r="E78">
        <v>107</v>
      </c>
      <c r="F78">
        <v>1</v>
      </c>
      <c r="G78">
        <v>1</v>
      </c>
      <c r="H78">
        <v>1</v>
      </c>
      <c r="I78" t="s">
        <v>347</v>
      </c>
      <c r="J78" t="s">
        <v>3</v>
      </c>
      <c r="K78" t="s">
        <v>348</v>
      </c>
      <c r="L78">
        <v>1191</v>
      </c>
      <c r="N78">
        <v>1013</v>
      </c>
      <c r="O78" t="s">
        <v>278</v>
      </c>
      <c r="P78" t="s">
        <v>278</v>
      </c>
      <c r="Q78">
        <v>1</v>
      </c>
      <c r="W78">
        <v>0</v>
      </c>
      <c r="X78">
        <v>784619160</v>
      </c>
      <c r="Y78">
        <f>(AT78*ROUND(1.15,7))</f>
        <v>50.094000000000001</v>
      </c>
      <c r="AA78">
        <v>0</v>
      </c>
      <c r="AB78">
        <v>0</v>
      </c>
      <c r="AC78">
        <v>0</v>
      </c>
      <c r="AD78">
        <v>243.17</v>
      </c>
      <c r="AE78">
        <v>0</v>
      </c>
      <c r="AF78">
        <v>0</v>
      </c>
      <c r="AG78">
        <v>0</v>
      </c>
      <c r="AH78">
        <v>243.17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43.56</v>
      </c>
      <c r="AU78" t="s">
        <v>29</v>
      </c>
      <c r="AV78">
        <v>1</v>
      </c>
      <c r="AW78">
        <v>2</v>
      </c>
      <c r="AX78">
        <v>59553032</v>
      </c>
      <c r="AY78">
        <v>1</v>
      </c>
      <c r="AZ78">
        <v>0</v>
      </c>
      <c r="BA78">
        <v>78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10592.485199999999</v>
      </c>
      <c r="BN78">
        <v>43.56</v>
      </c>
      <c r="BO78">
        <v>0</v>
      </c>
      <c r="BP78">
        <v>1</v>
      </c>
      <c r="BQ78">
        <v>0</v>
      </c>
      <c r="BR78">
        <v>0</v>
      </c>
      <c r="BS78">
        <v>0</v>
      </c>
      <c r="BT78">
        <v>12181.357979999999</v>
      </c>
      <c r="BU78">
        <v>50.094000000000001</v>
      </c>
      <c r="BV78">
        <v>0</v>
      </c>
      <c r="BW78">
        <v>1</v>
      </c>
      <c r="CX78">
        <f>ROUND(Y78*Source!I42,7)</f>
        <v>40.591168199999998</v>
      </c>
      <c r="CY78">
        <f>AD78</f>
        <v>243.17</v>
      </c>
      <c r="CZ78">
        <f>AH78</f>
        <v>243.17</v>
      </c>
      <c r="DA78">
        <f>AL78</f>
        <v>1</v>
      </c>
      <c r="DB78">
        <f>ROUND((ROUND(AT78*CZ78,2)*ROUND(1.15,7)),2)</f>
        <v>12181.36</v>
      </c>
      <c r="DC78">
        <f>ROUND((ROUND(AT78*AG78,2)*ROUND(1.15,7)),2)</f>
        <v>0</v>
      </c>
      <c r="DD78" t="s">
        <v>3</v>
      </c>
      <c r="DE78" t="s">
        <v>3</v>
      </c>
      <c r="DF78">
        <f t="shared" si="23"/>
        <v>0</v>
      </c>
      <c r="DG78">
        <f t="shared" si="22"/>
        <v>0</v>
      </c>
      <c r="DH78">
        <f t="shared" si="20"/>
        <v>0</v>
      </c>
      <c r="DI78">
        <f t="shared" si="21"/>
        <v>9870.5499999999993</v>
      </c>
      <c r="DJ78">
        <f>DI78</f>
        <v>9870.5499999999993</v>
      </c>
      <c r="DK78">
        <v>1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ROW(Source!A42)</f>
        <v>42</v>
      </c>
      <c r="B79">
        <v>59552816</v>
      </c>
      <c r="C79">
        <v>59553031</v>
      </c>
      <c r="D79">
        <v>57987490</v>
      </c>
      <c r="E79">
        <v>107</v>
      </c>
      <c r="F79">
        <v>1</v>
      </c>
      <c r="G79">
        <v>1</v>
      </c>
      <c r="H79">
        <v>1</v>
      </c>
      <c r="I79" t="s">
        <v>284</v>
      </c>
      <c r="J79" t="s">
        <v>3</v>
      </c>
      <c r="K79" t="s">
        <v>285</v>
      </c>
      <c r="L79">
        <v>1191</v>
      </c>
      <c r="N79">
        <v>1013</v>
      </c>
      <c r="O79" t="s">
        <v>278</v>
      </c>
      <c r="P79" t="s">
        <v>278</v>
      </c>
      <c r="Q79">
        <v>1</v>
      </c>
      <c r="W79">
        <v>0</v>
      </c>
      <c r="X79">
        <v>-1417349443</v>
      </c>
      <c r="Y79">
        <f>(AT79*ROUND(1.25,7))</f>
        <v>0.21250000000000002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0.17</v>
      </c>
      <c r="AU79" t="s">
        <v>28</v>
      </c>
      <c r="AV79">
        <v>2</v>
      </c>
      <c r="AW79">
        <v>2</v>
      </c>
      <c r="AX79">
        <v>59553033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0.17</v>
      </c>
      <c r="BP79">
        <v>1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0.21250000000000002</v>
      </c>
      <c r="BW79">
        <v>1</v>
      </c>
      <c r="CX79">
        <f>ROUND(Y79*Source!I42,7)</f>
        <v>0.1721888</v>
      </c>
      <c r="CY79">
        <f>AD79</f>
        <v>0</v>
      </c>
      <c r="CZ79">
        <f>AH79</f>
        <v>0</v>
      </c>
      <c r="DA79">
        <f>AL79</f>
        <v>1</v>
      </c>
      <c r="DB79">
        <f>ROUND((ROUND(AT79*CZ79,2)*ROUND(1.25,7)),2)</f>
        <v>0</v>
      </c>
      <c r="DC79">
        <f>ROUND((ROUND(AT79*AG79,2)*ROUND(1.25,7)),2)</f>
        <v>0</v>
      </c>
      <c r="DD79" t="s">
        <v>3</v>
      </c>
      <c r="DE79" t="s">
        <v>3</v>
      </c>
      <c r="DF79">
        <f t="shared" si="23"/>
        <v>0</v>
      </c>
      <c r="DG79">
        <f t="shared" si="22"/>
        <v>0</v>
      </c>
      <c r="DH79">
        <f t="shared" si="20"/>
        <v>0</v>
      </c>
      <c r="DI79">
        <f t="shared" si="21"/>
        <v>0</v>
      </c>
      <c r="DJ79">
        <f>DI79</f>
        <v>0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ROW(Source!A42)</f>
        <v>42</v>
      </c>
      <c r="B80">
        <v>59552816</v>
      </c>
      <c r="C80">
        <v>59553031</v>
      </c>
      <c r="D80">
        <v>58107258</v>
      </c>
      <c r="E80">
        <v>1</v>
      </c>
      <c r="F80">
        <v>1</v>
      </c>
      <c r="G80">
        <v>1</v>
      </c>
      <c r="H80">
        <v>2</v>
      </c>
      <c r="I80" t="s">
        <v>349</v>
      </c>
      <c r="J80" t="s">
        <v>350</v>
      </c>
      <c r="K80" t="s">
        <v>351</v>
      </c>
      <c r="L80">
        <v>1368</v>
      </c>
      <c r="N80">
        <v>1011</v>
      </c>
      <c r="O80" t="s">
        <v>289</v>
      </c>
      <c r="P80" t="s">
        <v>289</v>
      </c>
      <c r="Q80">
        <v>1</v>
      </c>
      <c r="W80">
        <v>0</v>
      </c>
      <c r="X80">
        <v>-2074700680</v>
      </c>
      <c r="Y80">
        <f>(AT80*ROUND(1.25,7))</f>
        <v>2.5000000000000001E-2</v>
      </c>
      <c r="AA80">
        <v>0</v>
      </c>
      <c r="AB80">
        <v>40.1</v>
      </c>
      <c r="AC80">
        <v>237.19</v>
      </c>
      <c r="AD80">
        <v>0</v>
      </c>
      <c r="AE80">
        <v>0</v>
      </c>
      <c r="AF80">
        <v>30.61</v>
      </c>
      <c r="AG80">
        <v>237.19</v>
      </c>
      <c r="AH80">
        <v>0</v>
      </c>
      <c r="AI80">
        <v>1</v>
      </c>
      <c r="AJ80">
        <v>1.31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0.02</v>
      </c>
      <c r="AU80" t="s">
        <v>28</v>
      </c>
      <c r="AV80">
        <v>1</v>
      </c>
      <c r="AW80">
        <v>2</v>
      </c>
      <c r="AX80">
        <v>59553034</v>
      </c>
      <c r="AY80">
        <v>1</v>
      </c>
      <c r="AZ80">
        <v>0</v>
      </c>
      <c r="BA80">
        <v>80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0.61219999999999997</v>
      </c>
      <c r="BL80">
        <v>4.7438000000000002</v>
      </c>
      <c r="BM80">
        <v>0</v>
      </c>
      <c r="BN80">
        <v>0</v>
      </c>
      <c r="BO80">
        <v>0</v>
      </c>
      <c r="BP80">
        <v>1</v>
      </c>
      <c r="BQ80">
        <v>0</v>
      </c>
      <c r="BR80">
        <v>0.76524999999999999</v>
      </c>
      <c r="BS80">
        <v>5.9297500000000003</v>
      </c>
      <c r="BT80">
        <v>0</v>
      </c>
      <c r="BU80">
        <v>0</v>
      </c>
      <c r="BV80">
        <v>0</v>
      </c>
      <c r="BW80">
        <v>1</v>
      </c>
      <c r="CX80">
        <f>ROUND(Y80*Source!I42,7)</f>
        <v>2.0257500000000001E-2</v>
      </c>
      <c r="CY80">
        <f>AB80</f>
        <v>40.1</v>
      </c>
      <c r="CZ80">
        <f>AF80</f>
        <v>30.61</v>
      </c>
      <c r="DA80">
        <f>AJ80</f>
        <v>1.31</v>
      </c>
      <c r="DB80">
        <f>ROUND((ROUND(AT80*CZ80,2)*ROUND(1.25,7)),2)</f>
        <v>0.76</v>
      </c>
      <c r="DC80">
        <f>ROUND((ROUND(AT80*AG80,2)*ROUND(1.25,7)),2)</f>
        <v>5.93</v>
      </c>
      <c r="DD80" t="s">
        <v>3</v>
      </c>
      <c r="DE80" t="s">
        <v>3</v>
      </c>
      <c r="DF80">
        <f t="shared" si="23"/>
        <v>0</v>
      </c>
      <c r="DG80">
        <f>ROUND(ROUND(AF80*AJ80,2)*CX80,2)</f>
        <v>0.81</v>
      </c>
      <c r="DH80">
        <f t="shared" si="20"/>
        <v>4.8</v>
      </c>
      <c r="DI80">
        <f t="shared" si="21"/>
        <v>0</v>
      </c>
      <c r="DJ80">
        <f>DG80+DH80</f>
        <v>5.6099999999999994</v>
      </c>
      <c r="DK80">
        <v>1</v>
      </c>
      <c r="DL80" t="s">
        <v>290</v>
      </c>
      <c r="DM80">
        <v>3</v>
      </c>
      <c r="DN80" t="s">
        <v>278</v>
      </c>
      <c r="DO80">
        <v>1</v>
      </c>
    </row>
    <row r="81" spans="1:119" x14ac:dyDescent="0.2">
      <c r="A81">
        <f>ROW(Source!A42)</f>
        <v>42</v>
      </c>
      <c r="B81">
        <v>59552816</v>
      </c>
      <c r="C81">
        <v>59553031</v>
      </c>
      <c r="D81">
        <v>58107956</v>
      </c>
      <c r="E81">
        <v>1</v>
      </c>
      <c r="F81">
        <v>1</v>
      </c>
      <c r="G81">
        <v>1</v>
      </c>
      <c r="H81">
        <v>2</v>
      </c>
      <c r="I81" t="s">
        <v>291</v>
      </c>
      <c r="J81" t="s">
        <v>292</v>
      </c>
      <c r="K81" t="s">
        <v>293</v>
      </c>
      <c r="L81">
        <v>1368</v>
      </c>
      <c r="N81">
        <v>1011</v>
      </c>
      <c r="O81" t="s">
        <v>289</v>
      </c>
      <c r="P81" t="s">
        <v>289</v>
      </c>
      <c r="Q81">
        <v>1</v>
      </c>
      <c r="W81">
        <v>0</v>
      </c>
      <c r="X81">
        <v>-1755708642</v>
      </c>
      <c r="Y81">
        <f>(AT81*ROUND(1.25,7))</f>
        <v>0.1875</v>
      </c>
      <c r="AA81">
        <v>0</v>
      </c>
      <c r="AB81">
        <v>540.04999999999995</v>
      </c>
      <c r="AC81">
        <v>267.08999999999997</v>
      </c>
      <c r="AD81">
        <v>0</v>
      </c>
      <c r="AE81">
        <v>0</v>
      </c>
      <c r="AF81">
        <v>477.92</v>
      </c>
      <c r="AG81">
        <v>267.08999999999997</v>
      </c>
      <c r="AH81">
        <v>0</v>
      </c>
      <c r="AI81">
        <v>1</v>
      </c>
      <c r="AJ81">
        <v>1.1299999999999999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0.15</v>
      </c>
      <c r="AU81" t="s">
        <v>28</v>
      </c>
      <c r="AV81">
        <v>1</v>
      </c>
      <c r="AW81">
        <v>2</v>
      </c>
      <c r="AX81">
        <v>59553035</v>
      </c>
      <c r="AY81">
        <v>1</v>
      </c>
      <c r="AZ81">
        <v>0</v>
      </c>
      <c r="BA81">
        <v>81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71.688000000000002</v>
      </c>
      <c r="BL81">
        <v>40.063499999999998</v>
      </c>
      <c r="BM81">
        <v>0</v>
      </c>
      <c r="BN81">
        <v>0</v>
      </c>
      <c r="BO81">
        <v>0</v>
      </c>
      <c r="BP81">
        <v>1</v>
      </c>
      <c r="BQ81">
        <v>0</v>
      </c>
      <c r="BR81">
        <v>89.61</v>
      </c>
      <c r="BS81">
        <v>50.079374999999999</v>
      </c>
      <c r="BT81">
        <v>0</v>
      </c>
      <c r="BU81">
        <v>0</v>
      </c>
      <c r="BV81">
        <v>0</v>
      </c>
      <c r="BW81">
        <v>1</v>
      </c>
      <c r="CX81">
        <f>ROUND(Y81*Source!I42,7)</f>
        <v>0.15193129999999999</v>
      </c>
      <c r="CY81">
        <f>AB81</f>
        <v>540.04999999999995</v>
      </c>
      <c r="CZ81">
        <f>AF81</f>
        <v>477.92</v>
      </c>
      <c r="DA81">
        <f>AJ81</f>
        <v>1.1299999999999999</v>
      </c>
      <c r="DB81">
        <f>ROUND((ROUND(AT81*CZ81,2)*ROUND(1.25,7)),2)</f>
        <v>89.61</v>
      </c>
      <c r="DC81">
        <f>ROUND((ROUND(AT81*AG81,2)*ROUND(1.25,7)),2)</f>
        <v>50.08</v>
      </c>
      <c r="DD81" t="s">
        <v>3</v>
      </c>
      <c r="DE81" t="s">
        <v>3</v>
      </c>
      <c r="DF81">
        <f t="shared" si="23"/>
        <v>0</v>
      </c>
      <c r="DG81">
        <f>ROUND(ROUND(AF81*AJ81,2)*CX81,2)</f>
        <v>82.05</v>
      </c>
      <c r="DH81">
        <f t="shared" si="20"/>
        <v>40.58</v>
      </c>
      <c r="DI81">
        <f t="shared" si="21"/>
        <v>0</v>
      </c>
      <c r="DJ81">
        <f>DG81+DH81</f>
        <v>122.63</v>
      </c>
      <c r="DK81">
        <v>1</v>
      </c>
      <c r="DL81" t="s">
        <v>294</v>
      </c>
      <c r="DM81">
        <v>4</v>
      </c>
      <c r="DN81" t="s">
        <v>278</v>
      </c>
      <c r="DO81">
        <v>1</v>
      </c>
    </row>
    <row r="82" spans="1:119" x14ac:dyDescent="0.2">
      <c r="A82">
        <f>ROW(Source!A42)</f>
        <v>42</v>
      </c>
      <c r="B82">
        <v>59552816</v>
      </c>
      <c r="C82">
        <v>59553031</v>
      </c>
      <c r="D82">
        <v>58063386</v>
      </c>
      <c r="E82">
        <v>1</v>
      </c>
      <c r="F82">
        <v>1</v>
      </c>
      <c r="G82">
        <v>1</v>
      </c>
      <c r="H82">
        <v>3</v>
      </c>
      <c r="I82" t="s">
        <v>352</v>
      </c>
      <c r="J82" t="s">
        <v>353</v>
      </c>
      <c r="K82" t="s">
        <v>354</v>
      </c>
      <c r="L82">
        <v>1327</v>
      </c>
      <c r="N82">
        <v>1005</v>
      </c>
      <c r="O82" t="s">
        <v>49</v>
      </c>
      <c r="P82" t="s">
        <v>49</v>
      </c>
      <c r="Q82">
        <v>1</v>
      </c>
      <c r="W82">
        <v>0</v>
      </c>
      <c r="X82">
        <v>-56027178</v>
      </c>
      <c r="Y82">
        <f>AT82</f>
        <v>0.84</v>
      </c>
      <c r="AA82">
        <v>542.07000000000005</v>
      </c>
      <c r="AB82">
        <v>0</v>
      </c>
      <c r="AC82">
        <v>0</v>
      </c>
      <c r="AD82">
        <v>0</v>
      </c>
      <c r="AE82">
        <v>531.44000000000005</v>
      </c>
      <c r="AF82">
        <v>0</v>
      </c>
      <c r="AG82">
        <v>0</v>
      </c>
      <c r="AH82">
        <v>0</v>
      </c>
      <c r="AI82">
        <v>1.02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0</v>
      </c>
      <c r="AQ82">
        <v>1</v>
      </c>
      <c r="AR82">
        <v>0</v>
      </c>
      <c r="AS82" t="s">
        <v>3</v>
      </c>
      <c r="AT82">
        <v>0.84</v>
      </c>
      <c r="AU82" t="s">
        <v>3</v>
      </c>
      <c r="AV82">
        <v>0</v>
      </c>
      <c r="AW82">
        <v>2</v>
      </c>
      <c r="AX82">
        <v>59553036</v>
      </c>
      <c r="AY82">
        <v>1</v>
      </c>
      <c r="AZ82">
        <v>0</v>
      </c>
      <c r="BA82">
        <v>82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446.40960000000001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446.40960000000001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X82">
        <f>ROUND(Y82*Source!I42,7)</f>
        <v>0.68065200000000003</v>
      </c>
      <c r="CY82">
        <f>AA82</f>
        <v>542.07000000000005</v>
      </c>
      <c r="CZ82">
        <f>AE82</f>
        <v>531.44000000000005</v>
      </c>
      <c r="DA82">
        <f>AI82</f>
        <v>1.02</v>
      </c>
      <c r="DB82">
        <f>ROUND(ROUND(AT82*CZ82,2),2)</f>
        <v>446.41</v>
      </c>
      <c r="DC82">
        <f>ROUND(ROUND(AT82*AG82,2),2)</f>
        <v>0</v>
      </c>
      <c r="DD82" t="s">
        <v>3</v>
      </c>
      <c r="DE82" t="s">
        <v>3</v>
      </c>
      <c r="DF82">
        <f>ROUND(ROUND(AE82*AI82,2)*CX82,2)</f>
        <v>368.96</v>
      </c>
      <c r="DG82">
        <f t="shared" ref="DG82:DG88" si="24">ROUND(ROUND(AF82,2)*CX82,2)</f>
        <v>0</v>
      </c>
      <c r="DH82">
        <f t="shared" si="20"/>
        <v>0</v>
      </c>
      <c r="DI82">
        <f t="shared" si="21"/>
        <v>0</v>
      </c>
      <c r="DJ82">
        <f>DF82</f>
        <v>368.96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ROW(Source!A42)</f>
        <v>42</v>
      </c>
      <c r="B83">
        <v>59552816</v>
      </c>
      <c r="C83">
        <v>59553031</v>
      </c>
      <c r="D83">
        <v>58063712</v>
      </c>
      <c r="E83">
        <v>1</v>
      </c>
      <c r="F83">
        <v>1</v>
      </c>
      <c r="G83">
        <v>1</v>
      </c>
      <c r="H83">
        <v>3</v>
      </c>
      <c r="I83" t="s">
        <v>333</v>
      </c>
      <c r="J83" t="s">
        <v>334</v>
      </c>
      <c r="K83" t="s">
        <v>335</v>
      </c>
      <c r="L83">
        <v>1346</v>
      </c>
      <c r="N83">
        <v>1009</v>
      </c>
      <c r="O83" t="s">
        <v>336</v>
      </c>
      <c r="P83" t="s">
        <v>336</v>
      </c>
      <c r="Q83">
        <v>1</v>
      </c>
      <c r="W83">
        <v>0</v>
      </c>
      <c r="X83">
        <v>-132351515</v>
      </c>
      <c r="Y83">
        <f>AT83</f>
        <v>0.31</v>
      </c>
      <c r="AA83">
        <v>106.23</v>
      </c>
      <c r="AB83">
        <v>0</v>
      </c>
      <c r="AC83">
        <v>0</v>
      </c>
      <c r="AD83">
        <v>0</v>
      </c>
      <c r="AE83">
        <v>56.81</v>
      </c>
      <c r="AF83">
        <v>0</v>
      </c>
      <c r="AG83">
        <v>0</v>
      </c>
      <c r="AH83">
        <v>0</v>
      </c>
      <c r="AI83">
        <v>1.87</v>
      </c>
      <c r="AJ83">
        <v>1</v>
      </c>
      <c r="AK83">
        <v>1</v>
      </c>
      <c r="AL83">
        <v>1</v>
      </c>
      <c r="AM83">
        <v>2</v>
      </c>
      <c r="AN83">
        <v>0</v>
      </c>
      <c r="AO83">
        <v>0</v>
      </c>
      <c r="AP83">
        <v>0</v>
      </c>
      <c r="AQ83">
        <v>1</v>
      </c>
      <c r="AR83">
        <v>0</v>
      </c>
      <c r="AS83" t="s">
        <v>3</v>
      </c>
      <c r="AT83">
        <v>0.31</v>
      </c>
      <c r="AU83" t="s">
        <v>3</v>
      </c>
      <c r="AV83">
        <v>0</v>
      </c>
      <c r="AW83">
        <v>2</v>
      </c>
      <c r="AX83">
        <v>59553037</v>
      </c>
      <c r="AY83">
        <v>1</v>
      </c>
      <c r="AZ83">
        <v>0</v>
      </c>
      <c r="BA83">
        <v>83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17.6111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17.6111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CX83">
        <f>ROUND(Y83*Source!I42,7)</f>
        <v>0.251193</v>
      </c>
      <c r="CY83">
        <f>AA83</f>
        <v>106.23</v>
      </c>
      <c r="CZ83">
        <f>AE83</f>
        <v>56.81</v>
      </c>
      <c r="DA83">
        <f>AI83</f>
        <v>1.87</v>
      </c>
      <c r="DB83">
        <f>ROUND(ROUND(AT83*CZ83,2),2)</f>
        <v>17.61</v>
      </c>
      <c r="DC83">
        <f>ROUND(ROUND(AT83*AG83,2),2)</f>
        <v>0</v>
      </c>
      <c r="DD83" t="s">
        <v>3</v>
      </c>
      <c r="DE83" t="s">
        <v>3</v>
      </c>
      <c r="DF83">
        <f>ROUND(ROUND(AE83*AI83,2)*CX83,2)</f>
        <v>26.68</v>
      </c>
      <c r="DG83">
        <f t="shared" si="24"/>
        <v>0</v>
      </c>
      <c r="DH83">
        <f t="shared" si="20"/>
        <v>0</v>
      </c>
      <c r="DI83">
        <f t="shared" si="21"/>
        <v>0</v>
      </c>
      <c r="DJ83">
        <f>DF83</f>
        <v>26.68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ROW(Source!A42)</f>
        <v>42</v>
      </c>
      <c r="B84">
        <v>59552816</v>
      </c>
      <c r="C84">
        <v>59553031</v>
      </c>
      <c r="D84">
        <v>0</v>
      </c>
      <c r="E84">
        <v>0</v>
      </c>
      <c r="F84">
        <v>1</v>
      </c>
      <c r="G84">
        <v>1</v>
      </c>
      <c r="H84">
        <v>3</v>
      </c>
      <c r="I84" t="s">
        <v>326</v>
      </c>
      <c r="J84" t="s">
        <v>3</v>
      </c>
      <c r="K84" t="s">
        <v>355</v>
      </c>
      <c r="L84">
        <v>1348</v>
      </c>
      <c r="N84">
        <v>1009</v>
      </c>
      <c r="O84" t="s">
        <v>281</v>
      </c>
      <c r="P84" t="s">
        <v>281</v>
      </c>
      <c r="Q84">
        <v>1000</v>
      </c>
      <c r="W84">
        <v>0</v>
      </c>
      <c r="X84">
        <v>-927504812</v>
      </c>
      <c r="Y84">
        <f>AT84</f>
        <v>0.03</v>
      </c>
      <c r="AA84">
        <v>306015</v>
      </c>
      <c r="AB84">
        <v>0</v>
      </c>
      <c r="AC84">
        <v>0</v>
      </c>
      <c r="AD84">
        <v>0</v>
      </c>
      <c r="AE84">
        <v>306015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0</v>
      </c>
      <c r="AN84">
        <v>0</v>
      </c>
      <c r="AO84">
        <v>0</v>
      </c>
      <c r="AP84">
        <v>2</v>
      </c>
      <c r="AQ84">
        <v>1</v>
      </c>
      <c r="AR84">
        <v>0</v>
      </c>
      <c r="AS84" t="s">
        <v>3</v>
      </c>
      <c r="AT84">
        <v>0.03</v>
      </c>
      <c r="AU84" t="s">
        <v>3</v>
      </c>
      <c r="AV84">
        <v>0</v>
      </c>
      <c r="AW84">
        <v>1</v>
      </c>
      <c r="AX84">
        <v>-1</v>
      </c>
      <c r="AY84">
        <v>0</v>
      </c>
      <c r="AZ84">
        <v>0</v>
      </c>
      <c r="BA84" t="s">
        <v>3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9180.4499999999989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9180.4499999999989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CX84">
        <f>ROUND(Y84*Source!I42,7)</f>
        <v>2.4309000000000001E-2</v>
      </c>
      <c r="CY84">
        <f>AA84</f>
        <v>306015</v>
      </c>
      <c r="CZ84">
        <f>AE84</f>
        <v>306015</v>
      </c>
      <c r="DA84">
        <f>AI84</f>
        <v>1</v>
      </c>
      <c r="DB84">
        <f>ROUND(ROUND(AT84*CZ84,2),2)</f>
        <v>9180.4500000000007</v>
      </c>
      <c r="DC84">
        <f>ROUND(ROUND(AT84*AG84,2),2)</f>
        <v>0</v>
      </c>
      <c r="DD84" t="s">
        <v>3</v>
      </c>
      <c r="DE84" t="s">
        <v>3</v>
      </c>
      <c r="DF84">
        <f t="shared" ref="DF84:DF89" si="25">ROUND(ROUND(AE84,2)*CX84,2)</f>
        <v>7438.92</v>
      </c>
      <c r="DG84">
        <f t="shared" si="24"/>
        <v>0</v>
      </c>
      <c r="DH84">
        <f t="shared" si="20"/>
        <v>0</v>
      </c>
      <c r="DI84">
        <f t="shared" si="21"/>
        <v>0</v>
      </c>
      <c r="DJ84">
        <f>DF84</f>
        <v>7438.92</v>
      </c>
      <c r="DK84">
        <v>2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ROW(Source!A42)</f>
        <v>42</v>
      </c>
      <c r="B85">
        <v>59552816</v>
      </c>
      <c r="C85">
        <v>59553031</v>
      </c>
      <c r="D85">
        <v>0</v>
      </c>
      <c r="E85">
        <v>0</v>
      </c>
      <c r="F85">
        <v>1</v>
      </c>
      <c r="G85">
        <v>1</v>
      </c>
      <c r="H85">
        <v>3</v>
      </c>
      <c r="I85" t="s">
        <v>326</v>
      </c>
      <c r="J85" t="s">
        <v>3</v>
      </c>
      <c r="K85" t="s">
        <v>361</v>
      </c>
      <c r="L85">
        <v>1348</v>
      </c>
      <c r="N85">
        <v>1009</v>
      </c>
      <c r="O85" t="s">
        <v>281</v>
      </c>
      <c r="P85" t="s">
        <v>281</v>
      </c>
      <c r="Q85">
        <v>1000</v>
      </c>
      <c r="W85">
        <v>0</v>
      </c>
      <c r="X85">
        <v>1183465183</v>
      </c>
      <c r="Y85">
        <f>AT85</f>
        <v>0.02</v>
      </c>
      <c r="AA85">
        <v>117000</v>
      </c>
      <c r="AB85">
        <v>0</v>
      </c>
      <c r="AC85">
        <v>0</v>
      </c>
      <c r="AD85">
        <v>0</v>
      </c>
      <c r="AE85">
        <v>117000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0</v>
      </c>
      <c r="AN85">
        <v>0</v>
      </c>
      <c r="AO85">
        <v>0</v>
      </c>
      <c r="AP85">
        <v>2</v>
      </c>
      <c r="AQ85">
        <v>1</v>
      </c>
      <c r="AR85">
        <v>0</v>
      </c>
      <c r="AS85" t="s">
        <v>3</v>
      </c>
      <c r="AT85">
        <v>0.02</v>
      </c>
      <c r="AU85" t="s">
        <v>3</v>
      </c>
      <c r="AV85">
        <v>0</v>
      </c>
      <c r="AW85">
        <v>1</v>
      </c>
      <c r="AX85">
        <v>-1</v>
      </c>
      <c r="AY85">
        <v>0</v>
      </c>
      <c r="AZ85">
        <v>0</v>
      </c>
      <c r="BA85" t="s">
        <v>3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2340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2340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</v>
      </c>
      <c r="CX85">
        <f>ROUND(Y85*Source!I42,7)</f>
        <v>1.6206000000000002E-2</v>
      </c>
      <c r="CY85">
        <f>AA85</f>
        <v>117000</v>
      </c>
      <c r="CZ85">
        <f>AE85</f>
        <v>117000</v>
      </c>
      <c r="DA85">
        <f>AI85</f>
        <v>1</v>
      </c>
      <c r="DB85">
        <f>ROUND(ROUND(AT85*CZ85,2),2)</f>
        <v>2340</v>
      </c>
      <c r="DC85">
        <f>ROUND(ROUND(AT85*AG85,2),2)</f>
        <v>0</v>
      </c>
      <c r="DD85" t="s">
        <v>3</v>
      </c>
      <c r="DE85" t="s">
        <v>3</v>
      </c>
      <c r="DF85">
        <f t="shared" si="25"/>
        <v>1896.1</v>
      </c>
      <c r="DG85">
        <f t="shared" si="24"/>
        <v>0</v>
      </c>
      <c r="DH85">
        <f t="shared" si="20"/>
        <v>0</v>
      </c>
      <c r="DI85">
        <f t="shared" si="21"/>
        <v>0</v>
      </c>
      <c r="DJ85">
        <f>DF85</f>
        <v>1896.1</v>
      </c>
      <c r="DK85">
        <v>2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ROW(Source!A42)</f>
        <v>42</v>
      </c>
      <c r="B86">
        <v>59552816</v>
      </c>
      <c r="C86">
        <v>59553031</v>
      </c>
      <c r="D86">
        <v>0</v>
      </c>
      <c r="E86">
        <v>0</v>
      </c>
      <c r="F86">
        <v>1</v>
      </c>
      <c r="G86">
        <v>1</v>
      </c>
      <c r="H86">
        <v>3</v>
      </c>
      <c r="I86" t="s">
        <v>326</v>
      </c>
      <c r="J86" t="s">
        <v>3</v>
      </c>
      <c r="K86" t="s">
        <v>360</v>
      </c>
      <c r="L86">
        <v>1348</v>
      </c>
      <c r="N86">
        <v>1009</v>
      </c>
      <c r="O86" t="s">
        <v>281</v>
      </c>
      <c r="P86" t="s">
        <v>281</v>
      </c>
      <c r="Q86">
        <v>1000</v>
      </c>
      <c r="W86">
        <v>0</v>
      </c>
      <c r="X86">
        <v>-1838140789</v>
      </c>
      <c r="Y86">
        <f>AT86</f>
        <v>5.1000000000000004E-2</v>
      </c>
      <c r="AA86">
        <v>92670</v>
      </c>
      <c r="AB86">
        <v>0</v>
      </c>
      <c r="AC86">
        <v>0</v>
      </c>
      <c r="AD86">
        <v>0</v>
      </c>
      <c r="AE86">
        <v>92670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0</v>
      </c>
      <c r="AN86">
        <v>0</v>
      </c>
      <c r="AO86">
        <v>0</v>
      </c>
      <c r="AP86">
        <v>2</v>
      </c>
      <c r="AQ86">
        <v>1</v>
      </c>
      <c r="AR86">
        <v>0</v>
      </c>
      <c r="AS86" t="s">
        <v>3</v>
      </c>
      <c r="AT86">
        <v>5.1000000000000004E-2</v>
      </c>
      <c r="AU86" t="s">
        <v>3</v>
      </c>
      <c r="AV86">
        <v>0</v>
      </c>
      <c r="AW86">
        <v>1</v>
      </c>
      <c r="AX86">
        <v>-1</v>
      </c>
      <c r="AY86">
        <v>0</v>
      </c>
      <c r="AZ86">
        <v>0</v>
      </c>
      <c r="BA86" t="s">
        <v>3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4726.17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4726.17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X86">
        <f>ROUND(Y86*Source!I42,7)</f>
        <v>4.1325300000000002E-2</v>
      </c>
      <c r="CY86">
        <f>AA86</f>
        <v>92670</v>
      </c>
      <c r="CZ86">
        <f>AE86</f>
        <v>92670</v>
      </c>
      <c r="DA86">
        <f>AI86</f>
        <v>1</v>
      </c>
      <c r="DB86">
        <f>ROUND(ROUND(AT86*CZ86,2),2)</f>
        <v>4726.17</v>
      </c>
      <c r="DC86">
        <f>ROUND(ROUND(AT86*AG86,2),2)</f>
        <v>0</v>
      </c>
      <c r="DD86" t="s">
        <v>3</v>
      </c>
      <c r="DE86" t="s">
        <v>3</v>
      </c>
      <c r="DF86">
        <f t="shared" si="25"/>
        <v>3829.62</v>
      </c>
      <c r="DG86">
        <f t="shared" si="24"/>
        <v>0</v>
      </c>
      <c r="DH86">
        <f t="shared" si="20"/>
        <v>0</v>
      </c>
      <c r="DI86">
        <f t="shared" si="21"/>
        <v>0</v>
      </c>
      <c r="DJ86">
        <f>DF86</f>
        <v>3829.62</v>
      </c>
      <c r="DK86">
        <v>2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ROW(Source!A43)</f>
        <v>43</v>
      </c>
      <c r="B87">
        <v>59552816</v>
      </c>
      <c r="C87">
        <v>59553091</v>
      </c>
      <c r="D87">
        <v>57987291</v>
      </c>
      <c r="E87">
        <v>107</v>
      </c>
      <c r="F87">
        <v>1</v>
      </c>
      <c r="G87">
        <v>1</v>
      </c>
      <c r="H87">
        <v>1</v>
      </c>
      <c r="I87" t="s">
        <v>362</v>
      </c>
      <c r="J87" t="s">
        <v>3</v>
      </c>
      <c r="K87" t="s">
        <v>363</v>
      </c>
      <c r="L87">
        <v>1191</v>
      </c>
      <c r="N87">
        <v>1013</v>
      </c>
      <c r="O87" t="s">
        <v>278</v>
      </c>
      <c r="P87" t="s">
        <v>278</v>
      </c>
      <c r="Q87">
        <v>1</v>
      </c>
      <c r="W87">
        <v>0</v>
      </c>
      <c r="X87">
        <v>-983457869</v>
      </c>
      <c r="Y87">
        <f>(AT87*ROUND(1.15,7))</f>
        <v>80.73</v>
      </c>
      <c r="AA87">
        <v>0</v>
      </c>
      <c r="AB87">
        <v>0</v>
      </c>
      <c r="AC87">
        <v>0</v>
      </c>
      <c r="AD87">
        <v>240.18</v>
      </c>
      <c r="AE87">
        <v>0</v>
      </c>
      <c r="AF87">
        <v>0</v>
      </c>
      <c r="AG87">
        <v>0</v>
      </c>
      <c r="AH87">
        <v>240.18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70.2</v>
      </c>
      <c r="AU87" t="s">
        <v>29</v>
      </c>
      <c r="AV87">
        <v>1</v>
      </c>
      <c r="AW87">
        <v>2</v>
      </c>
      <c r="AX87">
        <v>59553092</v>
      </c>
      <c r="AY87">
        <v>1</v>
      </c>
      <c r="AZ87">
        <v>0</v>
      </c>
      <c r="BA87">
        <v>87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16860.636000000002</v>
      </c>
      <c r="BN87">
        <v>70.2</v>
      </c>
      <c r="BO87">
        <v>0</v>
      </c>
      <c r="BP87">
        <v>1</v>
      </c>
      <c r="BQ87">
        <v>0</v>
      </c>
      <c r="BR87">
        <v>0</v>
      </c>
      <c r="BS87">
        <v>0</v>
      </c>
      <c r="BT87">
        <v>19389.731400000001</v>
      </c>
      <c r="BU87">
        <v>80.73</v>
      </c>
      <c r="BV87">
        <v>0</v>
      </c>
      <c r="BW87">
        <v>1</v>
      </c>
      <c r="CX87">
        <f>ROUND(Y87*Source!I43,7)</f>
        <v>52.474499999999999</v>
      </c>
      <c r="CY87">
        <f>AD87</f>
        <v>240.18</v>
      </c>
      <c r="CZ87">
        <f>AH87</f>
        <v>240.18</v>
      </c>
      <c r="DA87">
        <f>AL87</f>
        <v>1</v>
      </c>
      <c r="DB87">
        <f>ROUND((ROUND(AT87*CZ87,2)*ROUND(1.15,7)),2)</f>
        <v>19389.740000000002</v>
      </c>
      <c r="DC87">
        <f>ROUND((ROUND(AT87*AG87,2)*ROUND(1.15,7)),2)</f>
        <v>0</v>
      </c>
      <c r="DD87" t="s">
        <v>3</v>
      </c>
      <c r="DE87" t="s">
        <v>3</v>
      </c>
      <c r="DF87">
        <f t="shared" si="25"/>
        <v>0</v>
      </c>
      <c r="DG87">
        <f t="shared" si="24"/>
        <v>0</v>
      </c>
      <c r="DH87">
        <f t="shared" si="20"/>
        <v>0</v>
      </c>
      <c r="DI87">
        <f t="shared" si="21"/>
        <v>12603.33</v>
      </c>
      <c r="DJ87">
        <f>DI87</f>
        <v>12603.33</v>
      </c>
      <c r="DK87">
        <v>1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ROW(Source!A43)</f>
        <v>43</v>
      </c>
      <c r="B88">
        <v>59552816</v>
      </c>
      <c r="C88">
        <v>59553091</v>
      </c>
      <c r="D88">
        <v>57987490</v>
      </c>
      <c r="E88">
        <v>107</v>
      </c>
      <c r="F88">
        <v>1</v>
      </c>
      <c r="G88">
        <v>1</v>
      </c>
      <c r="H88">
        <v>1</v>
      </c>
      <c r="I88" t="s">
        <v>284</v>
      </c>
      <c r="J88" t="s">
        <v>3</v>
      </c>
      <c r="K88" t="s">
        <v>285</v>
      </c>
      <c r="L88">
        <v>1191</v>
      </c>
      <c r="N88">
        <v>1013</v>
      </c>
      <c r="O88" t="s">
        <v>278</v>
      </c>
      <c r="P88" t="s">
        <v>278</v>
      </c>
      <c r="Q88">
        <v>1</v>
      </c>
      <c r="W88">
        <v>0</v>
      </c>
      <c r="X88">
        <v>-1417349443</v>
      </c>
      <c r="Y88">
        <f>(AT88*ROUND(1.25,7))</f>
        <v>0.22499999999999998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0.18</v>
      </c>
      <c r="AU88" t="s">
        <v>28</v>
      </c>
      <c r="AV88">
        <v>2</v>
      </c>
      <c r="AW88">
        <v>2</v>
      </c>
      <c r="AX88">
        <v>59553093</v>
      </c>
      <c r="AY88">
        <v>1</v>
      </c>
      <c r="AZ88">
        <v>0</v>
      </c>
      <c r="BA88">
        <v>88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0.18</v>
      </c>
      <c r="BP88">
        <v>1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0.22499999999999998</v>
      </c>
      <c r="BW88">
        <v>1</v>
      </c>
      <c r="CX88">
        <f>ROUND(Y88*Source!I43,7)</f>
        <v>0.14624999999999999</v>
      </c>
      <c r="CY88">
        <f>AD88</f>
        <v>0</v>
      </c>
      <c r="CZ88">
        <f>AH88</f>
        <v>0</v>
      </c>
      <c r="DA88">
        <f>AL88</f>
        <v>1</v>
      </c>
      <c r="DB88">
        <f>ROUND((ROUND(AT88*CZ88,2)*ROUND(1.25,7)),2)</f>
        <v>0</v>
      </c>
      <c r="DC88">
        <f>ROUND((ROUND(AT88*AG88,2)*ROUND(1.25,7)),2)</f>
        <v>0</v>
      </c>
      <c r="DD88" t="s">
        <v>3</v>
      </c>
      <c r="DE88" t="s">
        <v>3</v>
      </c>
      <c r="DF88">
        <f t="shared" si="25"/>
        <v>0</v>
      </c>
      <c r="DG88">
        <f t="shared" si="24"/>
        <v>0</v>
      </c>
      <c r="DH88">
        <f t="shared" si="20"/>
        <v>0</v>
      </c>
      <c r="DI88">
        <f t="shared" si="21"/>
        <v>0</v>
      </c>
      <c r="DJ88">
        <f>DI88</f>
        <v>0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ROW(Source!A43)</f>
        <v>43</v>
      </c>
      <c r="B89">
        <v>59552816</v>
      </c>
      <c r="C89">
        <v>59553091</v>
      </c>
      <c r="D89">
        <v>58107956</v>
      </c>
      <c r="E89">
        <v>1</v>
      </c>
      <c r="F89">
        <v>1</v>
      </c>
      <c r="G89">
        <v>1</v>
      </c>
      <c r="H89">
        <v>2</v>
      </c>
      <c r="I89" t="s">
        <v>291</v>
      </c>
      <c r="J89" t="s">
        <v>292</v>
      </c>
      <c r="K89" t="s">
        <v>293</v>
      </c>
      <c r="L89">
        <v>1368</v>
      </c>
      <c r="N89">
        <v>1011</v>
      </c>
      <c r="O89" t="s">
        <v>289</v>
      </c>
      <c r="P89" t="s">
        <v>289</v>
      </c>
      <c r="Q89">
        <v>1</v>
      </c>
      <c r="W89">
        <v>0</v>
      </c>
      <c r="X89">
        <v>-1755708642</v>
      </c>
      <c r="Y89">
        <f>(AT89*ROUND(1.25,7))</f>
        <v>0.22499999999999998</v>
      </c>
      <c r="AA89">
        <v>0</v>
      </c>
      <c r="AB89">
        <v>540.04999999999995</v>
      </c>
      <c r="AC89">
        <v>267.08999999999997</v>
      </c>
      <c r="AD89">
        <v>0</v>
      </c>
      <c r="AE89">
        <v>0</v>
      </c>
      <c r="AF89">
        <v>477.92</v>
      </c>
      <c r="AG89">
        <v>267.08999999999997</v>
      </c>
      <c r="AH89">
        <v>0</v>
      </c>
      <c r="AI89">
        <v>1</v>
      </c>
      <c r="AJ89">
        <v>1.1299999999999999</v>
      </c>
      <c r="AK89">
        <v>1</v>
      </c>
      <c r="AL89">
        <v>1</v>
      </c>
      <c r="AM89">
        <v>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0.18</v>
      </c>
      <c r="AU89" t="s">
        <v>28</v>
      </c>
      <c r="AV89">
        <v>1</v>
      </c>
      <c r="AW89">
        <v>2</v>
      </c>
      <c r="AX89">
        <v>59553094</v>
      </c>
      <c r="AY89">
        <v>1</v>
      </c>
      <c r="AZ89">
        <v>0</v>
      </c>
      <c r="BA89">
        <v>89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86.025599999999997</v>
      </c>
      <c r="BL89">
        <v>48.076199999999993</v>
      </c>
      <c r="BM89">
        <v>0</v>
      </c>
      <c r="BN89">
        <v>0</v>
      </c>
      <c r="BO89">
        <v>0</v>
      </c>
      <c r="BP89">
        <v>1</v>
      </c>
      <c r="BQ89">
        <v>0</v>
      </c>
      <c r="BR89">
        <v>107.532</v>
      </c>
      <c r="BS89">
        <v>60.095249999999986</v>
      </c>
      <c r="BT89">
        <v>0</v>
      </c>
      <c r="BU89">
        <v>0</v>
      </c>
      <c r="BV89">
        <v>0</v>
      </c>
      <c r="BW89">
        <v>1</v>
      </c>
      <c r="CX89">
        <f>ROUND(Y89*Source!I43,7)</f>
        <v>0.14624999999999999</v>
      </c>
      <c r="CY89">
        <f>AB89</f>
        <v>540.04999999999995</v>
      </c>
      <c r="CZ89">
        <f>AF89</f>
        <v>477.92</v>
      </c>
      <c r="DA89">
        <f>AJ89</f>
        <v>1.1299999999999999</v>
      </c>
      <c r="DB89">
        <f>ROUND((ROUND(AT89*CZ89,2)*ROUND(1.25,7)),2)</f>
        <v>107.54</v>
      </c>
      <c r="DC89">
        <f>ROUND((ROUND(AT89*AG89,2)*ROUND(1.25,7)),2)</f>
        <v>60.1</v>
      </c>
      <c r="DD89" t="s">
        <v>3</v>
      </c>
      <c r="DE89" t="s">
        <v>3</v>
      </c>
      <c r="DF89">
        <f t="shared" si="25"/>
        <v>0</v>
      </c>
      <c r="DG89">
        <f>ROUND(ROUND(AF89*AJ89,2)*CX89,2)</f>
        <v>78.98</v>
      </c>
      <c r="DH89">
        <f t="shared" si="20"/>
        <v>39.06</v>
      </c>
      <c r="DI89">
        <f t="shared" si="21"/>
        <v>0</v>
      </c>
      <c r="DJ89">
        <f>DG89+DH89</f>
        <v>118.04</v>
      </c>
      <c r="DK89">
        <v>1</v>
      </c>
      <c r="DL89" t="s">
        <v>294</v>
      </c>
      <c r="DM89">
        <v>4</v>
      </c>
      <c r="DN89" t="s">
        <v>278</v>
      </c>
      <c r="DO89">
        <v>1</v>
      </c>
    </row>
    <row r="90" spans="1:119" x14ac:dyDescent="0.2">
      <c r="A90">
        <f>ROW(Source!A43)</f>
        <v>43</v>
      </c>
      <c r="B90">
        <v>59552816</v>
      </c>
      <c r="C90">
        <v>59553091</v>
      </c>
      <c r="D90">
        <v>58063001</v>
      </c>
      <c r="E90">
        <v>1</v>
      </c>
      <c r="F90">
        <v>1</v>
      </c>
      <c r="G90">
        <v>1</v>
      </c>
      <c r="H90">
        <v>3</v>
      </c>
      <c r="I90" t="s">
        <v>364</v>
      </c>
      <c r="J90" t="s">
        <v>365</v>
      </c>
      <c r="K90" t="s">
        <v>366</v>
      </c>
      <c r="L90">
        <v>1348</v>
      </c>
      <c r="N90">
        <v>1009</v>
      </c>
      <c r="O90" t="s">
        <v>281</v>
      </c>
      <c r="P90" t="s">
        <v>281</v>
      </c>
      <c r="Q90">
        <v>1000</v>
      </c>
      <c r="W90">
        <v>0</v>
      </c>
      <c r="X90">
        <v>-1544580471</v>
      </c>
      <c r="Y90">
        <f>AT90</f>
        <v>2.9000000000000001E-2</v>
      </c>
      <c r="AA90">
        <v>99073.3</v>
      </c>
      <c r="AB90">
        <v>0</v>
      </c>
      <c r="AC90">
        <v>0</v>
      </c>
      <c r="AD90">
        <v>0</v>
      </c>
      <c r="AE90">
        <v>91734.54</v>
      </c>
      <c r="AF90">
        <v>0</v>
      </c>
      <c r="AG90">
        <v>0</v>
      </c>
      <c r="AH90">
        <v>0</v>
      </c>
      <c r="AI90">
        <v>1.08</v>
      </c>
      <c r="AJ90">
        <v>1</v>
      </c>
      <c r="AK90">
        <v>1</v>
      </c>
      <c r="AL90">
        <v>1</v>
      </c>
      <c r="AM90">
        <v>2</v>
      </c>
      <c r="AN90">
        <v>0</v>
      </c>
      <c r="AO90">
        <v>0</v>
      </c>
      <c r="AP90">
        <v>0</v>
      </c>
      <c r="AQ90">
        <v>1</v>
      </c>
      <c r="AR90">
        <v>0</v>
      </c>
      <c r="AS90" t="s">
        <v>3</v>
      </c>
      <c r="AT90">
        <v>2.9000000000000001E-2</v>
      </c>
      <c r="AU90" t="s">
        <v>3</v>
      </c>
      <c r="AV90">
        <v>0</v>
      </c>
      <c r="AW90">
        <v>2</v>
      </c>
      <c r="AX90">
        <v>59553095</v>
      </c>
      <c r="AY90">
        <v>1</v>
      </c>
      <c r="AZ90">
        <v>0</v>
      </c>
      <c r="BA90">
        <v>90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2660.3016600000001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2660.3016600000001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1</v>
      </c>
      <c r="CX90">
        <f>ROUND(Y90*Source!I43,7)</f>
        <v>1.8849999999999999E-2</v>
      </c>
      <c r="CY90">
        <f>AA90</f>
        <v>99073.3</v>
      </c>
      <c r="CZ90">
        <f>AE90</f>
        <v>91734.54</v>
      </c>
      <c r="DA90">
        <f>AI90</f>
        <v>1.08</v>
      </c>
      <c r="DB90">
        <f>ROUND(ROUND(AT90*CZ90,2),2)</f>
        <v>2660.3</v>
      </c>
      <c r="DC90">
        <f>ROUND(ROUND(AT90*AG90,2),2)</f>
        <v>0</v>
      </c>
      <c r="DD90" t="s">
        <v>3</v>
      </c>
      <c r="DE90" t="s">
        <v>3</v>
      </c>
      <c r="DF90">
        <f>ROUND(ROUND(AE90*AI90,2)*CX90,2)</f>
        <v>1867.53</v>
      </c>
      <c r="DG90">
        <f t="shared" ref="DG90:DG95" si="26">ROUND(ROUND(AF90,2)*CX90,2)</f>
        <v>0</v>
      </c>
      <c r="DH90">
        <f t="shared" si="20"/>
        <v>0</v>
      </c>
      <c r="DI90">
        <f t="shared" si="21"/>
        <v>0</v>
      </c>
      <c r="DJ90">
        <f>DF90</f>
        <v>1867.53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ROW(Source!A43)</f>
        <v>43</v>
      </c>
      <c r="B91">
        <v>59552816</v>
      </c>
      <c r="C91">
        <v>59553091</v>
      </c>
      <c r="D91">
        <v>58071297</v>
      </c>
      <c r="E91">
        <v>1</v>
      </c>
      <c r="F91">
        <v>1</v>
      </c>
      <c r="G91">
        <v>1</v>
      </c>
      <c r="H91">
        <v>3</v>
      </c>
      <c r="I91" t="s">
        <v>367</v>
      </c>
      <c r="J91" t="s">
        <v>368</v>
      </c>
      <c r="K91" t="s">
        <v>369</v>
      </c>
      <c r="L91">
        <v>1339</v>
      </c>
      <c r="N91">
        <v>1007</v>
      </c>
      <c r="O91" t="s">
        <v>370</v>
      </c>
      <c r="P91" t="s">
        <v>370</v>
      </c>
      <c r="Q91">
        <v>1</v>
      </c>
      <c r="W91">
        <v>0</v>
      </c>
      <c r="X91">
        <v>-1700784481</v>
      </c>
      <c r="Y91">
        <f>AT91</f>
        <v>8.0000000000000002E-3</v>
      </c>
      <c r="AA91">
        <v>19630.28</v>
      </c>
      <c r="AB91">
        <v>0</v>
      </c>
      <c r="AC91">
        <v>0</v>
      </c>
      <c r="AD91">
        <v>0</v>
      </c>
      <c r="AE91">
        <v>16496.03</v>
      </c>
      <c r="AF91">
        <v>0</v>
      </c>
      <c r="AG91">
        <v>0</v>
      </c>
      <c r="AH91">
        <v>0</v>
      </c>
      <c r="AI91">
        <v>1.19</v>
      </c>
      <c r="AJ91">
        <v>1</v>
      </c>
      <c r="AK91">
        <v>1</v>
      </c>
      <c r="AL91">
        <v>1</v>
      </c>
      <c r="AM91">
        <v>2</v>
      </c>
      <c r="AN91">
        <v>0</v>
      </c>
      <c r="AO91">
        <v>0</v>
      </c>
      <c r="AP91">
        <v>0</v>
      </c>
      <c r="AQ91">
        <v>1</v>
      </c>
      <c r="AR91">
        <v>0</v>
      </c>
      <c r="AS91" t="s">
        <v>3</v>
      </c>
      <c r="AT91">
        <v>8.0000000000000002E-3</v>
      </c>
      <c r="AU91" t="s">
        <v>3</v>
      </c>
      <c r="AV91">
        <v>0</v>
      </c>
      <c r="AW91">
        <v>2</v>
      </c>
      <c r="AX91">
        <v>59553096</v>
      </c>
      <c r="AY91">
        <v>1</v>
      </c>
      <c r="AZ91">
        <v>0</v>
      </c>
      <c r="BA91">
        <v>91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131.96823999999998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1</v>
      </c>
      <c r="BQ91">
        <v>131.96823999999998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CX91">
        <f>ROUND(Y91*Source!I43,7)</f>
        <v>5.1999999999999998E-3</v>
      </c>
      <c r="CY91">
        <f>AA91</f>
        <v>19630.28</v>
      </c>
      <c r="CZ91">
        <f>AE91</f>
        <v>16496.03</v>
      </c>
      <c r="DA91">
        <f>AI91</f>
        <v>1.19</v>
      </c>
      <c r="DB91">
        <f>ROUND(ROUND(AT91*CZ91,2),2)</f>
        <v>131.97</v>
      </c>
      <c r="DC91">
        <f>ROUND(ROUND(AT91*AG91,2),2)</f>
        <v>0</v>
      </c>
      <c r="DD91" t="s">
        <v>3</v>
      </c>
      <c r="DE91" t="s">
        <v>3</v>
      </c>
      <c r="DF91">
        <f>ROUND(ROUND(AE91*AI91,2)*CX91,2)</f>
        <v>102.08</v>
      </c>
      <c r="DG91">
        <f t="shared" si="26"/>
        <v>0</v>
      </c>
      <c r="DH91">
        <f t="shared" si="20"/>
        <v>0</v>
      </c>
      <c r="DI91">
        <f t="shared" si="21"/>
        <v>0</v>
      </c>
      <c r="DJ91">
        <f>DF91</f>
        <v>102.08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ROW(Source!A43)</f>
        <v>43</v>
      </c>
      <c r="B92">
        <v>59552816</v>
      </c>
      <c r="C92">
        <v>59553091</v>
      </c>
      <c r="D92">
        <v>57990293</v>
      </c>
      <c r="E92">
        <v>107</v>
      </c>
      <c r="F92">
        <v>1</v>
      </c>
      <c r="G92">
        <v>1</v>
      </c>
      <c r="H92">
        <v>3</v>
      </c>
      <c r="I92" t="s">
        <v>371</v>
      </c>
      <c r="J92" t="s">
        <v>3</v>
      </c>
      <c r="K92" t="s">
        <v>372</v>
      </c>
      <c r="L92">
        <v>1327</v>
      </c>
      <c r="N92">
        <v>1005</v>
      </c>
      <c r="O92" t="s">
        <v>49</v>
      </c>
      <c r="P92" t="s">
        <v>49</v>
      </c>
      <c r="Q92">
        <v>1</v>
      </c>
      <c r="W92">
        <v>0</v>
      </c>
      <c r="X92">
        <v>728062557</v>
      </c>
      <c r="Y92">
        <f>AT92</f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1</v>
      </c>
      <c r="AO92">
        <v>0</v>
      </c>
      <c r="AP92">
        <v>0</v>
      </c>
      <c r="AQ92">
        <v>1</v>
      </c>
      <c r="AR92">
        <v>0</v>
      </c>
      <c r="AS92" t="s">
        <v>3</v>
      </c>
      <c r="AT92">
        <v>0</v>
      </c>
      <c r="AU92" t="s">
        <v>3</v>
      </c>
      <c r="AV92">
        <v>0</v>
      </c>
      <c r="AW92">
        <v>2</v>
      </c>
      <c r="AX92">
        <v>59553097</v>
      </c>
      <c r="AY92">
        <v>1</v>
      </c>
      <c r="AZ92">
        <v>0</v>
      </c>
      <c r="BA92">
        <v>92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X92">
        <f>ROUND(Y92*Source!I43,7)</f>
        <v>0</v>
      </c>
      <c r="CY92">
        <f>AA92</f>
        <v>0</v>
      </c>
      <c r="CZ92">
        <f>AE92</f>
        <v>0</v>
      </c>
      <c r="DA92">
        <f>AI92</f>
        <v>1</v>
      </c>
      <c r="DB92">
        <f>ROUND(ROUND(AT92*CZ92,2),2)</f>
        <v>0</v>
      </c>
      <c r="DC92">
        <f>ROUND(ROUND(AT92*AG92,2),2)</f>
        <v>0</v>
      </c>
      <c r="DD92" t="s">
        <v>3</v>
      </c>
      <c r="DE92" t="s">
        <v>3</v>
      </c>
      <c r="DF92">
        <f>ROUND(ROUND(AE92,2)*CX92,2)</f>
        <v>0</v>
      </c>
      <c r="DG92">
        <f t="shared" si="26"/>
        <v>0</v>
      </c>
      <c r="DH92">
        <f t="shared" si="20"/>
        <v>0</v>
      </c>
      <c r="DI92">
        <f t="shared" si="21"/>
        <v>0</v>
      </c>
      <c r="DJ92">
        <f>DF92</f>
        <v>0</v>
      </c>
      <c r="DK92">
        <v>2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ROW(Source!A79)</f>
        <v>79</v>
      </c>
      <c r="B93">
        <v>59552816</v>
      </c>
      <c r="C93">
        <v>59553327</v>
      </c>
      <c r="D93">
        <v>57987319</v>
      </c>
      <c r="E93">
        <v>107</v>
      </c>
      <c r="F93">
        <v>1</v>
      </c>
      <c r="G93">
        <v>1</v>
      </c>
      <c r="H93">
        <v>1</v>
      </c>
      <c r="I93" t="s">
        <v>373</v>
      </c>
      <c r="J93" t="s">
        <v>3</v>
      </c>
      <c r="K93" t="s">
        <v>374</v>
      </c>
      <c r="L93">
        <v>1191</v>
      </c>
      <c r="N93">
        <v>1013</v>
      </c>
      <c r="O93" t="s">
        <v>278</v>
      </c>
      <c r="P93" t="s">
        <v>278</v>
      </c>
      <c r="Q93">
        <v>1</v>
      </c>
      <c r="W93">
        <v>0</v>
      </c>
      <c r="X93">
        <v>-1936699058</v>
      </c>
      <c r="Y93">
        <f>(AT93*ROUND(0.8,7))</f>
        <v>75.52000000000001</v>
      </c>
      <c r="AA93">
        <v>0</v>
      </c>
      <c r="AB93">
        <v>0</v>
      </c>
      <c r="AC93">
        <v>0</v>
      </c>
      <c r="AD93">
        <v>275.06</v>
      </c>
      <c r="AE93">
        <v>0</v>
      </c>
      <c r="AF93">
        <v>0</v>
      </c>
      <c r="AG93">
        <v>0</v>
      </c>
      <c r="AH93">
        <v>275.06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94.4</v>
      </c>
      <c r="AU93" t="s">
        <v>42</v>
      </c>
      <c r="AV93">
        <v>1</v>
      </c>
      <c r="AW93">
        <v>2</v>
      </c>
      <c r="AX93">
        <v>59553329</v>
      </c>
      <c r="AY93">
        <v>1</v>
      </c>
      <c r="AZ93">
        <v>0</v>
      </c>
      <c r="BA93">
        <v>93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25965.664000000001</v>
      </c>
      <c r="BN93">
        <v>94.4</v>
      </c>
      <c r="BO93">
        <v>0</v>
      </c>
      <c r="BP93">
        <v>1</v>
      </c>
      <c r="BQ93">
        <v>0</v>
      </c>
      <c r="BR93">
        <v>0</v>
      </c>
      <c r="BS93">
        <v>0</v>
      </c>
      <c r="BT93">
        <v>20772.531200000001</v>
      </c>
      <c r="BU93">
        <v>75.52000000000001</v>
      </c>
      <c r="BV93">
        <v>0</v>
      </c>
      <c r="BW93">
        <v>1</v>
      </c>
      <c r="CX93">
        <f>ROUND(Y93*Source!I79,7)</f>
        <v>9.0624000000000002</v>
      </c>
      <c r="CY93">
        <f>AD93</f>
        <v>275.06</v>
      </c>
      <c r="CZ93">
        <f>AH93</f>
        <v>275.06</v>
      </c>
      <c r="DA93">
        <f>AL93</f>
        <v>1</v>
      </c>
      <c r="DB93">
        <f>ROUND((ROUND(AT93*CZ93,2)*ROUND(0.8,7)),2)</f>
        <v>20772.53</v>
      </c>
      <c r="DC93">
        <f>ROUND((ROUND(AT93*AG93,2)*ROUND(0.8,7)),2)</f>
        <v>0</v>
      </c>
      <c r="DD93" t="s">
        <v>3</v>
      </c>
      <c r="DE93" t="s">
        <v>3</v>
      </c>
      <c r="DF93">
        <f>ROUND(ROUND(AE93,2)*CX93,2)</f>
        <v>0</v>
      </c>
      <c r="DG93">
        <f t="shared" si="26"/>
        <v>0</v>
      </c>
      <c r="DH93">
        <f t="shared" si="20"/>
        <v>0</v>
      </c>
      <c r="DI93">
        <f t="shared" si="21"/>
        <v>2492.6999999999998</v>
      </c>
      <c r="DJ93">
        <f>DI93</f>
        <v>2492.6999999999998</v>
      </c>
      <c r="DK93">
        <v>1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ROW(Source!A79)</f>
        <v>79</v>
      </c>
      <c r="B94">
        <v>59552816</v>
      </c>
      <c r="C94">
        <v>59553327</v>
      </c>
      <c r="D94">
        <v>57987490</v>
      </c>
      <c r="E94">
        <v>107</v>
      </c>
      <c r="F94">
        <v>1</v>
      </c>
      <c r="G94">
        <v>1</v>
      </c>
      <c r="H94">
        <v>1</v>
      </c>
      <c r="I94" t="s">
        <v>284</v>
      </c>
      <c r="J94" t="s">
        <v>3</v>
      </c>
      <c r="K94" t="s">
        <v>285</v>
      </c>
      <c r="L94">
        <v>1191</v>
      </c>
      <c r="N94">
        <v>1013</v>
      </c>
      <c r="O94" t="s">
        <v>278</v>
      </c>
      <c r="P94" t="s">
        <v>278</v>
      </c>
      <c r="Q94">
        <v>1</v>
      </c>
      <c r="W94">
        <v>0</v>
      </c>
      <c r="X94">
        <v>-1417349443</v>
      </c>
      <c r="Y94">
        <f>(AT94*ROUND(0.8,7))</f>
        <v>0.32000000000000006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0.4</v>
      </c>
      <c r="AU94" t="s">
        <v>42</v>
      </c>
      <c r="AV94">
        <v>2</v>
      </c>
      <c r="AW94">
        <v>2</v>
      </c>
      <c r="AX94">
        <v>59553330</v>
      </c>
      <c r="AY94">
        <v>1</v>
      </c>
      <c r="AZ94">
        <v>0</v>
      </c>
      <c r="BA94">
        <v>94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0.4</v>
      </c>
      <c r="BP94">
        <v>1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0.32000000000000006</v>
      </c>
      <c r="BW94">
        <v>1</v>
      </c>
      <c r="CX94">
        <f>ROUND(Y94*Source!I79,7)</f>
        <v>3.8399999999999997E-2</v>
      </c>
      <c r="CY94">
        <f>AD94</f>
        <v>0</v>
      </c>
      <c r="CZ94">
        <f>AH94</f>
        <v>0</v>
      </c>
      <c r="DA94">
        <f>AL94</f>
        <v>1</v>
      </c>
      <c r="DB94">
        <f>ROUND((ROUND(AT94*CZ94,2)*ROUND(0.8,7)),2)</f>
        <v>0</v>
      </c>
      <c r="DC94">
        <f>ROUND((ROUND(AT94*AG94,2)*ROUND(0.8,7)),2)</f>
        <v>0</v>
      </c>
      <c r="DD94" t="s">
        <v>3</v>
      </c>
      <c r="DE94" t="s">
        <v>3</v>
      </c>
      <c r="DF94">
        <f>ROUND(ROUND(AE94,2)*CX94,2)</f>
        <v>0</v>
      </c>
      <c r="DG94">
        <f t="shared" si="26"/>
        <v>0</v>
      </c>
      <c r="DH94">
        <f t="shared" si="20"/>
        <v>0</v>
      </c>
      <c r="DI94">
        <f t="shared" si="21"/>
        <v>0</v>
      </c>
      <c r="DJ94">
        <f>DI94</f>
        <v>0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ROW(Source!A79)</f>
        <v>79</v>
      </c>
      <c r="B95">
        <v>59552816</v>
      </c>
      <c r="C95">
        <v>59553327</v>
      </c>
      <c r="D95">
        <v>58107075</v>
      </c>
      <c r="E95">
        <v>1</v>
      </c>
      <c r="F95">
        <v>1</v>
      </c>
      <c r="G95">
        <v>1</v>
      </c>
      <c r="H95">
        <v>2</v>
      </c>
      <c r="I95" t="s">
        <v>375</v>
      </c>
      <c r="J95" t="s">
        <v>376</v>
      </c>
      <c r="K95" t="s">
        <v>377</v>
      </c>
      <c r="L95">
        <v>1368</v>
      </c>
      <c r="N95">
        <v>1011</v>
      </c>
      <c r="O95" t="s">
        <v>289</v>
      </c>
      <c r="P95" t="s">
        <v>289</v>
      </c>
      <c r="Q95">
        <v>1</v>
      </c>
      <c r="W95">
        <v>0</v>
      </c>
      <c r="X95">
        <v>-236403895</v>
      </c>
      <c r="Y95">
        <f>(AT95*ROUND(0.8,7))</f>
        <v>0.16000000000000003</v>
      </c>
      <c r="AA95">
        <v>0</v>
      </c>
      <c r="AB95">
        <v>1403.96</v>
      </c>
      <c r="AC95">
        <v>358.78</v>
      </c>
      <c r="AD95">
        <v>0</v>
      </c>
      <c r="AE95">
        <v>0</v>
      </c>
      <c r="AF95">
        <v>1403.96</v>
      </c>
      <c r="AG95">
        <v>358.78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0.2</v>
      </c>
      <c r="AU95" t="s">
        <v>42</v>
      </c>
      <c r="AV95">
        <v>1</v>
      </c>
      <c r="AW95">
        <v>2</v>
      </c>
      <c r="AX95">
        <v>59553331</v>
      </c>
      <c r="AY95">
        <v>1</v>
      </c>
      <c r="AZ95">
        <v>0</v>
      </c>
      <c r="BA95">
        <v>95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280.79200000000003</v>
      </c>
      <c r="BL95">
        <v>71.756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224.63360000000006</v>
      </c>
      <c r="BS95">
        <v>57.404800000000009</v>
      </c>
      <c r="BT95">
        <v>0</v>
      </c>
      <c r="BU95">
        <v>0</v>
      </c>
      <c r="BV95">
        <v>0</v>
      </c>
      <c r="BW95">
        <v>1</v>
      </c>
      <c r="CX95">
        <f>ROUND(Y95*Source!I79,7)</f>
        <v>1.9199999999999998E-2</v>
      </c>
      <c r="CY95">
        <f>AB95</f>
        <v>1403.96</v>
      </c>
      <c r="CZ95">
        <f>AF95</f>
        <v>1403.96</v>
      </c>
      <c r="DA95">
        <f>AJ95</f>
        <v>1</v>
      </c>
      <c r="DB95">
        <f>ROUND((ROUND(AT95*CZ95,2)*ROUND(0.8,7)),2)</f>
        <v>224.63</v>
      </c>
      <c r="DC95">
        <f>ROUND((ROUND(AT95*AG95,2)*ROUND(0.8,7)),2)</f>
        <v>57.41</v>
      </c>
      <c r="DD95" t="s">
        <v>3</v>
      </c>
      <c r="DE95" t="s">
        <v>3</v>
      </c>
      <c r="DF95">
        <f>ROUND(ROUND(AE95,2)*CX95,2)</f>
        <v>0</v>
      </c>
      <c r="DG95">
        <f t="shared" si="26"/>
        <v>26.96</v>
      </c>
      <c r="DH95">
        <f t="shared" si="20"/>
        <v>6.89</v>
      </c>
      <c r="DI95">
        <f t="shared" si="21"/>
        <v>0</v>
      </c>
      <c r="DJ95">
        <f>DG95+DH95</f>
        <v>33.85</v>
      </c>
      <c r="DK95">
        <v>1</v>
      </c>
      <c r="DL95" t="s">
        <v>378</v>
      </c>
      <c r="DM95">
        <v>6</v>
      </c>
      <c r="DN95" t="s">
        <v>278</v>
      </c>
      <c r="DO95">
        <v>1</v>
      </c>
    </row>
    <row r="96" spans="1:119" x14ac:dyDescent="0.2">
      <c r="A96">
        <f>ROW(Source!A79)</f>
        <v>79</v>
      </c>
      <c r="B96">
        <v>59552816</v>
      </c>
      <c r="C96">
        <v>59553327</v>
      </c>
      <c r="D96">
        <v>58107956</v>
      </c>
      <c r="E96">
        <v>1</v>
      </c>
      <c r="F96">
        <v>1</v>
      </c>
      <c r="G96">
        <v>1</v>
      </c>
      <c r="H96">
        <v>2</v>
      </c>
      <c r="I96" t="s">
        <v>291</v>
      </c>
      <c r="J96" t="s">
        <v>292</v>
      </c>
      <c r="K96" t="s">
        <v>293</v>
      </c>
      <c r="L96">
        <v>1368</v>
      </c>
      <c r="N96">
        <v>1011</v>
      </c>
      <c r="O96" t="s">
        <v>289</v>
      </c>
      <c r="P96" t="s">
        <v>289</v>
      </c>
      <c r="Q96">
        <v>1</v>
      </c>
      <c r="W96">
        <v>0</v>
      </c>
      <c r="X96">
        <v>-1755708642</v>
      </c>
      <c r="Y96">
        <f>(AT96*ROUND(0.8,7))</f>
        <v>0.16000000000000003</v>
      </c>
      <c r="AA96">
        <v>0</v>
      </c>
      <c r="AB96">
        <v>540.04999999999995</v>
      </c>
      <c r="AC96">
        <v>267.08999999999997</v>
      </c>
      <c r="AD96">
        <v>0</v>
      </c>
      <c r="AE96">
        <v>0</v>
      </c>
      <c r="AF96">
        <v>477.92</v>
      </c>
      <c r="AG96">
        <v>267.08999999999997</v>
      </c>
      <c r="AH96">
        <v>0</v>
      </c>
      <c r="AI96">
        <v>1</v>
      </c>
      <c r="AJ96">
        <v>1.1299999999999999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1</v>
      </c>
      <c r="AQ96">
        <v>1</v>
      </c>
      <c r="AR96">
        <v>0</v>
      </c>
      <c r="AS96" t="s">
        <v>3</v>
      </c>
      <c r="AT96">
        <v>0.2</v>
      </c>
      <c r="AU96" t="s">
        <v>42</v>
      </c>
      <c r="AV96">
        <v>1</v>
      </c>
      <c r="AW96">
        <v>2</v>
      </c>
      <c r="AX96">
        <v>59553332</v>
      </c>
      <c r="AY96">
        <v>1</v>
      </c>
      <c r="AZ96">
        <v>0</v>
      </c>
      <c r="BA96">
        <v>96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95.584000000000003</v>
      </c>
      <c r="BL96">
        <v>53.417999999999999</v>
      </c>
      <c r="BM96">
        <v>0</v>
      </c>
      <c r="BN96">
        <v>0</v>
      </c>
      <c r="BO96">
        <v>0</v>
      </c>
      <c r="BP96">
        <v>1</v>
      </c>
      <c r="BQ96">
        <v>0</v>
      </c>
      <c r="BR96">
        <v>76.46720000000002</v>
      </c>
      <c r="BS96">
        <v>42.734400000000001</v>
      </c>
      <c r="BT96">
        <v>0</v>
      </c>
      <c r="BU96">
        <v>0</v>
      </c>
      <c r="BV96">
        <v>0</v>
      </c>
      <c r="BW96">
        <v>1</v>
      </c>
      <c r="CX96">
        <f>ROUND(Y96*Source!I79,7)</f>
        <v>1.9199999999999998E-2</v>
      </c>
      <c r="CY96">
        <f>AB96</f>
        <v>540.04999999999995</v>
      </c>
      <c r="CZ96">
        <f>AF96</f>
        <v>477.92</v>
      </c>
      <c r="DA96">
        <f>AJ96</f>
        <v>1.1299999999999999</v>
      </c>
      <c r="DB96">
        <f>ROUND((ROUND(AT96*CZ96,2)*ROUND(0.8,7)),2)</f>
        <v>76.459999999999994</v>
      </c>
      <c r="DC96">
        <f>ROUND((ROUND(AT96*AG96,2)*ROUND(0.8,7)),2)</f>
        <v>42.74</v>
      </c>
      <c r="DD96" t="s">
        <v>3</v>
      </c>
      <c r="DE96" t="s">
        <v>3</v>
      </c>
      <c r="DF96">
        <f>ROUND(ROUND(AE96,2)*CX96,2)</f>
        <v>0</v>
      </c>
      <c r="DG96">
        <f>ROUND(ROUND(AF96*AJ96,2)*CX96,2)</f>
        <v>10.37</v>
      </c>
      <c r="DH96">
        <f t="shared" si="20"/>
        <v>5.13</v>
      </c>
      <c r="DI96">
        <f t="shared" si="21"/>
        <v>0</v>
      </c>
      <c r="DJ96">
        <f>DG96+DH96</f>
        <v>15.5</v>
      </c>
      <c r="DK96">
        <v>1</v>
      </c>
      <c r="DL96" t="s">
        <v>294</v>
      </c>
      <c r="DM96">
        <v>4</v>
      </c>
      <c r="DN96" t="s">
        <v>278</v>
      </c>
      <c r="DO96">
        <v>1</v>
      </c>
    </row>
    <row r="97" spans="1:119" x14ac:dyDescent="0.2">
      <c r="A97">
        <f>ROW(Source!A79)</f>
        <v>79</v>
      </c>
      <c r="B97">
        <v>59552816</v>
      </c>
      <c r="C97">
        <v>59553327</v>
      </c>
      <c r="D97">
        <v>58089085</v>
      </c>
      <c r="E97">
        <v>1</v>
      </c>
      <c r="F97">
        <v>1</v>
      </c>
      <c r="G97">
        <v>1</v>
      </c>
      <c r="H97">
        <v>3</v>
      </c>
      <c r="I97" t="s">
        <v>379</v>
      </c>
      <c r="J97" t="s">
        <v>380</v>
      </c>
      <c r="K97" t="s">
        <v>381</v>
      </c>
      <c r="L97">
        <v>1425</v>
      </c>
      <c r="N97">
        <v>1013</v>
      </c>
      <c r="O97" t="s">
        <v>162</v>
      </c>
      <c r="P97" t="s">
        <v>162</v>
      </c>
      <c r="Q97">
        <v>1</v>
      </c>
      <c r="W97">
        <v>0</v>
      </c>
      <c r="X97">
        <v>498651453</v>
      </c>
      <c r="Y97">
        <f>(AT97*ROUND(0,7))</f>
        <v>0</v>
      </c>
      <c r="AA97">
        <v>114.31</v>
      </c>
      <c r="AB97">
        <v>0</v>
      </c>
      <c r="AC97">
        <v>0</v>
      </c>
      <c r="AD97">
        <v>0</v>
      </c>
      <c r="AE97">
        <v>87.93</v>
      </c>
      <c r="AF97">
        <v>0</v>
      </c>
      <c r="AG97">
        <v>0</v>
      </c>
      <c r="AH97">
        <v>0</v>
      </c>
      <c r="AI97">
        <v>1.3</v>
      </c>
      <c r="AJ97">
        <v>1</v>
      </c>
      <c r="AK97">
        <v>1</v>
      </c>
      <c r="AL97">
        <v>1</v>
      </c>
      <c r="AM97">
        <v>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1.02</v>
      </c>
      <c r="AU97" t="s">
        <v>41</v>
      </c>
      <c r="AV97">
        <v>0</v>
      </c>
      <c r="AW97">
        <v>2</v>
      </c>
      <c r="AX97">
        <v>59553333</v>
      </c>
      <c r="AY97">
        <v>1</v>
      </c>
      <c r="AZ97">
        <v>0</v>
      </c>
      <c r="BA97">
        <v>97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89.688600000000008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X97">
        <f>ROUND(Y97*Source!I79,7)</f>
        <v>0</v>
      </c>
      <c r="CY97">
        <f>AA97</f>
        <v>114.31</v>
      </c>
      <c r="CZ97">
        <f>AE97</f>
        <v>87.93</v>
      </c>
      <c r="DA97">
        <f>AI97</f>
        <v>1.3</v>
      </c>
      <c r="DB97">
        <f>ROUND((ROUND(AT97*CZ97,2)*ROUND(0,7)),2)</f>
        <v>0</v>
      </c>
      <c r="DC97">
        <f>ROUND((ROUND(AT97*AG97,2)*ROUND(0,7)),2)</f>
        <v>0</v>
      </c>
      <c r="DD97" t="s">
        <v>3</v>
      </c>
      <c r="DE97" t="s">
        <v>3</v>
      </c>
      <c r="DF97">
        <f>ROUND(ROUND(AE97*AI97,2)*CX97,2)</f>
        <v>0</v>
      </c>
      <c r="DG97">
        <f>ROUND(ROUND(AF97,2)*CX97,2)</f>
        <v>0</v>
      </c>
      <c r="DH97">
        <f t="shared" ref="DH97:DH133" si="27">ROUND(ROUND(AG97,2)*CX97,2)</f>
        <v>0</v>
      </c>
      <c r="DI97">
        <f t="shared" ref="DI97:DI133" si="28">ROUND(ROUND(AH97,2)*CX97,2)</f>
        <v>0</v>
      </c>
      <c r="DJ97">
        <f>DF97</f>
        <v>0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ROW(Source!A79)</f>
        <v>79</v>
      </c>
      <c r="B98">
        <v>59552816</v>
      </c>
      <c r="C98">
        <v>59553327</v>
      </c>
      <c r="D98">
        <v>57992867</v>
      </c>
      <c r="E98">
        <v>107</v>
      </c>
      <c r="F98">
        <v>1</v>
      </c>
      <c r="G98">
        <v>1</v>
      </c>
      <c r="H98">
        <v>3</v>
      </c>
      <c r="I98" t="s">
        <v>382</v>
      </c>
      <c r="J98" t="s">
        <v>3</v>
      </c>
      <c r="K98" t="s">
        <v>383</v>
      </c>
      <c r="L98">
        <v>3277935</v>
      </c>
      <c r="N98">
        <v>1013</v>
      </c>
      <c r="O98" t="s">
        <v>384</v>
      </c>
      <c r="P98" t="s">
        <v>384</v>
      </c>
      <c r="Q98">
        <v>1</v>
      </c>
      <c r="W98">
        <v>0</v>
      </c>
      <c r="X98">
        <v>-1603222798</v>
      </c>
      <c r="Y98">
        <f>(AT98*ROUND(0,7))</f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3</v>
      </c>
      <c r="AT98">
        <v>2</v>
      </c>
      <c r="AU98" t="s">
        <v>41</v>
      </c>
      <c r="AV98">
        <v>0</v>
      </c>
      <c r="AW98">
        <v>2</v>
      </c>
      <c r="AX98">
        <v>59553334</v>
      </c>
      <c r="AY98">
        <v>1</v>
      </c>
      <c r="AZ98">
        <v>0</v>
      </c>
      <c r="BA98">
        <v>98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X98">
        <f>ROUND(Y98*Source!I79,7)</f>
        <v>0</v>
      </c>
      <c r="CY98">
        <f>AA98</f>
        <v>0</v>
      </c>
      <c r="CZ98">
        <f>AE98</f>
        <v>0</v>
      </c>
      <c r="DA98">
        <f>AI98</f>
        <v>1</v>
      </c>
      <c r="DB98">
        <f>ROUND((ROUND(AT98*CZ98,2)*ROUND(0,7)),2)</f>
        <v>0</v>
      </c>
      <c r="DC98">
        <f>ROUND((ROUND(AT98*AG98,2)*ROUND(0,7)),2)</f>
        <v>0</v>
      </c>
      <c r="DD98" t="s">
        <v>3</v>
      </c>
      <c r="DE98" t="s">
        <v>3</v>
      </c>
      <c r="DF98">
        <f>ROUND(ROUND(AE98,2)*CX98,2)</f>
        <v>0</v>
      </c>
      <c r="DG98">
        <f>ROUND(ROUND(AF98,2)*CX98,2)</f>
        <v>0</v>
      </c>
      <c r="DH98">
        <f t="shared" si="27"/>
        <v>0</v>
      </c>
      <c r="DI98">
        <f t="shared" si="28"/>
        <v>0</v>
      </c>
      <c r="DJ98">
        <f>DF98</f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ROW(Source!A80)</f>
        <v>80</v>
      </c>
      <c r="B99">
        <v>59552816</v>
      </c>
      <c r="C99">
        <v>59553161</v>
      </c>
      <c r="D99">
        <v>57987319</v>
      </c>
      <c r="E99">
        <v>107</v>
      </c>
      <c r="F99">
        <v>1</v>
      </c>
      <c r="G99">
        <v>1</v>
      </c>
      <c r="H99">
        <v>1</v>
      </c>
      <c r="I99" t="s">
        <v>373</v>
      </c>
      <c r="J99" t="s">
        <v>3</v>
      </c>
      <c r="K99" t="s">
        <v>374</v>
      </c>
      <c r="L99">
        <v>1191</v>
      </c>
      <c r="N99">
        <v>1013</v>
      </c>
      <c r="O99" t="s">
        <v>278</v>
      </c>
      <c r="P99" t="s">
        <v>278</v>
      </c>
      <c r="Q99">
        <v>1</v>
      </c>
      <c r="W99">
        <v>0</v>
      </c>
      <c r="X99">
        <v>-1936699058</v>
      </c>
      <c r="Y99">
        <f t="shared" ref="Y99:Y115" si="29">AT99</f>
        <v>94.4</v>
      </c>
      <c r="AA99">
        <v>0</v>
      </c>
      <c r="AB99">
        <v>0</v>
      </c>
      <c r="AC99">
        <v>0</v>
      </c>
      <c r="AD99">
        <v>275.06</v>
      </c>
      <c r="AE99">
        <v>0</v>
      </c>
      <c r="AF99">
        <v>0</v>
      </c>
      <c r="AG99">
        <v>0</v>
      </c>
      <c r="AH99">
        <v>275.06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0</v>
      </c>
      <c r="AQ99">
        <v>1</v>
      </c>
      <c r="AR99">
        <v>0</v>
      </c>
      <c r="AS99" t="s">
        <v>3</v>
      </c>
      <c r="AT99">
        <v>94.4</v>
      </c>
      <c r="AU99" t="s">
        <v>3</v>
      </c>
      <c r="AV99">
        <v>1</v>
      </c>
      <c r="AW99">
        <v>2</v>
      </c>
      <c r="AX99">
        <v>59553162</v>
      </c>
      <c r="AY99">
        <v>1</v>
      </c>
      <c r="AZ99">
        <v>0</v>
      </c>
      <c r="BA99">
        <v>99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25965.664000000001</v>
      </c>
      <c r="BN99">
        <v>94.4</v>
      </c>
      <c r="BO99">
        <v>0</v>
      </c>
      <c r="BP99">
        <v>1</v>
      </c>
      <c r="BQ99">
        <v>0</v>
      </c>
      <c r="BR99">
        <v>0</v>
      </c>
      <c r="BS99">
        <v>0</v>
      </c>
      <c r="BT99">
        <v>25965.664000000001</v>
      </c>
      <c r="BU99">
        <v>94.4</v>
      </c>
      <c r="BV99">
        <v>0</v>
      </c>
      <c r="BW99">
        <v>1</v>
      </c>
      <c r="CX99">
        <f>ROUND(Y99*Source!I80,7)</f>
        <v>11.327999999999999</v>
      </c>
      <c r="CY99">
        <f>AD99</f>
        <v>275.06</v>
      </c>
      <c r="CZ99">
        <f>AH99</f>
        <v>275.06</v>
      </c>
      <c r="DA99">
        <f>AL99</f>
        <v>1</v>
      </c>
      <c r="DB99">
        <f t="shared" ref="DB99:DB115" si="30">ROUND(ROUND(AT99*CZ99,2),2)</f>
        <v>25965.66</v>
      </c>
      <c r="DC99">
        <f t="shared" ref="DC99:DC115" si="31">ROUND(ROUND(AT99*AG99,2),2)</f>
        <v>0</v>
      </c>
      <c r="DD99" t="s">
        <v>3</v>
      </c>
      <c r="DE99" t="s">
        <v>3</v>
      </c>
      <c r="DF99">
        <f>ROUND(ROUND(AE99,2)*CX99,2)</f>
        <v>0</v>
      </c>
      <c r="DG99">
        <f>ROUND(ROUND(AF99,2)*CX99,2)</f>
        <v>0</v>
      </c>
      <c r="DH99">
        <f t="shared" si="27"/>
        <v>0</v>
      </c>
      <c r="DI99">
        <f t="shared" si="28"/>
        <v>3115.88</v>
      </c>
      <c r="DJ99">
        <f>DI99</f>
        <v>3115.88</v>
      </c>
      <c r="DK99">
        <v>1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ROW(Source!A80)</f>
        <v>80</v>
      </c>
      <c r="B100">
        <v>59552816</v>
      </c>
      <c r="C100">
        <v>59553161</v>
      </c>
      <c r="D100">
        <v>57987490</v>
      </c>
      <c r="E100">
        <v>107</v>
      </c>
      <c r="F100">
        <v>1</v>
      </c>
      <c r="G100">
        <v>1</v>
      </c>
      <c r="H100">
        <v>1</v>
      </c>
      <c r="I100" t="s">
        <v>284</v>
      </c>
      <c r="J100" t="s">
        <v>3</v>
      </c>
      <c r="K100" t="s">
        <v>285</v>
      </c>
      <c r="L100">
        <v>1191</v>
      </c>
      <c r="N100">
        <v>1013</v>
      </c>
      <c r="O100" t="s">
        <v>278</v>
      </c>
      <c r="P100" t="s">
        <v>278</v>
      </c>
      <c r="Q100">
        <v>1</v>
      </c>
      <c r="W100">
        <v>0</v>
      </c>
      <c r="X100">
        <v>-1417349443</v>
      </c>
      <c r="Y100">
        <f t="shared" si="29"/>
        <v>0.4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-2</v>
      </c>
      <c r="AN100">
        <v>0</v>
      </c>
      <c r="AO100">
        <v>0</v>
      </c>
      <c r="AP100">
        <v>0</v>
      </c>
      <c r="AQ100">
        <v>1</v>
      </c>
      <c r="AR100">
        <v>0</v>
      </c>
      <c r="AS100" t="s">
        <v>3</v>
      </c>
      <c r="AT100">
        <v>0.4</v>
      </c>
      <c r="AU100" t="s">
        <v>3</v>
      </c>
      <c r="AV100">
        <v>2</v>
      </c>
      <c r="AW100">
        <v>2</v>
      </c>
      <c r="AX100">
        <v>59553163</v>
      </c>
      <c r="AY100">
        <v>1</v>
      </c>
      <c r="AZ100">
        <v>0</v>
      </c>
      <c r="BA100">
        <v>100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0.4</v>
      </c>
      <c r="BP100">
        <v>1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0.4</v>
      </c>
      <c r="BW100">
        <v>1</v>
      </c>
      <c r="CX100">
        <f>ROUND(Y100*Source!I80,7)</f>
        <v>4.8000000000000001E-2</v>
      </c>
      <c r="CY100">
        <f>AD100</f>
        <v>0</v>
      </c>
      <c r="CZ100">
        <f>AH100</f>
        <v>0</v>
      </c>
      <c r="DA100">
        <f>AL100</f>
        <v>1</v>
      </c>
      <c r="DB100">
        <f t="shared" si="30"/>
        <v>0</v>
      </c>
      <c r="DC100">
        <f t="shared" si="31"/>
        <v>0</v>
      </c>
      <c r="DD100" t="s">
        <v>3</v>
      </c>
      <c r="DE100" t="s">
        <v>3</v>
      </c>
      <c r="DF100">
        <f>ROUND(ROUND(AE100,2)*CX100,2)</f>
        <v>0</v>
      </c>
      <c r="DG100">
        <f>ROUND(ROUND(AF100,2)*CX100,2)</f>
        <v>0</v>
      </c>
      <c r="DH100">
        <f t="shared" si="27"/>
        <v>0</v>
      </c>
      <c r="DI100">
        <f t="shared" si="28"/>
        <v>0</v>
      </c>
      <c r="DJ100">
        <f>DI100</f>
        <v>0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ROW(Source!A80)</f>
        <v>80</v>
      </c>
      <c r="B101">
        <v>59552816</v>
      </c>
      <c r="C101">
        <v>59553161</v>
      </c>
      <c r="D101">
        <v>58107075</v>
      </c>
      <c r="E101">
        <v>1</v>
      </c>
      <c r="F101">
        <v>1</v>
      </c>
      <c r="G101">
        <v>1</v>
      </c>
      <c r="H101">
        <v>2</v>
      </c>
      <c r="I101" t="s">
        <v>375</v>
      </c>
      <c r="J101" t="s">
        <v>376</v>
      </c>
      <c r="K101" t="s">
        <v>377</v>
      </c>
      <c r="L101">
        <v>1368</v>
      </c>
      <c r="N101">
        <v>1011</v>
      </c>
      <c r="O101" t="s">
        <v>289</v>
      </c>
      <c r="P101" t="s">
        <v>289</v>
      </c>
      <c r="Q101">
        <v>1</v>
      </c>
      <c r="W101">
        <v>0</v>
      </c>
      <c r="X101">
        <v>-236403895</v>
      </c>
      <c r="Y101">
        <f t="shared" si="29"/>
        <v>0.2</v>
      </c>
      <c r="AA101">
        <v>0</v>
      </c>
      <c r="AB101">
        <v>1403.96</v>
      </c>
      <c r="AC101">
        <v>358.78</v>
      </c>
      <c r="AD101">
        <v>0</v>
      </c>
      <c r="AE101">
        <v>0</v>
      </c>
      <c r="AF101">
        <v>1403.96</v>
      </c>
      <c r="AG101">
        <v>358.78</v>
      </c>
      <c r="AH101">
        <v>0</v>
      </c>
      <c r="AI101">
        <v>1</v>
      </c>
      <c r="AJ101">
        <v>1</v>
      </c>
      <c r="AK101">
        <v>1</v>
      </c>
      <c r="AL101">
        <v>1</v>
      </c>
      <c r="AM101">
        <v>-2</v>
      </c>
      <c r="AN101">
        <v>0</v>
      </c>
      <c r="AO101">
        <v>0</v>
      </c>
      <c r="AP101">
        <v>0</v>
      </c>
      <c r="AQ101">
        <v>1</v>
      </c>
      <c r="AR101">
        <v>0</v>
      </c>
      <c r="AS101" t="s">
        <v>3</v>
      </c>
      <c r="AT101">
        <v>0.2</v>
      </c>
      <c r="AU101" t="s">
        <v>3</v>
      </c>
      <c r="AV101">
        <v>1</v>
      </c>
      <c r="AW101">
        <v>2</v>
      </c>
      <c r="AX101">
        <v>59553164</v>
      </c>
      <c r="AY101">
        <v>1</v>
      </c>
      <c r="AZ101">
        <v>0</v>
      </c>
      <c r="BA101">
        <v>101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280.79200000000003</v>
      </c>
      <c r="BL101">
        <v>71.756</v>
      </c>
      <c r="BM101">
        <v>0</v>
      </c>
      <c r="BN101">
        <v>0</v>
      </c>
      <c r="BO101">
        <v>0</v>
      </c>
      <c r="BP101">
        <v>1</v>
      </c>
      <c r="BQ101">
        <v>0</v>
      </c>
      <c r="BR101">
        <v>280.79200000000003</v>
      </c>
      <c r="BS101">
        <v>71.756</v>
      </c>
      <c r="BT101">
        <v>0</v>
      </c>
      <c r="BU101">
        <v>0</v>
      </c>
      <c r="BV101">
        <v>0</v>
      </c>
      <c r="BW101">
        <v>1</v>
      </c>
      <c r="CX101">
        <f>ROUND(Y101*Source!I80,7)</f>
        <v>2.4E-2</v>
      </c>
      <c r="CY101">
        <f>AB101</f>
        <v>1403.96</v>
      </c>
      <c r="CZ101">
        <f>AF101</f>
        <v>1403.96</v>
      </c>
      <c r="DA101">
        <f>AJ101</f>
        <v>1</v>
      </c>
      <c r="DB101">
        <f t="shared" si="30"/>
        <v>280.79000000000002</v>
      </c>
      <c r="DC101">
        <f t="shared" si="31"/>
        <v>71.760000000000005</v>
      </c>
      <c r="DD101" t="s">
        <v>3</v>
      </c>
      <c r="DE101" t="s">
        <v>3</v>
      </c>
      <c r="DF101">
        <f>ROUND(ROUND(AE101,2)*CX101,2)</f>
        <v>0</v>
      </c>
      <c r="DG101">
        <f>ROUND(ROUND(AF101,2)*CX101,2)</f>
        <v>33.700000000000003</v>
      </c>
      <c r="DH101">
        <f t="shared" si="27"/>
        <v>8.61</v>
      </c>
      <c r="DI101">
        <f t="shared" si="28"/>
        <v>0</v>
      </c>
      <c r="DJ101">
        <f>DG101+DH101</f>
        <v>42.31</v>
      </c>
      <c r="DK101">
        <v>1</v>
      </c>
      <c r="DL101" t="s">
        <v>378</v>
      </c>
      <c r="DM101">
        <v>6</v>
      </c>
      <c r="DN101" t="s">
        <v>278</v>
      </c>
      <c r="DO101">
        <v>1</v>
      </c>
    </row>
    <row r="102" spans="1:119" x14ac:dyDescent="0.2">
      <c r="A102">
        <f>ROW(Source!A80)</f>
        <v>80</v>
      </c>
      <c r="B102">
        <v>59552816</v>
      </c>
      <c r="C102">
        <v>59553161</v>
      </c>
      <c r="D102">
        <v>58107956</v>
      </c>
      <c r="E102">
        <v>1</v>
      </c>
      <c r="F102">
        <v>1</v>
      </c>
      <c r="G102">
        <v>1</v>
      </c>
      <c r="H102">
        <v>2</v>
      </c>
      <c r="I102" t="s">
        <v>291</v>
      </c>
      <c r="J102" t="s">
        <v>292</v>
      </c>
      <c r="K102" t="s">
        <v>293</v>
      </c>
      <c r="L102">
        <v>1368</v>
      </c>
      <c r="N102">
        <v>1011</v>
      </c>
      <c r="O102" t="s">
        <v>289</v>
      </c>
      <c r="P102" t="s">
        <v>289</v>
      </c>
      <c r="Q102">
        <v>1</v>
      </c>
      <c r="W102">
        <v>0</v>
      </c>
      <c r="X102">
        <v>-1755708642</v>
      </c>
      <c r="Y102">
        <f t="shared" si="29"/>
        <v>0.2</v>
      </c>
      <c r="AA102">
        <v>0</v>
      </c>
      <c r="AB102">
        <v>540.04999999999995</v>
      </c>
      <c r="AC102">
        <v>267.08999999999997</v>
      </c>
      <c r="AD102">
        <v>0</v>
      </c>
      <c r="AE102">
        <v>0</v>
      </c>
      <c r="AF102">
        <v>477.92</v>
      </c>
      <c r="AG102">
        <v>267.08999999999997</v>
      </c>
      <c r="AH102">
        <v>0</v>
      </c>
      <c r="AI102">
        <v>1</v>
      </c>
      <c r="AJ102">
        <v>1.1299999999999999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0</v>
      </c>
      <c r="AQ102">
        <v>1</v>
      </c>
      <c r="AR102">
        <v>0</v>
      </c>
      <c r="AS102" t="s">
        <v>3</v>
      </c>
      <c r="AT102">
        <v>0.2</v>
      </c>
      <c r="AU102" t="s">
        <v>3</v>
      </c>
      <c r="AV102">
        <v>1</v>
      </c>
      <c r="AW102">
        <v>2</v>
      </c>
      <c r="AX102">
        <v>59553165</v>
      </c>
      <c r="AY102">
        <v>1</v>
      </c>
      <c r="AZ102">
        <v>0</v>
      </c>
      <c r="BA102">
        <v>102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95.584000000000003</v>
      </c>
      <c r="BL102">
        <v>53.417999999999999</v>
      </c>
      <c r="BM102">
        <v>0</v>
      </c>
      <c r="BN102">
        <v>0</v>
      </c>
      <c r="BO102">
        <v>0</v>
      </c>
      <c r="BP102">
        <v>1</v>
      </c>
      <c r="BQ102">
        <v>0</v>
      </c>
      <c r="BR102">
        <v>95.584000000000003</v>
      </c>
      <c r="BS102">
        <v>53.417999999999999</v>
      </c>
      <c r="BT102">
        <v>0</v>
      </c>
      <c r="BU102">
        <v>0</v>
      </c>
      <c r="BV102">
        <v>0</v>
      </c>
      <c r="BW102">
        <v>1</v>
      </c>
      <c r="CX102">
        <f>ROUND(Y102*Source!I80,7)</f>
        <v>2.4E-2</v>
      </c>
      <c r="CY102">
        <f>AB102</f>
        <v>540.04999999999995</v>
      </c>
      <c r="CZ102">
        <f>AF102</f>
        <v>477.92</v>
      </c>
      <c r="DA102">
        <f>AJ102</f>
        <v>1.1299999999999999</v>
      </c>
      <c r="DB102">
        <f t="shared" si="30"/>
        <v>95.58</v>
      </c>
      <c r="DC102">
        <f t="shared" si="31"/>
        <v>53.42</v>
      </c>
      <c r="DD102" t="s">
        <v>3</v>
      </c>
      <c r="DE102" t="s">
        <v>3</v>
      </c>
      <c r="DF102">
        <f>ROUND(ROUND(AE102,2)*CX102,2)</f>
        <v>0</v>
      </c>
      <c r="DG102">
        <f>ROUND(ROUND(AF102*AJ102,2)*CX102,2)</f>
        <v>12.96</v>
      </c>
      <c r="DH102">
        <f t="shared" si="27"/>
        <v>6.41</v>
      </c>
      <c r="DI102">
        <f t="shared" si="28"/>
        <v>0</v>
      </c>
      <c r="DJ102">
        <f>DG102+DH102</f>
        <v>19.37</v>
      </c>
      <c r="DK102">
        <v>1</v>
      </c>
      <c r="DL102" t="s">
        <v>294</v>
      </c>
      <c r="DM102">
        <v>4</v>
      </c>
      <c r="DN102" t="s">
        <v>278</v>
      </c>
      <c r="DO102">
        <v>1</v>
      </c>
    </row>
    <row r="103" spans="1:119" x14ac:dyDescent="0.2">
      <c r="A103">
        <f>ROW(Source!A80)</f>
        <v>80</v>
      </c>
      <c r="B103">
        <v>59552816</v>
      </c>
      <c r="C103">
        <v>59553161</v>
      </c>
      <c r="D103">
        <v>58089085</v>
      </c>
      <c r="E103">
        <v>1</v>
      </c>
      <c r="F103">
        <v>1</v>
      </c>
      <c r="G103">
        <v>1</v>
      </c>
      <c r="H103">
        <v>3</v>
      </c>
      <c r="I103" t="s">
        <v>379</v>
      </c>
      <c r="J103" t="s">
        <v>380</v>
      </c>
      <c r="K103" t="s">
        <v>381</v>
      </c>
      <c r="L103">
        <v>1425</v>
      </c>
      <c r="N103">
        <v>1013</v>
      </c>
      <c r="O103" t="s">
        <v>162</v>
      </c>
      <c r="P103" t="s">
        <v>162</v>
      </c>
      <c r="Q103">
        <v>1</v>
      </c>
      <c r="W103">
        <v>0</v>
      </c>
      <c r="X103">
        <v>498651453</v>
      </c>
      <c r="Y103">
        <f t="shared" si="29"/>
        <v>1.02</v>
      </c>
      <c r="AA103">
        <v>114.31</v>
      </c>
      <c r="AB103">
        <v>0</v>
      </c>
      <c r="AC103">
        <v>0</v>
      </c>
      <c r="AD103">
        <v>0</v>
      </c>
      <c r="AE103">
        <v>87.93</v>
      </c>
      <c r="AF103">
        <v>0</v>
      </c>
      <c r="AG103">
        <v>0</v>
      </c>
      <c r="AH103">
        <v>0</v>
      </c>
      <c r="AI103">
        <v>1.3</v>
      </c>
      <c r="AJ103">
        <v>1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0</v>
      </c>
      <c r="AQ103">
        <v>1</v>
      </c>
      <c r="AR103">
        <v>0</v>
      </c>
      <c r="AS103" t="s">
        <v>3</v>
      </c>
      <c r="AT103">
        <v>1.02</v>
      </c>
      <c r="AU103" t="s">
        <v>3</v>
      </c>
      <c r="AV103">
        <v>0</v>
      </c>
      <c r="AW103">
        <v>2</v>
      </c>
      <c r="AX103">
        <v>59553166</v>
      </c>
      <c r="AY103">
        <v>1</v>
      </c>
      <c r="AZ103">
        <v>0</v>
      </c>
      <c r="BA103">
        <v>103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89.688600000000008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89.688600000000008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1</v>
      </c>
      <c r="CX103">
        <f>ROUND(Y103*Source!I80,7)</f>
        <v>0.12239999999999999</v>
      </c>
      <c r="CY103">
        <f>AA103</f>
        <v>114.31</v>
      </c>
      <c r="CZ103">
        <f>AE103</f>
        <v>87.93</v>
      </c>
      <c r="DA103">
        <f>AI103</f>
        <v>1.3</v>
      </c>
      <c r="DB103">
        <f t="shared" si="30"/>
        <v>89.69</v>
      </c>
      <c r="DC103">
        <f t="shared" si="31"/>
        <v>0</v>
      </c>
      <c r="DD103" t="s">
        <v>3</v>
      </c>
      <c r="DE103" t="s">
        <v>3</v>
      </c>
      <c r="DF103">
        <f>ROUND(ROUND(AE103*AI103,2)*CX103,2)</f>
        <v>13.99</v>
      </c>
      <c r="DG103">
        <f>ROUND(ROUND(AF103,2)*CX103,2)</f>
        <v>0</v>
      </c>
      <c r="DH103">
        <f t="shared" si="27"/>
        <v>0</v>
      </c>
      <c r="DI103">
        <f t="shared" si="28"/>
        <v>0</v>
      </c>
      <c r="DJ103">
        <f>DF103</f>
        <v>13.99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ROW(Source!A80)</f>
        <v>80</v>
      </c>
      <c r="B104">
        <v>59552816</v>
      </c>
      <c r="C104">
        <v>59553161</v>
      </c>
      <c r="D104">
        <v>0</v>
      </c>
      <c r="E104">
        <v>0</v>
      </c>
      <c r="F104">
        <v>1</v>
      </c>
      <c r="G104">
        <v>1</v>
      </c>
      <c r="H104">
        <v>3</v>
      </c>
      <c r="I104" t="s">
        <v>326</v>
      </c>
      <c r="J104" t="s">
        <v>3</v>
      </c>
      <c r="K104" t="s">
        <v>385</v>
      </c>
      <c r="L104">
        <v>1371</v>
      </c>
      <c r="N104">
        <v>1013</v>
      </c>
      <c r="O104" t="s">
        <v>386</v>
      </c>
      <c r="P104" t="s">
        <v>386</v>
      </c>
      <c r="Q104">
        <v>1</v>
      </c>
      <c r="W104">
        <v>0</v>
      </c>
      <c r="X104">
        <v>1011014108</v>
      </c>
      <c r="Y104">
        <f t="shared" si="29"/>
        <v>100</v>
      </c>
      <c r="AA104">
        <v>618</v>
      </c>
      <c r="AB104">
        <v>0</v>
      </c>
      <c r="AC104">
        <v>0</v>
      </c>
      <c r="AD104">
        <v>0</v>
      </c>
      <c r="AE104">
        <v>618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0</v>
      </c>
      <c r="AN104">
        <v>0</v>
      </c>
      <c r="AO104">
        <v>0</v>
      </c>
      <c r="AP104">
        <v>2</v>
      </c>
      <c r="AQ104">
        <v>1</v>
      </c>
      <c r="AR104">
        <v>0</v>
      </c>
      <c r="AS104" t="s">
        <v>3</v>
      </c>
      <c r="AT104">
        <v>100</v>
      </c>
      <c r="AU104" t="s">
        <v>3</v>
      </c>
      <c r="AV104">
        <v>0</v>
      </c>
      <c r="AW104">
        <v>1</v>
      </c>
      <c r="AX104">
        <v>-1</v>
      </c>
      <c r="AY104">
        <v>0</v>
      </c>
      <c r="AZ104">
        <v>0</v>
      </c>
      <c r="BA104" t="s">
        <v>3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61800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</v>
      </c>
      <c r="BQ104">
        <v>61800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CX104">
        <f>ROUND(Y104*Source!I80,7)</f>
        <v>12</v>
      </c>
      <c r="CY104">
        <f>AA104</f>
        <v>618</v>
      </c>
      <c r="CZ104">
        <f>AE104</f>
        <v>618</v>
      </c>
      <c r="DA104">
        <f>AI104</f>
        <v>1</v>
      </c>
      <c r="DB104">
        <f t="shared" si="30"/>
        <v>61800</v>
      </c>
      <c r="DC104">
        <f t="shared" si="31"/>
        <v>0</v>
      </c>
      <c r="DD104" t="s">
        <v>3</v>
      </c>
      <c r="DE104" t="s">
        <v>3</v>
      </c>
      <c r="DF104">
        <f t="shared" ref="DF104:DF109" si="32">ROUND(ROUND(AE104,2)*CX104,2)</f>
        <v>7416</v>
      </c>
      <c r="DG104">
        <f>ROUND(ROUND(AF104,2)*CX104,2)</f>
        <v>0</v>
      </c>
      <c r="DH104">
        <f t="shared" si="27"/>
        <v>0</v>
      </c>
      <c r="DI104">
        <f t="shared" si="28"/>
        <v>0</v>
      </c>
      <c r="DJ104">
        <f>DF104</f>
        <v>7416</v>
      </c>
      <c r="DK104">
        <v>2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ROW(Source!A80)</f>
        <v>80</v>
      </c>
      <c r="B105">
        <v>59552816</v>
      </c>
      <c r="C105">
        <v>59553161</v>
      </c>
      <c r="D105">
        <v>0</v>
      </c>
      <c r="E105">
        <v>0</v>
      </c>
      <c r="F105">
        <v>1</v>
      </c>
      <c r="G105">
        <v>1</v>
      </c>
      <c r="H105">
        <v>3</v>
      </c>
      <c r="I105" t="s">
        <v>326</v>
      </c>
      <c r="J105" t="s">
        <v>3</v>
      </c>
      <c r="K105" t="s">
        <v>387</v>
      </c>
      <c r="L105">
        <v>1371</v>
      </c>
      <c r="N105">
        <v>1013</v>
      </c>
      <c r="O105" t="s">
        <v>386</v>
      </c>
      <c r="P105" t="s">
        <v>386</v>
      </c>
      <c r="Q105">
        <v>1</v>
      </c>
      <c r="W105">
        <v>0</v>
      </c>
      <c r="X105">
        <v>197675933</v>
      </c>
      <c r="Y105">
        <f t="shared" si="29"/>
        <v>100</v>
      </c>
      <c r="AA105">
        <v>50</v>
      </c>
      <c r="AB105">
        <v>0</v>
      </c>
      <c r="AC105">
        <v>0</v>
      </c>
      <c r="AD105">
        <v>0</v>
      </c>
      <c r="AE105">
        <v>50</v>
      </c>
      <c r="AF105">
        <v>0</v>
      </c>
      <c r="AG105">
        <v>0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0</v>
      </c>
      <c r="AN105">
        <v>0</v>
      </c>
      <c r="AO105">
        <v>0</v>
      </c>
      <c r="AP105">
        <v>2</v>
      </c>
      <c r="AQ105">
        <v>1</v>
      </c>
      <c r="AR105">
        <v>0</v>
      </c>
      <c r="AS105" t="s">
        <v>3</v>
      </c>
      <c r="AT105">
        <v>100</v>
      </c>
      <c r="AU105" t="s">
        <v>3</v>
      </c>
      <c r="AV105">
        <v>0</v>
      </c>
      <c r="AW105">
        <v>1</v>
      </c>
      <c r="AX105">
        <v>-1</v>
      </c>
      <c r="AY105">
        <v>0</v>
      </c>
      <c r="AZ105">
        <v>0</v>
      </c>
      <c r="BA105" t="s">
        <v>3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5000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</v>
      </c>
      <c r="BQ105">
        <v>5000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1</v>
      </c>
      <c r="CX105">
        <f>ROUND(Y105*Source!I80,7)</f>
        <v>12</v>
      </c>
      <c r="CY105">
        <f>AA105</f>
        <v>50</v>
      </c>
      <c r="CZ105">
        <f>AE105</f>
        <v>50</v>
      </c>
      <c r="DA105">
        <f>AI105</f>
        <v>1</v>
      </c>
      <c r="DB105">
        <f t="shared" si="30"/>
        <v>5000</v>
      </c>
      <c r="DC105">
        <f t="shared" si="31"/>
        <v>0</v>
      </c>
      <c r="DD105" t="s">
        <v>3</v>
      </c>
      <c r="DE105" t="s">
        <v>3</v>
      </c>
      <c r="DF105">
        <f t="shared" si="32"/>
        <v>600</v>
      </c>
      <c r="DG105">
        <f>ROUND(ROUND(AF105,2)*CX105,2)</f>
        <v>0</v>
      </c>
      <c r="DH105">
        <f t="shared" si="27"/>
        <v>0</v>
      </c>
      <c r="DI105">
        <f t="shared" si="28"/>
        <v>0</v>
      </c>
      <c r="DJ105">
        <f>DF105</f>
        <v>600</v>
      </c>
      <c r="DK105">
        <v>2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ROW(Source!A116)</f>
        <v>116</v>
      </c>
      <c r="B106">
        <v>59552816</v>
      </c>
      <c r="C106">
        <v>59553515</v>
      </c>
      <c r="D106">
        <v>57987291</v>
      </c>
      <c r="E106">
        <v>107</v>
      </c>
      <c r="F106">
        <v>1</v>
      </c>
      <c r="G106">
        <v>1</v>
      </c>
      <c r="H106">
        <v>1</v>
      </c>
      <c r="I106" t="s">
        <v>362</v>
      </c>
      <c r="J106" t="s">
        <v>3</v>
      </c>
      <c r="K106" t="s">
        <v>363</v>
      </c>
      <c r="L106">
        <v>1191</v>
      </c>
      <c r="N106">
        <v>1013</v>
      </c>
      <c r="O106" t="s">
        <v>278</v>
      </c>
      <c r="P106" t="s">
        <v>278</v>
      </c>
      <c r="Q106">
        <v>1</v>
      </c>
      <c r="W106">
        <v>0</v>
      </c>
      <c r="X106">
        <v>-983457869</v>
      </c>
      <c r="Y106">
        <f t="shared" si="29"/>
        <v>95.76</v>
      </c>
      <c r="AA106">
        <v>0</v>
      </c>
      <c r="AB106">
        <v>0</v>
      </c>
      <c r="AC106">
        <v>0</v>
      </c>
      <c r="AD106">
        <v>240.18</v>
      </c>
      <c r="AE106">
        <v>0</v>
      </c>
      <c r="AF106">
        <v>0</v>
      </c>
      <c r="AG106">
        <v>0</v>
      </c>
      <c r="AH106">
        <v>240.18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0</v>
      </c>
      <c r="AP106">
        <v>0</v>
      </c>
      <c r="AQ106">
        <v>1</v>
      </c>
      <c r="AR106">
        <v>0</v>
      </c>
      <c r="AS106" t="s">
        <v>3</v>
      </c>
      <c r="AT106">
        <v>95.76</v>
      </c>
      <c r="AU106" t="s">
        <v>3</v>
      </c>
      <c r="AV106">
        <v>1</v>
      </c>
      <c r="AW106">
        <v>2</v>
      </c>
      <c r="AX106">
        <v>59553516</v>
      </c>
      <c r="AY106">
        <v>1</v>
      </c>
      <c r="AZ106">
        <v>0</v>
      </c>
      <c r="BA106">
        <v>105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22999.6368</v>
      </c>
      <c r="BN106">
        <v>95.76</v>
      </c>
      <c r="BO106">
        <v>0</v>
      </c>
      <c r="BP106">
        <v>1</v>
      </c>
      <c r="BQ106">
        <v>0</v>
      </c>
      <c r="BR106">
        <v>0</v>
      </c>
      <c r="BS106">
        <v>0</v>
      </c>
      <c r="BT106">
        <v>22999.6368</v>
      </c>
      <c r="BU106">
        <v>95.76</v>
      </c>
      <c r="BV106">
        <v>0</v>
      </c>
      <c r="BW106">
        <v>1</v>
      </c>
      <c r="CX106">
        <f>ROUND(Y106*Source!I116,7)</f>
        <v>4.8263040000000004</v>
      </c>
      <c r="CY106">
        <f>AD106</f>
        <v>240.18</v>
      </c>
      <c r="CZ106">
        <f>AH106</f>
        <v>240.18</v>
      </c>
      <c r="DA106">
        <f>AL106</f>
        <v>1</v>
      </c>
      <c r="DB106">
        <f t="shared" si="30"/>
        <v>22999.64</v>
      </c>
      <c r="DC106">
        <f t="shared" si="31"/>
        <v>0</v>
      </c>
      <c r="DD106" t="s">
        <v>3</v>
      </c>
      <c r="DE106" t="s">
        <v>3</v>
      </c>
      <c r="DF106">
        <f t="shared" si="32"/>
        <v>0</v>
      </c>
      <c r="DG106">
        <f>ROUND(ROUND(AF106,2)*CX106,2)</f>
        <v>0</v>
      </c>
      <c r="DH106">
        <f t="shared" si="27"/>
        <v>0</v>
      </c>
      <c r="DI106">
        <f t="shared" si="28"/>
        <v>1159.18</v>
      </c>
      <c r="DJ106">
        <f>DI106</f>
        <v>1159.18</v>
      </c>
      <c r="DK106">
        <v>1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ROW(Source!A116)</f>
        <v>116</v>
      </c>
      <c r="B107">
        <v>59552816</v>
      </c>
      <c r="C107">
        <v>59553515</v>
      </c>
      <c r="D107">
        <v>57987490</v>
      </c>
      <c r="E107">
        <v>107</v>
      </c>
      <c r="F107">
        <v>1</v>
      </c>
      <c r="G107">
        <v>1</v>
      </c>
      <c r="H107">
        <v>1</v>
      </c>
      <c r="I107" t="s">
        <v>284</v>
      </c>
      <c r="J107" t="s">
        <v>3</v>
      </c>
      <c r="K107" t="s">
        <v>285</v>
      </c>
      <c r="L107">
        <v>1191</v>
      </c>
      <c r="N107">
        <v>1013</v>
      </c>
      <c r="O107" t="s">
        <v>278</v>
      </c>
      <c r="P107" t="s">
        <v>278</v>
      </c>
      <c r="Q107">
        <v>1</v>
      </c>
      <c r="W107">
        <v>0</v>
      </c>
      <c r="X107">
        <v>-1417349443</v>
      </c>
      <c r="Y107">
        <f t="shared" si="29"/>
        <v>0.16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0</v>
      </c>
      <c r="AP107">
        <v>0</v>
      </c>
      <c r="AQ107">
        <v>1</v>
      </c>
      <c r="AR107">
        <v>0</v>
      </c>
      <c r="AS107" t="s">
        <v>3</v>
      </c>
      <c r="AT107">
        <v>0.16</v>
      </c>
      <c r="AU107" t="s">
        <v>3</v>
      </c>
      <c r="AV107">
        <v>2</v>
      </c>
      <c r="AW107">
        <v>2</v>
      </c>
      <c r="AX107">
        <v>59553517</v>
      </c>
      <c r="AY107">
        <v>1</v>
      </c>
      <c r="AZ107">
        <v>0</v>
      </c>
      <c r="BA107">
        <v>106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0.16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0.16</v>
      </c>
      <c r="BW107">
        <v>1</v>
      </c>
      <c r="CX107">
        <f>ROUND(Y107*Source!I116,7)</f>
        <v>8.064E-3</v>
      </c>
      <c r="CY107">
        <f>AD107</f>
        <v>0</v>
      </c>
      <c r="CZ107">
        <f>AH107</f>
        <v>0</v>
      </c>
      <c r="DA107">
        <f>AL107</f>
        <v>1</v>
      </c>
      <c r="DB107">
        <f t="shared" si="30"/>
        <v>0</v>
      </c>
      <c r="DC107">
        <f t="shared" si="31"/>
        <v>0</v>
      </c>
      <c r="DD107" t="s">
        <v>3</v>
      </c>
      <c r="DE107" t="s">
        <v>3</v>
      </c>
      <c r="DF107">
        <f t="shared" si="32"/>
        <v>0</v>
      </c>
      <c r="DG107">
        <f>ROUND(ROUND(AF107,2)*CX107,2)</f>
        <v>0</v>
      </c>
      <c r="DH107">
        <f t="shared" si="27"/>
        <v>0</v>
      </c>
      <c r="DI107">
        <f t="shared" si="28"/>
        <v>0</v>
      </c>
      <c r="DJ107">
        <f>DI107</f>
        <v>0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ROW(Source!A116)</f>
        <v>116</v>
      </c>
      <c r="B108">
        <v>59552816</v>
      </c>
      <c r="C108">
        <v>59553515</v>
      </c>
      <c r="D108">
        <v>58107260</v>
      </c>
      <c r="E108">
        <v>1</v>
      </c>
      <c r="F108">
        <v>1</v>
      </c>
      <c r="G108">
        <v>1</v>
      </c>
      <c r="H108">
        <v>2</v>
      </c>
      <c r="I108" t="s">
        <v>286</v>
      </c>
      <c r="J108" t="s">
        <v>287</v>
      </c>
      <c r="K108" t="s">
        <v>288</v>
      </c>
      <c r="L108">
        <v>1368</v>
      </c>
      <c r="N108">
        <v>1011</v>
      </c>
      <c r="O108" t="s">
        <v>289</v>
      </c>
      <c r="P108" t="s">
        <v>289</v>
      </c>
      <c r="Q108">
        <v>1</v>
      </c>
      <c r="W108">
        <v>0</v>
      </c>
      <c r="X108">
        <v>-275119293</v>
      </c>
      <c r="Y108">
        <f t="shared" si="29"/>
        <v>0.1</v>
      </c>
      <c r="AA108">
        <v>0</v>
      </c>
      <c r="AB108">
        <v>48.89</v>
      </c>
      <c r="AC108">
        <v>237.19</v>
      </c>
      <c r="AD108">
        <v>0</v>
      </c>
      <c r="AE108">
        <v>0</v>
      </c>
      <c r="AF108">
        <v>37.32</v>
      </c>
      <c r="AG108">
        <v>237.19</v>
      </c>
      <c r="AH108">
        <v>0</v>
      </c>
      <c r="AI108">
        <v>1</v>
      </c>
      <c r="AJ108">
        <v>1.31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0</v>
      </c>
      <c r="AQ108">
        <v>1</v>
      </c>
      <c r="AR108">
        <v>0</v>
      </c>
      <c r="AS108" t="s">
        <v>3</v>
      </c>
      <c r="AT108">
        <v>0.1</v>
      </c>
      <c r="AU108" t="s">
        <v>3</v>
      </c>
      <c r="AV108">
        <v>1</v>
      </c>
      <c r="AW108">
        <v>2</v>
      </c>
      <c r="AX108">
        <v>59553518</v>
      </c>
      <c r="AY108">
        <v>1</v>
      </c>
      <c r="AZ108">
        <v>0</v>
      </c>
      <c r="BA108">
        <v>107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3.7320000000000002</v>
      </c>
      <c r="BL108">
        <v>23.719000000000001</v>
      </c>
      <c r="BM108">
        <v>0</v>
      </c>
      <c r="BN108">
        <v>0</v>
      </c>
      <c r="BO108">
        <v>0</v>
      </c>
      <c r="BP108">
        <v>1</v>
      </c>
      <c r="BQ108">
        <v>0</v>
      </c>
      <c r="BR108">
        <v>3.7320000000000002</v>
      </c>
      <c r="BS108">
        <v>23.719000000000001</v>
      </c>
      <c r="BT108">
        <v>0</v>
      </c>
      <c r="BU108">
        <v>0</v>
      </c>
      <c r="BV108">
        <v>0</v>
      </c>
      <c r="BW108">
        <v>1</v>
      </c>
      <c r="CX108">
        <f>ROUND(Y108*Source!I116,7)</f>
        <v>5.0400000000000002E-3</v>
      </c>
      <c r="CY108">
        <f>AB108</f>
        <v>48.89</v>
      </c>
      <c r="CZ108">
        <f>AF108</f>
        <v>37.32</v>
      </c>
      <c r="DA108">
        <f>AJ108</f>
        <v>1.31</v>
      </c>
      <c r="DB108">
        <f t="shared" si="30"/>
        <v>3.73</v>
      </c>
      <c r="DC108">
        <f t="shared" si="31"/>
        <v>23.72</v>
      </c>
      <c r="DD108" t="s">
        <v>3</v>
      </c>
      <c r="DE108" t="s">
        <v>3</v>
      </c>
      <c r="DF108">
        <f t="shared" si="32"/>
        <v>0</v>
      </c>
      <c r="DG108">
        <f>ROUND(ROUND(AF108*AJ108,2)*CX108,2)</f>
        <v>0.25</v>
      </c>
      <c r="DH108">
        <f t="shared" si="27"/>
        <v>1.2</v>
      </c>
      <c r="DI108">
        <f t="shared" si="28"/>
        <v>0</v>
      </c>
      <c r="DJ108">
        <f>DG108+DH108</f>
        <v>1.45</v>
      </c>
      <c r="DK108">
        <v>1</v>
      </c>
      <c r="DL108" t="s">
        <v>290</v>
      </c>
      <c r="DM108">
        <v>3</v>
      </c>
      <c r="DN108" t="s">
        <v>278</v>
      </c>
      <c r="DO108">
        <v>1</v>
      </c>
    </row>
    <row r="109" spans="1:119" x14ac:dyDescent="0.2">
      <c r="A109">
        <f>ROW(Source!A116)</f>
        <v>116</v>
      </c>
      <c r="B109">
        <v>59552816</v>
      </c>
      <c r="C109">
        <v>59553515</v>
      </c>
      <c r="D109">
        <v>58107956</v>
      </c>
      <c r="E109">
        <v>1</v>
      </c>
      <c r="F109">
        <v>1</v>
      </c>
      <c r="G109">
        <v>1</v>
      </c>
      <c r="H109">
        <v>2</v>
      </c>
      <c r="I109" t="s">
        <v>291</v>
      </c>
      <c r="J109" t="s">
        <v>292</v>
      </c>
      <c r="K109" t="s">
        <v>293</v>
      </c>
      <c r="L109">
        <v>1368</v>
      </c>
      <c r="N109">
        <v>1011</v>
      </c>
      <c r="O109" t="s">
        <v>289</v>
      </c>
      <c r="P109" t="s">
        <v>289</v>
      </c>
      <c r="Q109">
        <v>1</v>
      </c>
      <c r="W109">
        <v>0</v>
      </c>
      <c r="X109">
        <v>-1755708642</v>
      </c>
      <c r="Y109">
        <f t="shared" si="29"/>
        <v>0.06</v>
      </c>
      <c r="AA109">
        <v>0</v>
      </c>
      <c r="AB109">
        <v>540.04999999999995</v>
      </c>
      <c r="AC109">
        <v>267.08999999999997</v>
      </c>
      <c r="AD109">
        <v>0</v>
      </c>
      <c r="AE109">
        <v>0</v>
      </c>
      <c r="AF109">
        <v>477.92</v>
      </c>
      <c r="AG109">
        <v>267.08999999999997</v>
      </c>
      <c r="AH109">
        <v>0</v>
      </c>
      <c r="AI109">
        <v>1</v>
      </c>
      <c r="AJ109">
        <v>1.1299999999999999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0</v>
      </c>
      <c r="AQ109">
        <v>1</v>
      </c>
      <c r="AR109">
        <v>0</v>
      </c>
      <c r="AS109" t="s">
        <v>3</v>
      </c>
      <c r="AT109">
        <v>0.06</v>
      </c>
      <c r="AU109" t="s">
        <v>3</v>
      </c>
      <c r="AV109">
        <v>1</v>
      </c>
      <c r="AW109">
        <v>2</v>
      </c>
      <c r="AX109">
        <v>59553519</v>
      </c>
      <c r="AY109">
        <v>1</v>
      </c>
      <c r="AZ109">
        <v>0</v>
      </c>
      <c r="BA109">
        <v>108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28.6752</v>
      </c>
      <c r="BL109">
        <v>16.025399999999998</v>
      </c>
      <c r="BM109">
        <v>0</v>
      </c>
      <c r="BN109">
        <v>0</v>
      </c>
      <c r="BO109">
        <v>0</v>
      </c>
      <c r="BP109">
        <v>1</v>
      </c>
      <c r="BQ109">
        <v>0</v>
      </c>
      <c r="BR109">
        <v>28.6752</v>
      </c>
      <c r="BS109">
        <v>16.025399999999998</v>
      </c>
      <c r="BT109">
        <v>0</v>
      </c>
      <c r="BU109">
        <v>0</v>
      </c>
      <c r="BV109">
        <v>0</v>
      </c>
      <c r="BW109">
        <v>1</v>
      </c>
      <c r="CX109">
        <f>ROUND(Y109*Source!I116,7)</f>
        <v>3.0240000000000002E-3</v>
      </c>
      <c r="CY109">
        <f>AB109</f>
        <v>540.04999999999995</v>
      </c>
      <c r="CZ109">
        <f>AF109</f>
        <v>477.92</v>
      </c>
      <c r="DA109">
        <f>AJ109</f>
        <v>1.1299999999999999</v>
      </c>
      <c r="DB109">
        <f t="shared" si="30"/>
        <v>28.68</v>
      </c>
      <c r="DC109">
        <f t="shared" si="31"/>
        <v>16.03</v>
      </c>
      <c r="DD109" t="s">
        <v>3</v>
      </c>
      <c r="DE109" t="s">
        <v>3</v>
      </c>
      <c r="DF109">
        <f t="shared" si="32"/>
        <v>0</v>
      </c>
      <c r="DG109">
        <f>ROUND(ROUND(AF109*AJ109,2)*CX109,2)</f>
        <v>1.63</v>
      </c>
      <c r="DH109">
        <f t="shared" si="27"/>
        <v>0.81</v>
      </c>
      <c r="DI109">
        <f t="shared" si="28"/>
        <v>0</v>
      </c>
      <c r="DJ109">
        <f>DG109+DH109</f>
        <v>2.44</v>
      </c>
      <c r="DK109">
        <v>1</v>
      </c>
      <c r="DL109" t="s">
        <v>294</v>
      </c>
      <c r="DM109">
        <v>4</v>
      </c>
      <c r="DN109" t="s">
        <v>278</v>
      </c>
      <c r="DO109">
        <v>1</v>
      </c>
    </row>
    <row r="110" spans="1:119" x14ac:dyDescent="0.2">
      <c r="A110">
        <f>ROW(Source!A116)</f>
        <v>116</v>
      </c>
      <c r="B110">
        <v>59552816</v>
      </c>
      <c r="C110">
        <v>59553515</v>
      </c>
      <c r="D110">
        <v>58061949</v>
      </c>
      <c r="E110">
        <v>1</v>
      </c>
      <c r="F110">
        <v>1</v>
      </c>
      <c r="G110">
        <v>1</v>
      </c>
      <c r="H110">
        <v>3</v>
      </c>
      <c r="I110" t="s">
        <v>388</v>
      </c>
      <c r="J110" t="s">
        <v>389</v>
      </c>
      <c r="K110" t="s">
        <v>390</v>
      </c>
      <c r="L110">
        <v>1346</v>
      </c>
      <c r="N110">
        <v>1009</v>
      </c>
      <c r="O110" t="s">
        <v>336</v>
      </c>
      <c r="P110" t="s">
        <v>336</v>
      </c>
      <c r="Q110">
        <v>1</v>
      </c>
      <c r="W110">
        <v>0</v>
      </c>
      <c r="X110">
        <v>2102289902</v>
      </c>
      <c r="Y110">
        <f t="shared" si="29"/>
        <v>1.44</v>
      </c>
      <c r="AA110">
        <v>2557.77</v>
      </c>
      <c r="AB110">
        <v>0</v>
      </c>
      <c r="AC110">
        <v>0</v>
      </c>
      <c r="AD110">
        <v>0</v>
      </c>
      <c r="AE110">
        <v>2507.62</v>
      </c>
      <c r="AF110">
        <v>0</v>
      </c>
      <c r="AG110">
        <v>0</v>
      </c>
      <c r="AH110">
        <v>0</v>
      </c>
      <c r="AI110">
        <v>1.02</v>
      </c>
      <c r="AJ110">
        <v>1</v>
      </c>
      <c r="AK110">
        <v>1</v>
      </c>
      <c r="AL110">
        <v>1</v>
      </c>
      <c r="AM110">
        <v>2</v>
      </c>
      <c r="AN110">
        <v>0</v>
      </c>
      <c r="AO110">
        <v>0</v>
      </c>
      <c r="AP110">
        <v>0</v>
      </c>
      <c r="AQ110">
        <v>1</v>
      </c>
      <c r="AR110">
        <v>0</v>
      </c>
      <c r="AS110" t="s">
        <v>3</v>
      </c>
      <c r="AT110">
        <v>1.44</v>
      </c>
      <c r="AU110" t="s">
        <v>3</v>
      </c>
      <c r="AV110">
        <v>0</v>
      </c>
      <c r="AW110">
        <v>2</v>
      </c>
      <c r="AX110">
        <v>59553520</v>
      </c>
      <c r="AY110">
        <v>1</v>
      </c>
      <c r="AZ110">
        <v>0</v>
      </c>
      <c r="BA110">
        <v>109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3610.9727999999996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</v>
      </c>
      <c r="BQ110">
        <v>3610.9727999999996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CX110">
        <f>ROUND(Y110*Source!I116,7)</f>
        <v>7.2576000000000002E-2</v>
      </c>
      <c r="CY110">
        <f t="shared" ref="CY110:CY115" si="33">AA110</f>
        <v>2557.77</v>
      </c>
      <c r="CZ110">
        <f t="shared" ref="CZ110:CZ115" si="34">AE110</f>
        <v>2507.62</v>
      </c>
      <c r="DA110">
        <f t="shared" ref="DA110:DA115" si="35">AI110</f>
        <v>1.02</v>
      </c>
      <c r="DB110">
        <f t="shared" si="30"/>
        <v>3610.97</v>
      </c>
      <c r="DC110">
        <f t="shared" si="31"/>
        <v>0</v>
      </c>
      <c r="DD110" t="s">
        <v>3</v>
      </c>
      <c r="DE110" t="s">
        <v>3</v>
      </c>
      <c r="DF110">
        <f>ROUND(ROUND(AE110*AI110,2)*CX110,2)</f>
        <v>185.63</v>
      </c>
      <c r="DG110">
        <f t="shared" ref="DG110:DG117" si="36">ROUND(ROUND(AF110,2)*CX110,2)</f>
        <v>0</v>
      </c>
      <c r="DH110">
        <f t="shared" si="27"/>
        <v>0</v>
      </c>
      <c r="DI110">
        <f t="shared" si="28"/>
        <v>0</v>
      </c>
      <c r="DJ110">
        <f t="shared" ref="DJ110:DJ115" si="37">DF110</f>
        <v>185.63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ROW(Source!A116)</f>
        <v>116</v>
      </c>
      <c r="B111">
        <v>59552816</v>
      </c>
      <c r="C111">
        <v>59553515</v>
      </c>
      <c r="D111">
        <v>58063386</v>
      </c>
      <c r="E111">
        <v>1</v>
      </c>
      <c r="F111">
        <v>1</v>
      </c>
      <c r="G111">
        <v>1</v>
      </c>
      <c r="H111">
        <v>3</v>
      </c>
      <c r="I111" t="s">
        <v>352</v>
      </c>
      <c r="J111" t="s">
        <v>353</v>
      </c>
      <c r="K111" t="s">
        <v>354</v>
      </c>
      <c r="L111">
        <v>1327</v>
      </c>
      <c r="N111">
        <v>1005</v>
      </c>
      <c r="O111" t="s">
        <v>49</v>
      </c>
      <c r="P111" t="s">
        <v>49</v>
      </c>
      <c r="Q111">
        <v>1</v>
      </c>
      <c r="W111">
        <v>0</v>
      </c>
      <c r="X111">
        <v>-56027178</v>
      </c>
      <c r="Y111">
        <f t="shared" si="29"/>
        <v>1.1000000000000001</v>
      </c>
      <c r="AA111">
        <v>542.07000000000005</v>
      </c>
      <c r="AB111">
        <v>0</v>
      </c>
      <c r="AC111">
        <v>0</v>
      </c>
      <c r="AD111">
        <v>0</v>
      </c>
      <c r="AE111">
        <v>531.44000000000005</v>
      </c>
      <c r="AF111">
        <v>0</v>
      </c>
      <c r="AG111">
        <v>0</v>
      </c>
      <c r="AH111">
        <v>0</v>
      </c>
      <c r="AI111">
        <v>1.02</v>
      </c>
      <c r="AJ111">
        <v>1</v>
      </c>
      <c r="AK111">
        <v>1</v>
      </c>
      <c r="AL111">
        <v>1</v>
      </c>
      <c r="AM111">
        <v>2</v>
      </c>
      <c r="AN111">
        <v>0</v>
      </c>
      <c r="AO111">
        <v>0</v>
      </c>
      <c r="AP111">
        <v>0</v>
      </c>
      <c r="AQ111">
        <v>1</v>
      </c>
      <c r="AR111">
        <v>0</v>
      </c>
      <c r="AS111" t="s">
        <v>3</v>
      </c>
      <c r="AT111">
        <v>1.1000000000000001</v>
      </c>
      <c r="AU111" t="s">
        <v>3</v>
      </c>
      <c r="AV111">
        <v>0</v>
      </c>
      <c r="AW111">
        <v>2</v>
      </c>
      <c r="AX111">
        <v>59553521</v>
      </c>
      <c r="AY111">
        <v>1</v>
      </c>
      <c r="AZ111">
        <v>0</v>
      </c>
      <c r="BA111">
        <v>110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584.58400000000006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584.58400000000006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CX111">
        <f>ROUND(Y111*Source!I116,7)</f>
        <v>5.5440000000000003E-2</v>
      </c>
      <c r="CY111">
        <f t="shared" si="33"/>
        <v>542.07000000000005</v>
      </c>
      <c r="CZ111">
        <f t="shared" si="34"/>
        <v>531.44000000000005</v>
      </c>
      <c r="DA111">
        <f t="shared" si="35"/>
        <v>1.02</v>
      </c>
      <c r="DB111">
        <f t="shared" si="30"/>
        <v>584.58000000000004</v>
      </c>
      <c r="DC111">
        <f t="shared" si="31"/>
        <v>0</v>
      </c>
      <c r="DD111" t="s">
        <v>3</v>
      </c>
      <c r="DE111" t="s">
        <v>3</v>
      </c>
      <c r="DF111">
        <f>ROUND(ROUND(AE111*AI111,2)*CX111,2)</f>
        <v>30.05</v>
      </c>
      <c r="DG111">
        <f t="shared" si="36"/>
        <v>0</v>
      </c>
      <c r="DH111">
        <f t="shared" si="27"/>
        <v>0</v>
      </c>
      <c r="DI111">
        <f t="shared" si="28"/>
        <v>0</v>
      </c>
      <c r="DJ111">
        <f t="shared" si="37"/>
        <v>30.05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ROW(Source!A116)</f>
        <v>116</v>
      </c>
      <c r="B112">
        <v>59552816</v>
      </c>
      <c r="C112">
        <v>59553515</v>
      </c>
      <c r="D112">
        <v>58063712</v>
      </c>
      <c r="E112">
        <v>1</v>
      </c>
      <c r="F112">
        <v>1</v>
      </c>
      <c r="G112">
        <v>1</v>
      </c>
      <c r="H112">
        <v>3</v>
      </c>
      <c r="I112" t="s">
        <v>333</v>
      </c>
      <c r="J112" t="s">
        <v>334</v>
      </c>
      <c r="K112" t="s">
        <v>335</v>
      </c>
      <c r="L112">
        <v>1346</v>
      </c>
      <c r="N112">
        <v>1009</v>
      </c>
      <c r="O112" t="s">
        <v>336</v>
      </c>
      <c r="P112" t="s">
        <v>336</v>
      </c>
      <c r="Q112">
        <v>1</v>
      </c>
      <c r="W112">
        <v>0</v>
      </c>
      <c r="X112">
        <v>-132351515</v>
      </c>
      <c r="Y112">
        <f t="shared" si="29"/>
        <v>0.18</v>
      </c>
      <c r="AA112">
        <v>106.23</v>
      </c>
      <c r="AB112">
        <v>0</v>
      </c>
      <c r="AC112">
        <v>0</v>
      </c>
      <c r="AD112">
        <v>0</v>
      </c>
      <c r="AE112">
        <v>56.81</v>
      </c>
      <c r="AF112">
        <v>0</v>
      </c>
      <c r="AG112">
        <v>0</v>
      </c>
      <c r="AH112">
        <v>0</v>
      </c>
      <c r="AI112">
        <v>1.87</v>
      </c>
      <c r="AJ112">
        <v>1</v>
      </c>
      <c r="AK112">
        <v>1</v>
      </c>
      <c r="AL112">
        <v>1</v>
      </c>
      <c r="AM112">
        <v>2</v>
      </c>
      <c r="AN112">
        <v>0</v>
      </c>
      <c r="AO112">
        <v>0</v>
      </c>
      <c r="AP112">
        <v>0</v>
      </c>
      <c r="AQ112">
        <v>1</v>
      </c>
      <c r="AR112">
        <v>0</v>
      </c>
      <c r="AS112" t="s">
        <v>3</v>
      </c>
      <c r="AT112">
        <v>0.18</v>
      </c>
      <c r="AU112" t="s">
        <v>3</v>
      </c>
      <c r="AV112">
        <v>0</v>
      </c>
      <c r="AW112">
        <v>2</v>
      </c>
      <c r="AX112">
        <v>59553522</v>
      </c>
      <c r="AY112">
        <v>1</v>
      </c>
      <c r="AZ112">
        <v>0</v>
      </c>
      <c r="BA112">
        <v>111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10.2258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10.2258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CX112">
        <f>ROUND(Y112*Source!I116,7)</f>
        <v>9.0720000000000002E-3</v>
      </c>
      <c r="CY112">
        <f t="shared" si="33"/>
        <v>106.23</v>
      </c>
      <c r="CZ112">
        <f t="shared" si="34"/>
        <v>56.81</v>
      </c>
      <c r="DA112">
        <f t="shared" si="35"/>
        <v>1.87</v>
      </c>
      <c r="DB112">
        <f t="shared" si="30"/>
        <v>10.23</v>
      </c>
      <c r="DC112">
        <f t="shared" si="31"/>
        <v>0</v>
      </c>
      <c r="DD112" t="s">
        <v>3</v>
      </c>
      <c r="DE112" t="s">
        <v>3</v>
      </c>
      <c r="DF112">
        <f>ROUND(ROUND(AE112*AI112,2)*CX112,2)</f>
        <v>0.96</v>
      </c>
      <c r="DG112">
        <f t="shared" si="36"/>
        <v>0</v>
      </c>
      <c r="DH112">
        <f t="shared" si="27"/>
        <v>0</v>
      </c>
      <c r="DI112">
        <f t="shared" si="28"/>
        <v>0</v>
      </c>
      <c r="DJ112">
        <f t="shared" si="37"/>
        <v>0.96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ROW(Source!A116)</f>
        <v>116</v>
      </c>
      <c r="B113">
        <v>59552816</v>
      </c>
      <c r="C113">
        <v>59553515</v>
      </c>
      <c r="D113">
        <v>58078902</v>
      </c>
      <c r="E113">
        <v>1</v>
      </c>
      <c r="F113">
        <v>1</v>
      </c>
      <c r="G113">
        <v>1</v>
      </c>
      <c r="H113">
        <v>3</v>
      </c>
      <c r="I113" t="s">
        <v>391</v>
      </c>
      <c r="J113" t="s">
        <v>392</v>
      </c>
      <c r="K113" t="s">
        <v>393</v>
      </c>
      <c r="L113">
        <v>1348</v>
      </c>
      <c r="N113">
        <v>1009</v>
      </c>
      <c r="O113" t="s">
        <v>281</v>
      </c>
      <c r="P113" t="s">
        <v>281</v>
      </c>
      <c r="Q113">
        <v>1000</v>
      </c>
      <c r="W113">
        <v>0</v>
      </c>
      <c r="X113">
        <v>-481097984</v>
      </c>
      <c r="Y113">
        <f t="shared" si="29"/>
        <v>9.7000000000000003E-3</v>
      </c>
      <c r="AA113">
        <v>71622.710000000006</v>
      </c>
      <c r="AB113">
        <v>0</v>
      </c>
      <c r="AC113">
        <v>0</v>
      </c>
      <c r="AD113">
        <v>0</v>
      </c>
      <c r="AE113">
        <v>60697.21</v>
      </c>
      <c r="AF113">
        <v>0</v>
      </c>
      <c r="AG113">
        <v>0</v>
      </c>
      <c r="AH113">
        <v>0</v>
      </c>
      <c r="AI113">
        <v>1.18</v>
      </c>
      <c r="AJ113">
        <v>1</v>
      </c>
      <c r="AK113">
        <v>1</v>
      </c>
      <c r="AL113">
        <v>1</v>
      </c>
      <c r="AM113">
        <v>2</v>
      </c>
      <c r="AN113">
        <v>0</v>
      </c>
      <c r="AO113">
        <v>0</v>
      </c>
      <c r="AP113">
        <v>0</v>
      </c>
      <c r="AQ113">
        <v>1</v>
      </c>
      <c r="AR113">
        <v>0</v>
      </c>
      <c r="AS113" t="s">
        <v>3</v>
      </c>
      <c r="AT113">
        <v>9.7000000000000003E-3</v>
      </c>
      <c r="AU113" t="s">
        <v>3</v>
      </c>
      <c r="AV113">
        <v>0</v>
      </c>
      <c r="AW113">
        <v>2</v>
      </c>
      <c r="AX113">
        <v>59553524</v>
      </c>
      <c r="AY113">
        <v>1</v>
      </c>
      <c r="AZ113">
        <v>0</v>
      </c>
      <c r="BA113">
        <v>113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588.76293699999997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1</v>
      </c>
      <c r="BQ113">
        <v>588.76293699999997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CX113">
        <f>ROUND(Y113*Source!I116,7)</f>
        <v>4.8890000000000001E-4</v>
      </c>
      <c r="CY113">
        <f t="shared" si="33"/>
        <v>71622.710000000006</v>
      </c>
      <c r="CZ113">
        <f t="shared" si="34"/>
        <v>60697.21</v>
      </c>
      <c r="DA113">
        <f t="shared" si="35"/>
        <v>1.18</v>
      </c>
      <c r="DB113">
        <f t="shared" si="30"/>
        <v>588.76</v>
      </c>
      <c r="DC113">
        <f t="shared" si="31"/>
        <v>0</v>
      </c>
      <c r="DD113" t="s">
        <v>3</v>
      </c>
      <c r="DE113" t="s">
        <v>3</v>
      </c>
      <c r="DF113">
        <f>ROUND(ROUND(AE113*AI113,2)*CX113,2)</f>
        <v>35.020000000000003</v>
      </c>
      <c r="DG113">
        <f t="shared" si="36"/>
        <v>0</v>
      </c>
      <c r="DH113">
        <f t="shared" si="27"/>
        <v>0</v>
      </c>
      <c r="DI113">
        <f t="shared" si="28"/>
        <v>0</v>
      </c>
      <c r="DJ113">
        <f t="shared" si="37"/>
        <v>35.020000000000003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ROW(Source!A116)</f>
        <v>116</v>
      </c>
      <c r="B114">
        <v>59552816</v>
      </c>
      <c r="C114">
        <v>59553515</v>
      </c>
      <c r="D114">
        <v>0</v>
      </c>
      <c r="E114">
        <v>0</v>
      </c>
      <c r="F114">
        <v>1</v>
      </c>
      <c r="G114">
        <v>1</v>
      </c>
      <c r="H114">
        <v>3</v>
      </c>
      <c r="I114" t="s">
        <v>326</v>
      </c>
      <c r="J114" t="s">
        <v>3</v>
      </c>
      <c r="K114" t="s">
        <v>394</v>
      </c>
      <c r="L114">
        <v>1348</v>
      </c>
      <c r="N114">
        <v>1009</v>
      </c>
      <c r="O114" t="s">
        <v>281</v>
      </c>
      <c r="P114" t="s">
        <v>281</v>
      </c>
      <c r="Q114">
        <v>1000</v>
      </c>
      <c r="W114">
        <v>0</v>
      </c>
      <c r="X114">
        <v>-522514967</v>
      </c>
      <c r="Y114">
        <f t="shared" si="29"/>
        <v>2.2599206349206351E-2</v>
      </c>
      <c r="AA114">
        <v>231790</v>
      </c>
      <c r="AB114">
        <v>0</v>
      </c>
      <c r="AC114">
        <v>0</v>
      </c>
      <c r="AD114">
        <v>0</v>
      </c>
      <c r="AE114">
        <v>231790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0</v>
      </c>
      <c r="AN114">
        <v>0</v>
      </c>
      <c r="AO114">
        <v>0</v>
      </c>
      <c r="AP114">
        <v>2</v>
      </c>
      <c r="AQ114">
        <v>1</v>
      </c>
      <c r="AR114">
        <v>0</v>
      </c>
      <c r="AS114" t="s">
        <v>3</v>
      </c>
      <c r="AT114">
        <v>2.2599206349206351E-2</v>
      </c>
      <c r="AU114" t="s">
        <v>3</v>
      </c>
      <c r="AV114">
        <v>0</v>
      </c>
      <c r="AW114">
        <v>1</v>
      </c>
      <c r="AX114">
        <v>-1</v>
      </c>
      <c r="AY114">
        <v>0</v>
      </c>
      <c r="AZ114">
        <v>0</v>
      </c>
      <c r="BA114" t="s">
        <v>3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5238.2700396825403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5238.2700396825403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CX114">
        <f>ROUND(Y114*Source!I116,7)</f>
        <v>1.139E-3</v>
      </c>
      <c r="CY114">
        <f t="shared" si="33"/>
        <v>231790</v>
      </c>
      <c r="CZ114">
        <f t="shared" si="34"/>
        <v>231790</v>
      </c>
      <c r="DA114">
        <f t="shared" si="35"/>
        <v>1</v>
      </c>
      <c r="DB114">
        <f t="shared" si="30"/>
        <v>5238.2700000000004</v>
      </c>
      <c r="DC114">
        <f t="shared" si="31"/>
        <v>0</v>
      </c>
      <c r="DD114" t="s">
        <v>3</v>
      </c>
      <c r="DE114" t="s">
        <v>3</v>
      </c>
      <c r="DF114">
        <f t="shared" ref="DF114:DF119" si="38">ROUND(ROUND(AE114,2)*CX114,2)</f>
        <v>264.01</v>
      </c>
      <c r="DG114">
        <f t="shared" si="36"/>
        <v>0</v>
      </c>
      <c r="DH114">
        <f t="shared" si="27"/>
        <v>0</v>
      </c>
      <c r="DI114">
        <f t="shared" si="28"/>
        <v>0</v>
      </c>
      <c r="DJ114">
        <f t="shared" si="37"/>
        <v>264.01</v>
      </c>
      <c r="DK114">
        <v>2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ROW(Source!A116)</f>
        <v>116</v>
      </c>
      <c r="B115">
        <v>59552816</v>
      </c>
      <c r="C115">
        <v>59553515</v>
      </c>
      <c r="D115">
        <v>0</v>
      </c>
      <c r="E115">
        <v>0</v>
      </c>
      <c r="F115">
        <v>1</v>
      </c>
      <c r="G115">
        <v>1</v>
      </c>
      <c r="H115">
        <v>3</v>
      </c>
      <c r="I115" t="s">
        <v>326</v>
      </c>
      <c r="J115" t="s">
        <v>3</v>
      </c>
      <c r="K115" t="s">
        <v>359</v>
      </c>
      <c r="L115">
        <v>1348</v>
      </c>
      <c r="N115">
        <v>1009</v>
      </c>
      <c r="O115" t="s">
        <v>281</v>
      </c>
      <c r="P115" t="s">
        <v>281</v>
      </c>
      <c r="Q115">
        <v>1000</v>
      </c>
      <c r="W115">
        <v>0</v>
      </c>
      <c r="X115">
        <v>-738615024</v>
      </c>
      <c r="Y115">
        <f t="shared" si="29"/>
        <v>4.7299603174603175E-2</v>
      </c>
      <c r="AA115">
        <v>92670</v>
      </c>
      <c r="AB115">
        <v>0</v>
      </c>
      <c r="AC115">
        <v>0</v>
      </c>
      <c r="AD115">
        <v>0</v>
      </c>
      <c r="AE115">
        <v>92670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2</v>
      </c>
      <c r="AQ115">
        <v>1</v>
      </c>
      <c r="AR115">
        <v>0</v>
      </c>
      <c r="AS115" t="s">
        <v>3</v>
      </c>
      <c r="AT115">
        <v>4.7299603174603175E-2</v>
      </c>
      <c r="AU115" t="s">
        <v>3</v>
      </c>
      <c r="AV115">
        <v>0</v>
      </c>
      <c r="AW115">
        <v>1</v>
      </c>
      <c r="AX115">
        <v>-1</v>
      </c>
      <c r="AY115">
        <v>0</v>
      </c>
      <c r="AZ115">
        <v>0</v>
      </c>
      <c r="BA115" t="s">
        <v>3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4383.2542261904764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4383.2542261904764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</v>
      </c>
      <c r="CX115">
        <f>ROUND(Y115*Source!I116,7)</f>
        <v>2.3839E-3</v>
      </c>
      <c r="CY115">
        <f t="shared" si="33"/>
        <v>92670</v>
      </c>
      <c r="CZ115">
        <f t="shared" si="34"/>
        <v>92670</v>
      </c>
      <c r="DA115">
        <f t="shared" si="35"/>
        <v>1</v>
      </c>
      <c r="DB115">
        <f t="shared" si="30"/>
        <v>4383.25</v>
      </c>
      <c r="DC115">
        <f t="shared" si="31"/>
        <v>0</v>
      </c>
      <c r="DD115" t="s">
        <v>3</v>
      </c>
      <c r="DE115" t="s">
        <v>3</v>
      </c>
      <c r="DF115">
        <f t="shared" si="38"/>
        <v>220.92</v>
      </c>
      <c r="DG115">
        <f t="shared" si="36"/>
        <v>0</v>
      </c>
      <c r="DH115">
        <f t="shared" si="27"/>
        <v>0</v>
      </c>
      <c r="DI115">
        <f t="shared" si="28"/>
        <v>0</v>
      </c>
      <c r="DJ115">
        <f t="shared" si="37"/>
        <v>220.92</v>
      </c>
      <c r="DK115">
        <v>2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ROW(Source!A152)</f>
        <v>152</v>
      </c>
      <c r="B116">
        <v>59552816</v>
      </c>
      <c r="C116">
        <v>59553421</v>
      </c>
      <c r="D116">
        <v>57987265</v>
      </c>
      <c r="E116">
        <v>107</v>
      </c>
      <c r="F116">
        <v>1</v>
      </c>
      <c r="G116">
        <v>1</v>
      </c>
      <c r="H116">
        <v>1</v>
      </c>
      <c r="I116" t="s">
        <v>395</v>
      </c>
      <c r="J116" t="s">
        <v>3</v>
      </c>
      <c r="K116" t="s">
        <v>396</v>
      </c>
      <c r="L116">
        <v>1191</v>
      </c>
      <c r="N116">
        <v>1013</v>
      </c>
      <c r="O116" t="s">
        <v>278</v>
      </c>
      <c r="P116" t="s">
        <v>278</v>
      </c>
      <c r="Q116">
        <v>1</v>
      </c>
      <c r="W116">
        <v>0</v>
      </c>
      <c r="X116">
        <v>1903864200</v>
      </c>
      <c r="Y116">
        <f>(AT116*ROUND(1.15,7))</f>
        <v>77.855000000000004</v>
      </c>
      <c r="AA116">
        <v>0</v>
      </c>
      <c r="AB116">
        <v>0</v>
      </c>
      <c r="AC116">
        <v>0</v>
      </c>
      <c r="AD116">
        <v>223.24</v>
      </c>
      <c r="AE116">
        <v>0</v>
      </c>
      <c r="AF116">
        <v>0</v>
      </c>
      <c r="AG116">
        <v>0</v>
      </c>
      <c r="AH116">
        <v>223.24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0</v>
      </c>
      <c r="AP116">
        <v>1</v>
      </c>
      <c r="AQ116">
        <v>1</v>
      </c>
      <c r="AR116">
        <v>0</v>
      </c>
      <c r="AS116" t="s">
        <v>3</v>
      </c>
      <c r="AT116">
        <v>67.7</v>
      </c>
      <c r="AU116" t="s">
        <v>29</v>
      </c>
      <c r="AV116">
        <v>1</v>
      </c>
      <c r="AW116">
        <v>2</v>
      </c>
      <c r="AX116">
        <v>59553422</v>
      </c>
      <c r="AY116">
        <v>1</v>
      </c>
      <c r="AZ116">
        <v>0</v>
      </c>
      <c r="BA116">
        <v>115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15113.348000000002</v>
      </c>
      <c r="BN116">
        <v>67.7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17380.350200000001</v>
      </c>
      <c r="BU116">
        <v>77.855000000000004</v>
      </c>
      <c r="BV116">
        <v>0</v>
      </c>
      <c r="BW116">
        <v>1</v>
      </c>
      <c r="CX116">
        <f>ROUND(Y116*Source!I152,7)</f>
        <v>8.5640499999999999</v>
      </c>
      <c r="CY116">
        <f>AD116</f>
        <v>223.24</v>
      </c>
      <c r="CZ116">
        <f>AH116</f>
        <v>223.24</v>
      </c>
      <c r="DA116">
        <f>AL116</f>
        <v>1</v>
      </c>
      <c r="DB116">
        <f>ROUND((ROUND(AT116*CZ116,2)*ROUND(1.15,7)),2)</f>
        <v>17380.349999999999</v>
      </c>
      <c r="DC116">
        <f>ROUND((ROUND(AT116*AG116,2)*ROUND(1.15,7)),2)</f>
        <v>0</v>
      </c>
      <c r="DD116" t="s">
        <v>3</v>
      </c>
      <c r="DE116" t="s">
        <v>3</v>
      </c>
      <c r="DF116">
        <f t="shared" si="38"/>
        <v>0</v>
      </c>
      <c r="DG116">
        <f t="shared" si="36"/>
        <v>0</v>
      </c>
      <c r="DH116">
        <f t="shared" si="27"/>
        <v>0</v>
      </c>
      <c r="DI116">
        <f t="shared" si="28"/>
        <v>1911.84</v>
      </c>
      <c r="DJ116">
        <f>DI116</f>
        <v>1911.84</v>
      </c>
      <c r="DK116">
        <v>1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ROW(Source!A152)</f>
        <v>152</v>
      </c>
      <c r="B117">
        <v>59552816</v>
      </c>
      <c r="C117">
        <v>59553421</v>
      </c>
      <c r="D117">
        <v>57987490</v>
      </c>
      <c r="E117">
        <v>107</v>
      </c>
      <c r="F117">
        <v>1</v>
      </c>
      <c r="G117">
        <v>1</v>
      </c>
      <c r="H117">
        <v>1</v>
      </c>
      <c r="I117" t="s">
        <v>284</v>
      </c>
      <c r="J117" t="s">
        <v>3</v>
      </c>
      <c r="K117" t="s">
        <v>285</v>
      </c>
      <c r="L117">
        <v>1191</v>
      </c>
      <c r="N117">
        <v>1013</v>
      </c>
      <c r="O117" t="s">
        <v>278</v>
      </c>
      <c r="P117" t="s">
        <v>278</v>
      </c>
      <c r="Q117">
        <v>1</v>
      </c>
      <c r="W117">
        <v>0</v>
      </c>
      <c r="X117">
        <v>-1417349443</v>
      </c>
      <c r="Y117">
        <f>(AT117*ROUND(1.25,7))</f>
        <v>5.25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-2</v>
      </c>
      <c r="AN117">
        <v>0</v>
      </c>
      <c r="AO117">
        <v>0</v>
      </c>
      <c r="AP117">
        <v>1</v>
      </c>
      <c r="AQ117">
        <v>1</v>
      </c>
      <c r="AR117">
        <v>0</v>
      </c>
      <c r="AS117" t="s">
        <v>3</v>
      </c>
      <c r="AT117">
        <v>4.2</v>
      </c>
      <c r="AU117" t="s">
        <v>28</v>
      </c>
      <c r="AV117">
        <v>2</v>
      </c>
      <c r="AW117">
        <v>2</v>
      </c>
      <c r="AX117">
        <v>59553423</v>
      </c>
      <c r="AY117">
        <v>1</v>
      </c>
      <c r="AZ117">
        <v>0</v>
      </c>
      <c r="BA117">
        <v>116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4.2</v>
      </c>
      <c r="BP117">
        <v>1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5.25</v>
      </c>
      <c r="BW117">
        <v>1</v>
      </c>
      <c r="CX117">
        <f>ROUND(Y117*Source!I152,7)</f>
        <v>0.57750000000000001</v>
      </c>
      <c r="CY117">
        <f>AD117</f>
        <v>0</v>
      </c>
      <c r="CZ117">
        <f>AH117</f>
        <v>0</v>
      </c>
      <c r="DA117">
        <f>AL117</f>
        <v>1</v>
      </c>
      <c r="DB117">
        <f>ROUND((ROUND(AT117*CZ117,2)*ROUND(1.25,7)),2)</f>
        <v>0</v>
      </c>
      <c r="DC117">
        <f>ROUND((ROUND(AT117*AG117,2)*ROUND(1.25,7)),2)</f>
        <v>0</v>
      </c>
      <c r="DD117" t="s">
        <v>3</v>
      </c>
      <c r="DE117" t="s">
        <v>3</v>
      </c>
      <c r="DF117">
        <f t="shared" si="38"/>
        <v>0</v>
      </c>
      <c r="DG117">
        <f t="shared" si="36"/>
        <v>0</v>
      </c>
      <c r="DH117">
        <f t="shared" si="27"/>
        <v>0</v>
      </c>
      <c r="DI117">
        <f t="shared" si="28"/>
        <v>0</v>
      </c>
      <c r="DJ117">
        <f>DI117</f>
        <v>0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ROW(Source!A152)</f>
        <v>152</v>
      </c>
      <c r="B118">
        <v>59552816</v>
      </c>
      <c r="C118">
        <v>59553421</v>
      </c>
      <c r="D118">
        <v>58107260</v>
      </c>
      <c r="E118">
        <v>1</v>
      </c>
      <c r="F118">
        <v>1</v>
      </c>
      <c r="G118">
        <v>1</v>
      </c>
      <c r="H118">
        <v>2</v>
      </c>
      <c r="I118" t="s">
        <v>286</v>
      </c>
      <c r="J118" t="s">
        <v>287</v>
      </c>
      <c r="K118" t="s">
        <v>288</v>
      </c>
      <c r="L118">
        <v>1368</v>
      </c>
      <c r="N118">
        <v>1011</v>
      </c>
      <c r="O118" t="s">
        <v>289</v>
      </c>
      <c r="P118" t="s">
        <v>289</v>
      </c>
      <c r="Q118">
        <v>1</v>
      </c>
      <c r="W118">
        <v>0</v>
      </c>
      <c r="X118">
        <v>-275119293</v>
      </c>
      <c r="Y118">
        <f>(AT118*ROUND(1.25,7))</f>
        <v>2.1625000000000001</v>
      </c>
      <c r="AA118">
        <v>0</v>
      </c>
      <c r="AB118">
        <v>48.89</v>
      </c>
      <c r="AC118">
        <v>237.19</v>
      </c>
      <c r="AD118">
        <v>0</v>
      </c>
      <c r="AE118">
        <v>0</v>
      </c>
      <c r="AF118">
        <v>37.32</v>
      </c>
      <c r="AG118">
        <v>237.19</v>
      </c>
      <c r="AH118">
        <v>0</v>
      </c>
      <c r="AI118">
        <v>1</v>
      </c>
      <c r="AJ118">
        <v>1.31</v>
      </c>
      <c r="AK118">
        <v>1</v>
      </c>
      <c r="AL118">
        <v>1</v>
      </c>
      <c r="AM118">
        <v>2</v>
      </c>
      <c r="AN118">
        <v>0</v>
      </c>
      <c r="AO118">
        <v>0</v>
      </c>
      <c r="AP118">
        <v>1</v>
      </c>
      <c r="AQ118">
        <v>1</v>
      </c>
      <c r="AR118">
        <v>0</v>
      </c>
      <c r="AS118" t="s">
        <v>3</v>
      </c>
      <c r="AT118">
        <v>1.73</v>
      </c>
      <c r="AU118" t="s">
        <v>28</v>
      </c>
      <c r="AV118">
        <v>1</v>
      </c>
      <c r="AW118">
        <v>2</v>
      </c>
      <c r="AX118">
        <v>59553424</v>
      </c>
      <c r="AY118">
        <v>1</v>
      </c>
      <c r="AZ118">
        <v>0</v>
      </c>
      <c r="BA118">
        <v>117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64.563599999999994</v>
      </c>
      <c r="BL118">
        <v>410.33870000000002</v>
      </c>
      <c r="BM118">
        <v>0</v>
      </c>
      <c r="BN118">
        <v>0</v>
      </c>
      <c r="BO118">
        <v>0</v>
      </c>
      <c r="BP118">
        <v>1</v>
      </c>
      <c r="BQ118">
        <v>0</v>
      </c>
      <c r="BR118">
        <v>80.70450000000001</v>
      </c>
      <c r="BS118">
        <v>512.92337499999996</v>
      </c>
      <c r="BT118">
        <v>0</v>
      </c>
      <c r="BU118">
        <v>0</v>
      </c>
      <c r="BV118">
        <v>0</v>
      </c>
      <c r="BW118">
        <v>1</v>
      </c>
      <c r="CX118">
        <f>ROUND(Y118*Source!I152,7)</f>
        <v>0.237875</v>
      </c>
      <c r="CY118">
        <f>AB118</f>
        <v>48.89</v>
      </c>
      <c r="CZ118">
        <f>AF118</f>
        <v>37.32</v>
      </c>
      <c r="DA118">
        <f>AJ118</f>
        <v>1.31</v>
      </c>
      <c r="DB118">
        <f>ROUND((ROUND(AT118*CZ118,2)*ROUND(1.25,7)),2)</f>
        <v>80.7</v>
      </c>
      <c r="DC118">
        <f>ROUND((ROUND(AT118*AG118,2)*ROUND(1.25,7)),2)</f>
        <v>512.92999999999995</v>
      </c>
      <c r="DD118" t="s">
        <v>3</v>
      </c>
      <c r="DE118" t="s">
        <v>3</v>
      </c>
      <c r="DF118">
        <f t="shared" si="38"/>
        <v>0</v>
      </c>
      <c r="DG118">
        <f>ROUND(ROUND(AF118*AJ118,2)*CX118,2)</f>
        <v>11.63</v>
      </c>
      <c r="DH118">
        <f t="shared" si="27"/>
        <v>56.42</v>
      </c>
      <c r="DI118">
        <f t="shared" si="28"/>
        <v>0</v>
      </c>
      <c r="DJ118">
        <f>DG118+DH118</f>
        <v>68.05</v>
      </c>
      <c r="DK118">
        <v>1</v>
      </c>
      <c r="DL118" t="s">
        <v>290</v>
      </c>
      <c r="DM118">
        <v>3</v>
      </c>
      <c r="DN118" t="s">
        <v>278</v>
      </c>
      <c r="DO118">
        <v>1</v>
      </c>
    </row>
    <row r="119" spans="1:119" x14ac:dyDescent="0.2">
      <c r="A119">
        <f>ROW(Source!A152)</f>
        <v>152</v>
      </c>
      <c r="B119">
        <v>59552816</v>
      </c>
      <c r="C119">
        <v>59553421</v>
      </c>
      <c r="D119">
        <v>58107956</v>
      </c>
      <c r="E119">
        <v>1</v>
      </c>
      <c r="F119">
        <v>1</v>
      </c>
      <c r="G119">
        <v>1</v>
      </c>
      <c r="H119">
        <v>2</v>
      </c>
      <c r="I119" t="s">
        <v>291</v>
      </c>
      <c r="J119" t="s">
        <v>292</v>
      </c>
      <c r="K119" t="s">
        <v>293</v>
      </c>
      <c r="L119">
        <v>1368</v>
      </c>
      <c r="N119">
        <v>1011</v>
      </c>
      <c r="O119" t="s">
        <v>289</v>
      </c>
      <c r="P119" t="s">
        <v>289</v>
      </c>
      <c r="Q119">
        <v>1</v>
      </c>
      <c r="W119">
        <v>0</v>
      </c>
      <c r="X119">
        <v>-1755708642</v>
      </c>
      <c r="Y119">
        <f>(AT119*ROUND(1.25,7))</f>
        <v>3.0875000000000004</v>
      </c>
      <c r="AA119">
        <v>0</v>
      </c>
      <c r="AB119">
        <v>540.04999999999995</v>
      </c>
      <c r="AC119">
        <v>267.08999999999997</v>
      </c>
      <c r="AD119">
        <v>0</v>
      </c>
      <c r="AE119">
        <v>0</v>
      </c>
      <c r="AF119">
        <v>477.92</v>
      </c>
      <c r="AG119">
        <v>267.08999999999997</v>
      </c>
      <c r="AH119">
        <v>0</v>
      </c>
      <c r="AI119">
        <v>1</v>
      </c>
      <c r="AJ119">
        <v>1.1299999999999999</v>
      </c>
      <c r="AK119">
        <v>1</v>
      </c>
      <c r="AL119">
        <v>1</v>
      </c>
      <c r="AM119">
        <v>2</v>
      </c>
      <c r="AN119">
        <v>0</v>
      </c>
      <c r="AO119">
        <v>0</v>
      </c>
      <c r="AP119">
        <v>1</v>
      </c>
      <c r="AQ119">
        <v>1</v>
      </c>
      <c r="AR119">
        <v>0</v>
      </c>
      <c r="AS119" t="s">
        <v>3</v>
      </c>
      <c r="AT119">
        <v>2.4700000000000002</v>
      </c>
      <c r="AU119" t="s">
        <v>28</v>
      </c>
      <c r="AV119">
        <v>1</v>
      </c>
      <c r="AW119">
        <v>2</v>
      </c>
      <c r="AX119">
        <v>59553425</v>
      </c>
      <c r="AY119">
        <v>1</v>
      </c>
      <c r="AZ119">
        <v>0</v>
      </c>
      <c r="BA119">
        <v>118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1180.4624000000001</v>
      </c>
      <c r="BL119">
        <v>659.71230000000003</v>
      </c>
      <c r="BM119">
        <v>0</v>
      </c>
      <c r="BN119">
        <v>0</v>
      </c>
      <c r="BO119">
        <v>0</v>
      </c>
      <c r="BP119">
        <v>1</v>
      </c>
      <c r="BQ119">
        <v>0</v>
      </c>
      <c r="BR119">
        <v>1475.5780000000002</v>
      </c>
      <c r="BS119">
        <v>824.64037500000006</v>
      </c>
      <c r="BT119">
        <v>0</v>
      </c>
      <c r="BU119">
        <v>0</v>
      </c>
      <c r="BV119">
        <v>0</v>
      </c>
      <c r="BW119">
        <v>1</v>
      </c>
      <c r="CX119">
        <f>ROUND(Y119*Source!I152,7)</f>
        <v>0.33962500000000001</v>
      </c>
      <c r="CY119">
        <f>AB119</f>
        <v>540.04999999999995</v>
      </c>
      <c r="CZ119">
        <f>AF119</f>
        <v>477.92</v>
      </c>
      <c r="DA119">
        <f>AJ119</f>
        <v>1.1299999999999999</v>
      </c>
      <c r="DB119">
        <f>ROUND((ROUND(AT119*CZ119,2)*ROUND(1.25,7)),2)</f>
        <v>1475.58</v>
      </c>
      <c r="DC119">
        <f>ROUND((ROUND(AT119*AG119,2)*ROUND(1.25,7)),2)</f>
        <v>824.64</v>
      </c>
      <c r="DD119" t="s">
        <v>3</v>
      </c>
      <c r="DE119" t="s">
        <v>3</v>
      </c>
      <c r="DF119">
        <f t="shared" si="38"/>
        <v>0</v>
      </c>
      <c r="DG119">
        <f>ROUND(ROUND(AF119*AJ119,2)*CX119,2)</f>
        <v>183.41</v>
      </c>
      <c r="DH119">
        <f t="shared" si="27"/>
        <v>90.71</v>
      </c>
      <c r="DI119">
        <f t="shared" si="28"/>
        <v>0</v>
      </c>
      <c r="DJ119">
        <f>DG119+DH119</f>
        <v>274.12</v>
      </c>
      <c r="DK119">
        <v>1</v>
      </c>
      <c r="DL119" t="s">
        <v>294</v>
      </c>
      <c r="DM119">
        <v>4</v>
      </c>
      <c r="DN119" t="s">
        <v>278</v>
      </c>
      <c r="DO119">
        <v>1</v>
      </c>
    </row>
    <row r="120" spans="1:119" x14ac:dyDescent="0.2">
      <c r="A120">
        <f>ROW(Source!A152)</f>
        <v>152</v>
      </c>
      <c r="B120">
        <v>59552816</v>
      </c>
      <c r="C120">
        <v>59553421</v>
      </c>
      <c r="D120">
        <v>58062702</v>
      </c>
      <c r="E120">
        <v>1</v>
      </c>
      <c r="F120">
        <v>1</v>
      </c>
      <c r="G120">
        <v>1</v>
      </c>
      <c r="H120">
        <v>3</v>
      </c>
      <c r="I120" t="s">
        <v>397</v>
      </c>
      <c r="J120" t="s">
        <v>398</v>
      </c>
      <c r="K120" t="s">
        <v>399</v>
      </c>
      <c r="L120">
        <v>1348</v>
      </c>
      <c r="N120">
        <v>1009</v>
      </c>
      <c r="O120" t="s">
        <v>281</v>
      </c>
      <c r="P120" t="s">
        <v>281</v>
      </c>
      <c r="Q120">
        <v>1000</v>
      </c>
      <c r="W120">
        <v>0</v>
      </c>
      <c r="X120">
        <v>1015778924</v>
      </c>
      <c r="Y120">
        <f>AT120</f>
        <v>1.2E-2</v>
      </c>
      <c r="AA120">
        <v>70999.16</v>
      </c>
      <c r="AB120">
        <v>0</v>
      </c>
      <c r="AC120">
        <v>0</v>
      </c>
      <c r="AD120">
        <v>0</v>
      </c>
      <c r="AE120">
        <v>70296.2</v>
      </c>
      <c r="AF120">
        <v>0</v>
      </c>
      <c r="AG120">
        <v>0</v>
      </c>
      <c r="AH120">
        <v>0</v>
      </c>
      <c r="AI120">
        <v>1.01</v>
      </c>
      <c r="AJ120">
        <v>1</v>
      </c>
      <c r="AK120">
        <v>1</v>
      </c>
      <c r="AL120">
        <v>1</v>
      </c>
      <c r="AM120">
        <v>2</v>
      </c>
      <c r="AN120">
        <v>0</v>
      </c>
      <c r="AO120">
        <v>0</v>
      </c>
      <c r="AP120">
        <v>1</v>
      </c>
      <c r="AQ120">
        <v>1</v>
      </c>
      <c r="AR120">
        <v>0</v>
      </c>
      <c r="AS120" t="s">
        <v>3</v>
      </c>
      <c r="AT120">
        <v>1.2E-2</v>
      </c>
      <c r="AU120" t="s">
        <v>3</v>
      </c>
      <c r="AV120">
        <v>0</v>
      </c>
      <c r="AW120">
        <v>2</v>
      </c>
      <c r="AX120">
        <v>59553426</v>
      </c>
      <c r="AY120">
        <v>1</v>
      </c>
      <c r="AZ120">
        <v>0</v>
      </c>
      <c r="BA120">
        <v>119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843.55439999999999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843.55439999999999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</v>
      </c>
      <c r="CX120">
        <f>ROUND(Y120*Source!I152,7)</f>
        <v>1.32E-3</v>
      </c>
      <c r="CY120">
        <f>AA120</f>
        <v>70999.16</v>
      </c>
      <c r="CZ120">
        <f>AE120</f>
        <v>70296.2</v>
      </c>
      <c r="DA120">
        <f>AI120</f>
        <v>1.01</v>
      </c>
      <c r="DB120">
        <f>ROUND(ROUND(AT120*CZ120,2),2)</f>
        <v>843.55</v>
      </c>
      <c r="DC120">
        <f>ROUND(ROUND(AT120*AG120,2),2)</f>
        <v>0</v>
      </c>
      <c r="DD120" t="s">
        <v>3</v>
      </c>
      <c r="DE120" t="s">
        <v>3</v>
      </c>
      <c r="DF120">
        <f>ROUND(ROUND(AE120*AI120,2)*CX120,2)</f>
        <v>93.72</v>
      </c>
      <c r="DG120">
        <f t="shared" ref="DG120:DG125" si="39">ROUND(ROUND(AF120,2)*CX120,2)</f>
        <v>0</v>
      </c>
      <c r="DH120">
        <f t="shared" si="27"/>
        <v>0</v>
      </c>
      <c r="DI120">
        <f t="shared" si="28"/>
        <v>0</v>
      </c>
      <c r="DJ120">
        <f>DF120</f>
        <v>93.72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ROW(Source!A152)</f>
        <v>152</v>
      </c>
      <c r="B121">
        <v>59552816</v>
      </c>
      <c r="C121">
        <v>59553421</v>
      </c>
      <c r="D121">
        <v>58068036</v>
      </c>
      <c r="E121">
        <v>1</v>
      </c>
      <c r="F121">
        <v>1</v>
      </c>
      <c r="G121">
        <v>1</v>
      </c>
      <c r="H121">
        <v>3</v>
      </c>
      <c r="I121" t="s">
        <v>400</v>
      </c>
      <c r="J121" t="s">
        <v>401</v>
      </c>
      <c r="K121" t="s">
        <v>402</v>
      </c>
      <c r="L121">
        <v>1348</v>
      </c>
      <c r="N121">
        <v>1009</v>
      </c>
      <c r="O121" t="s">
        <v>281</v>
      </c>
      <c r="P121" t="s">
        <v>281</v>
      </c>
      <c r="Q121">
        <v>1000</v>
      </c>
      <c r="W121">
        <v>0</v>
      </c>
      <c r="X121">
        <v>-1292509143</v>
      </c>
      <c r="Y121">
        <f>AT121</f>
        <v>3.5000000000000003E-2</v>
      </c>
      <c r="AA121">
        <v>41364.65</v>
      </c>
      <c r="AB121">
        <v>0</v>
      </c>
      <c r="AC121">
        <v>0</v>
      </c>
      <c r="AD121">
        <v>0</v>
      </c>
      <c r="AE121">
        <v>55898.18</v>
      </c>
      <c r="AF121">
        <v>0</v>
      </c>
      <c r="AG121">
        <v>0</v>
      </c>
      <c r="AH121">
        <v>0</v>
      </c>
      <c r="AI121">
        <v>0.74</v>
      </c>
      <c r="AJ121">
        <v>1</v>
      </c>
      <c r="AK121">
        <v>1</v>
      </c>
      <c r="AL121">
        <v>1</v>
      </c>
      <c r="AM121">
        <v>2</v>
      </c>
      <c r="AN121">
        <v>0</v>
      </c>
      <c r="AO121">
        <v>0</v>
      </c>
      <c r="AP121">
        <v>1</v>
      </c>
      <c r="AQ121">
        <v>1</v>
      </c>
      <c r="AR121">
        <v>0</v>
      </c>
      <c r="AS121" t="s">
        <v>3</v>
      </c>
      <c r="AT121">
        <v>3.5000000000000003E-2</v>
      </c>
      <c r="AU121" t="s">
        <v>3</v>
      </c>
      <c r="AV121">
        <v>0</v>
      </c>
      <c r="AW121">
        <v>2</v>
      </c>
      <c r="AX121">
        <v>59553427</v>
      </c>
      <c r="AY121">
        <v>1</v>
      </c>
      <c r="AZ121">
        <v>0</v>
      </c>
      <c r="BA121">
        <v>120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1956.4363000000003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1</v>
      </c>
      <c r="BQ121">
        <v>1956.4363000000003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</v>
      </c>
      <c r="CX121">
        <f>ROUND(Y121*Source!I152,7)</f>
        <v>3.8500000000000001E-3</v>
      </c>
      <c r="CY121">
        <f>AA121</f>
        <v>41364.65</v>
      </c>
      <c r="CZ121">
        <f>AE121</f>
        <v>55898.18</v>
      </c>
      <c r="DA121">
        <f>AI121</f>
        <v>0.74</v>
      </c>
      <c r="DB121">
        <f>ROUND(ROUND(AT121*CZ121,2),2)</f>
        <v>1956.44</v>
      </c>
      <c r="DC121">
        <f>ROUND(ROUND(AT121*AG121,2),2)</f>
        <v>0</v>
      </c>
      <c r="DD121" t="s">
        <v>3</v>
      </c>
      <c r="DE121" t="s">
        <v>3</v>
      </c>
      <c r="DF121">
        <f>ROUND(ROUND(AE121*AI121,2)*CX121,2)</f>
        <v>159.25</v>
      </c>
      <c r="DG121">
        <f t="shared" si="39"/>
        <v>0</v>
      </c>
      <c r="DH121">
        <f t="shared" si="27"/>
        <v>0</v>
      </c>
      <c r="DI121">
        <f t="shared" si="28"/>
        <v>0</v>
      </c>
      <c r="DJ121">
        <f>DF121</f>
        <v>159.25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ROW(Source!A152)</f>
        <v>152</v>
      </c>
      <c r="B122">
        <v>59552816</v>
      </c>
      <c r="C122">
        <v>59553421</v>
      </c>
      <c r="D122">
        <v>57990224</v>
      </c>
      <c r="E122">
        <v>107</v>
      </c>
      <c r="F122">
        <v>1</v>
      </c>
      <c r="G122">
        <v>1</v>
      </c>
      <c r="H122">
        <v>3</v>
      </c>
      <c r="I122" t="s">
        <v>403</v>
      </c>
      <c r="J122" t="s">
        <v>3</v>
      </c>
      <c r="K122" t="s">
        <v>404</v>
      </c>
      <c r="L122">
        <v>1371</v>
      </c>
      <c r="N122">
        <v>1013</v>
      </c>
      <c r="O122" t="s">
        <v>386</v>
      </c>
      <c r="P122" t="s">
        <v>386</v>
      </c>
      <c r="Q122">
        <v>1</v>
      </c>
      <c r="W122">
        <v>0</v>
      </c>
      <c r="X122">
        <v>-568011005</v>
      </c>
      <c r="Y122">
        <f>AT122</f>
        <v>100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0</v>
      </c>
      <c r="AP122">
        <v>1</v>
      </c>
      <c r="AQ122">
        <v>1</v>
      </c>
      <c r="AR122">
        <v>0</v>
      </c>
      <c r="AS122" t="s">
        <v>3</v>
      </c>
      <c r="AT122">
        <v>100</v>
      </c>
      <c r="AU122" t="s">
        <v>3</v>
      </c>
      <c r="AV122">
        <v>0</v>
      </c>
      <c r="AW122">
        <v>2</v>
      </c>
      <c r="AX122">
        <v>59553428</v>
      </c>
      <c r="AY122">
        <v>1</v>
      </c>
      <c r="AZ122">
        <v>0</v>
      </c>
      <c r="BA122">
        <v>121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X122">
        <f>ROUND(Y122*Source!I152,7)</f>
        <v>11</v>
      </c>
      <c r="CY122">
        <f>AA122</f>
        <v>0</v>
      </c>
      <c r="CZ122">
        <f>AE122</f>
        <v>0</v>
      </c>
      <c r="DA122">
        <f>AI122</f>
        <v>1</v>
      </c>
      <c r="DB122">
        <f>ROUND(ROUND(AT122*CZ122,2),2)</f>
        <v>0</v>
      </c>
      <c r="DC122">
        <f>ROUND(ROUND(AT122*AG122,2),2)</f>
        <v>0</v>
      </c>
      <c r="DD122" t="s">
        <v>3</v>
      </c>
      <c r="DE122" t="s">
        <v>3</v>
      </c>
      <c r="DF122">
        <f>ROUND(ROUND(AE122,2)*CX122,2)</f>
        <v>0</v>
      </c>
      <c r="DG122">
        <f t="shared" si="39"/>
        <v>0</v>
      </c>
      <c r="DH122">
        <f t="shared" si="27"/>
        <v>0</v>
      </c>
      <c r="DI122">
        <f t="shared" si="28"/>
        <v>0</v>
      </c>
      <c r="DJ122">
        <f>DF122</f>
        <v>0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ROW(Source!A152)</f>
        <v>152</v>
      </c>
      <c r="B123">
        <v>59552816</v>
      </c>
      <c r="C123">
        <v>59553421</v>
      </c>
      <c r="D123">
        <v>58071636</v>
      </c>
      <c r="E123">
        <v>1</v>
      </c>
      <c r="F123">
        <v>1</v>
      </c>
      <c r="G123">
        <v>1</v>
      </c>
      <c r="H123">
        <v>3</v>
      </c>
      <c r="I123" t="s">
        <v>405</v>
      </c>
      <c r="J123" t="s">
        <v>406</v>
      </c>
      <c r="K123" t="s">
        <v>407</v>
      </c>
      <c r="L123">
        <v>1301</v>
      </c>
      <c r="N123">
        <v>1003</v>
      </c>
      <c r="O123" t="s">
        <v>308</v>
      </c>
      <c r="P123" t="s">
        <v>308</v>
      </c>
      <c r="Q123">
        <v>1</v>
      </c>
      <c r="W123">
        <v>0</v>
      </c>
      <c r="X123">
        <v>4400064</v>
      </c>
      <c r="Y123">
        <f>AT123</f>
        <v>400</v>
      </c>
      <c r="AA123">
        <v>23.89</v>
      </c>
      <c r="AB123">
        <v>0</v>
      </c>
      <c r="AC123">
        <v>0</v>
      </c>
      <c r="AD123">
        <v>0</v>
      </c>
      <c r="AE123">
        <v>17.96</v>
      </c>
      <c r="AF123">
        <v>0</v>
      </c>
      <c r="AG123">
        <v>0</v>
      </c>
      <c r="AH123">
        <v>0</v>
      </c>
      <c r="AI123">
        <v>1.33</v>
      </c>
      <c r="AJ123">
        <v>1</v>
      </c>
      <c r="AK123">
        <v>1</v>
      </c>
      <c r="AL123">
        <v>1</v>
      </c>
      <c r="AM123">
        <v>2</v>
      </c>
      <c r="AN123">
        <v>0</v>
      </c>
      <c r="AO123">
        <v>0</v>
      </c>
      <c r="AP123">
        <v>1</v>
      </c>
      <c r="AQ123">
        <v>1</v>
      </c>
      <c r="AR123">
        <v>0</v>
      </c>
      <c r="AS123" t="s">
        <v>3</v>
      </c>
      <c r="AT123">
        <v>400</v>
      </c>
      <c r="AU123" t="s">
        <v>3</v>
      </c>
      <c r="AV123">
        <v>0</v>
      </c>
      <c r="AW123">
        <v>2</v>
      </c>
      <c r="AX123">
        <v>59553429</v>
      </c>
      <c r="AY123">
        <v>1</v>
      </c>
      <c r="AZ123">
        <v>0</v>
      </c>
      <c r="BA123">
        <v>122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7184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7184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CX123">
        <f>ROUND(Y123*Source!I152,7)</f>
        <v>44</v>
      </c>
      <c r="CY123">
        <f>AA123</f>
        <v>23.89</v>
      </c>
      <c r="CZ123">
        <f>AE123</f>
        <v>17.96</v>
      </c>
      <c r="DA123">
        <f>AI123</f>
        <v>1.33</v>
      </c>
      <c r="DB123">
        <f>ROUND(ROUND(AT123*CZ123,2),2)</f>
        <v>7184</v>
      </c>
      <c r="DC123">
        <f>ROUND(ROUND(AT123*AG123,2),2)</f>
        <v>0</v>
      </c>
      <c r="DD123" t="s">
        <v>3</v>
      </c>
      <c r="DE123" t="s">
        <v>3</v>
      </c>
      <c r="DF123">
        <f>ROUND(ROUND(AE123*AI123,2)*CX123,2)</f>
        <v>1051.1600000000001</v>
      </c>
      <c r="DG123">
        <f t="shared" si="39"/>
        <v>0</v>
      </c>
      <c r="DH123">
        <f t="shared" si="27"/>
        <v>0</v>
      </c>
      <c r="DI123">
        <f t="shared" si="28"/>
        <v>0</v>
      </c>
      <c r="DJ123">
        <f>DF123</f>
        <v>1051.1600000000001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ROW(Source!A153)</f>
        <v>153</v>
      </c>
      <c r="B124">
        <v>59552816</v>
      </c>
      <c r="C124">
        <v>59553431</v>
      </c>
      <c r="D124">
        <v>57987265</v>
      </c>
      <c r="E124">
        <v>107</v>
      </c>
      <c r="F124">
        <v>1</v>
      </c>
      <c r="G124">
        <v>1</v>
      </c>
      <c r="H124">
        <v>1</v>
      </c>
      <c r="I124" t="s">
        <v>395</v>
      </c>
      <c r="J124" t="s">
        <v>3</v>
      </c>
      <c r="K124" t="s">
        <v>396</v>
      </c>
      <c r="L124">
        <v>1191</v>
      </c>
      <c r="N124">
        <v>1013</v>
      </c>
      <c r="O124" t="s">
        <v>278</v>
      </c>
      <c r="P124" t="s">
        <v>278</v>
      </c>
      <c r="Q124">
        <v>1</v>
      </c>
      <c r="W124">
        <v>0</v>
      </c>
      <c r="X124">
        <v>1903864200</v>
      </c>
      <c r="Y124">
        <f>(AT124*ROUND(1.15,7))</f>
        <v>77.855000000000004</v>
      </c>
      <c r="AA124">
        <v>0</v>
      </c>
      <c r="AB124">
        <v>0</v>
      </c>
      <c r="AC124">
        <v>0</v>
      </c>
      <c r="AD124">
        <v>223.24</v>
      </c>
      <c r="AE124">
        <v>0</v>
      </c>
      <c r="AF124">
        <v>0</v>
      </c>
      <c r="AG124">
        <v>0</v>
      </c>
      <c r="AH124">
        <v>223.24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0</v>
      </c>
      <c r="AP124">
        <v>1</v>
      </c>
      <c r="AQ124">
        <v>1</v>
      </c>
      <c r="AR124">
        <v>0</v>
      </c>
      <c r="AS124" t="s">
        <v>3</v>
      </c>
      <c r="AT124">
        <v>67.7</v>
      </c>
      <c r="AU124" t="s">
        <v>29</v>
      </c>
      <c r="AV124">
        <v>1</v>
      </c>
      <c r="AW124">
        <v>2</v>
      </c>
      <c r="AX124">
        <v>59553432</v>
      </c>
      <c r="AY124">
        <v>1</v>
      </c>
      <c r="AZ124">
        <v>0</v>
      </c>
      <c r="BA124">
        <v>123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15113.348000000002</v>
      </c>
      <c r="BN124">
        <v>67.7</v>
      </c>
      <c r="BO124">
        <v>0</v>
      </c>
      <c r="BP124">
        <v>1</v>
      </c>
      <c r="BQ124">
        <v>0</v>
      </c>
      <c r="BR124">
        <v>0</v>
      </c>
      <c r="BS124">
        <v>0</v>
      </c>
      <c r="BT124">
        <v>17380.350200000001</v>
      </c>
      <c r="BU124">
        <v>77.855000000000004</v>
      </c>
      <c r="BV124">
        <v>0</v>
      </c>
      <c r="BW124">
        <v>1</v>
      </c>
      <c r="CX124">
        <f>ROUND(Y124*Source!I153,7)</f>
        <v>8.5640499999999999</v>
      </c>
      <c r="CY124">
        <f>AD124</f>
        <v>223.24</v>
      </c>
      <c r="CZ124">
        <f>AH124</f>
        <v>223.24</v>
      </c>
      <c r="DA124">
        <f>AL124</f>
        <v>1</v>
      </c>
      <c r="DB124">
        <f>ROUND((ROUND(AT124*CZ124,2)*ROUND(1.15,7)),2)</f>
        <v>17380.349999999999</v>
      </c>
      <c r="DC124">
        <f>ROUND((ROUND(AT124*AG124,2)*ROUND(1.15,7)),2)</f>
        <v>0</v>
      </c>
      <c r="DD124" t="s">
        <v>3</v>
      </c>
      <c r="DE124" t="s">
        <v>3</v>
      </c>
      <c r="DF124">
        <f>ROUND(ROUND(AE124,2)*CX124,2)</f>
        <v>0</v>
      </c>
      <c r="DG124">
        <f t="shared" si="39"/>
        <v>0</v>
      </c>
      <c r="DH124">
        <f t="shared" si="27"/>
        <v>0</v>
      </c>
      <c r="DI124">
        <f t="shared" si="28"/>
        <v>1911.84</v>
      </c>
      <c r="DJ124">
        <f>DI124</f>
        <v>1911.84</v>
      </c>
      <c r="DK124">
        <v>1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ROW(Source!A153)</f>
        <v>153</v>
      </c>
      <c r="B125">
        <v>59552816</v>
      </c>
      <c r="C125">
        <v>59553431</v>
      </c>
      <c r="D125">
        <v>57987490</v>
      </c>
      <c r="E125">
        <v>107</v>
      </c>
      <c r="F125">
        <v>1</v>
      </c>
      <c r="G125">
        <v>1</v>
      </c>
      <c r="H125">
        <v>1</v>
      </c>
      <c r="I125" t="s">
        <v>284</v>
      </c>
      <c r="J125" t="s">
        <v>3</v>
      </c>
      <c r="K125" t="s">
        <v>285</v>
      </c>
      <c r="L125">
        <v>1191</v>
      </c>
      <c r="N125">
        <v>1013</v>
      </c>
      <c r="O125" t="s">
        <v>278</v>
      </c>
      <c r="P125" t="s">
        <v>278</v>
      </c>
      <c r="Q125">
        <v>1</v>
      </c>
      <c r="W125">
        <v>0</v>
      </c>
      <c r="X125">
        <v>-1417349443</v>
      </c>
      <c r="Y125">
        <f>(AT125*ROUND(1.25,7))</f>
        <v>5.25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-2</v>
      </c>
      <c r="AN125">
        <v>0</v>
      </c>
      <c r="AO125">
        <v>0</v>
      </c>
      <c r="AP125">
        <v>1</v>
      </c>
      <c r="AQ125">
        <v>1</v>
      </c>
      <c r="AR125">
        <v>0</v>
      </c>
      <c r="AS125" t="s">
        <v>3</v>
      </c>
      <c r="AT125">
        <v>4.2</v>
      </c>
      <c r="AU125" t="s">
        <v>28</v>
      </c>
      <c r="AV125">
        <v>2</v>
      </c>
      <c r="AW125">
        <v>2</v>
      </c>
      <c r="AX125">
        <v>59553433</v>
      </c>
      <c r="AY125">
        <v>1</v>
      </c>
      <c r="AZ125">
        <v>0</v>
      </c>
      <c r="BA125">
        <v>124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4.2</v>
      </c>
      <c r="BP125">
        <v>1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5.25</v>
      </c>
      <c r="BW125">
        <v>1</v>
      </c>
      <c r="CX125">
        <f>ROUND(Y125*Source!I153,7)</f>
        <v>0.57750000000000001</v>
      </c>
      <c r="CY125">
        <f>AD125</f>
        <v>0</v>
      </c>
      <c r="CZ125">
        <f>AH125</f>
        <v>0</v>
      </c>
      <c r="DA125">
        <f>AL125</f>
        <v>1</v>
      </c>
      <c r="DB125">
        <f>ROUND((ROUND(AT125*CZ125,2)*ROUND(1.25,7)),2)</f>
        <v>0</v>
      </c>
      <c r="DC125">
        <f>ROUND((ROUND(AT125*AG125,2)*ROUND(1.25,7)),2)</f>
        <v>0</v>
      </c>
      <c r="DD125" t="s">
        <v>3</v>
      </c>
      <c r="DE125" t="s">
        <v>3</v>
      </c>
      <c r="DF125">
        <f>ROUND(ROUND(AE125,2)*CX125,2)</f>
        <v>0</v>
      </c>
      <c r="DG125">
        <f t="shared" si="39"/>
        <v>0</v>
      </c>
      <c r="DH125">
        <f t="shared" si="27"/>
        <v>0</v>
      </c>
      <c r="DI125">
        <f t="shared" si="28"/>
        <v>0</v>
      </c>
      <c r="DJ125">
        <f>DI125</f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ROW(Source!A153)</f>
        <v>153</v>
      </c>
      <c r="B126">
        <v>59552816</v>
      </c>
      <c r="C126">
        <v>59553431</v>
      </c>
      <c r="D126">
        <v>58107260</v>
      </c>
      <c r="E126">
        <v>1</v>
      </c>
      <c r="F126">
        <v>1</v>
      </c>
      <c r="G126">
        <v>1</v>
      </c>
      <c r="H126">
        <v>2</v>
      </c>
      <c r="I126" t="s">
        <v>286</v>
      </c>
      <c r="J126" t="s">
        <v>287</v>
      </c>
      <c r="K126" t="s">
        <v>288</v>
      </c>
      <c r="L126">
        <v>1368</v>
      </c>
      <c r="N126">
        <v>1011</v>
      </c>
      <c r="O126" t="s">
        <v>289</v>
      </c>
      <c r="P126" t="s">
        <v>289</v>
      </c>
      <c r="Q126">
        <v>1</v>
      </c>
      <c r="W126">
        <v>0</v>
      </c>
      <c r="X126">
        <v>-275119293</v>
      </c>
      <c r="Y126">
        <f>(AT126*ROUND(1.25,7))</f>
        <v>2.1625000000000001</v>
      </c>
      <c r="AA126">
        <v>0</v>
      </c>
      <c r="AB126">
        <v>48.89</v>
      </c>
      <c r="AC126">
        <v>237.19</v>
      </c>
      <c r="AD126">
        <v>0</v>
      </c>
      <c r="AE126">
        <v>0</v>
      </c>
      <c r="AF126">
        <v>37.32</v>
      </c>
      <c r="AG126">
        <v>237.19</v>
      </c>
      <c r="AH126">
        <v>0</v>
      </c>
      <c r="AI126">
        <v>1</v>
      </c>
      <c r="AJ126">
        <v>1.31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1</v>
      </c>
      <c r="AQ126">
        <v>1</v>
      </c>
      <c r="AR126">
        <v>0</v>
      </c>
      <c r="AS126" t="s">
        <v>3</v>
      </c>
      <c r="AT126">
        <v>1.73</v>
      </c>
      <c r="AU126" t="s">
        <v>28</v>
      </c>
      <c r="AV126">
        <v>1</v>
      </c>
      <c r="AW126">
        <v>2</v>
      </c>
      <c r="AX126">
        <v>59553434</v>
      </c>
      <c r="AY126">
        <v>1</v>
      </c>
      <c r="AZ126">
        <v>0</v>
      </c>
      <c r="BA126">
        <v>125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64.563599999999994</v>
      </c>
      <c r="BL126">
        <v>410.33870000000002</v>
      </c>
      <c r="BM126">
        <v>0</v>
      </c>
      <c r="BN126">
        <v>0</v>
      </c>
      <c r="BO126">
        <v>0</v>
      </c>
      <c r="BP126">
        <v>1</v>
      </c>
      <c r="BQ126">
        <v>0</v>
      </c>
      <c r="BR126">
        <v>80.70450000000001</v>
      </c>
      <c r="BS126">
        <v>512.92337499999996</v>
      </c>
      <c r="BT126">
        <v>0</v>
      </c>
      <c r="BU126">
        <v>0</v>
      </c>
      <c r="BV126">
        <v>0</v>
      </c>
      <c r="BW126">
        <v>1</v>
      </c>
      <c r="CX126">
        <f>ROUND(Y126*Source!I153,7)</f>
        <v>0.237875</v>
      </c>
      <c r="CY126">
        <f>AB126</f>
        <v>48.89</v>
      </c>
      <c r="CZ126">
        <f>AF126</f>
        <v>37.32</v>
      </c>
      <c r="DA126">
        <f>AJ126</f>
        <v>1.31</v>
      </c>
      <c r="DB126">
        <f>ROUND((ROUND(AT126*CZ126,2)*ROUND(1.25,7)),2)</f>
        <v>80.7</v>
      </c>
      <c r="DC126">
        <f>ROUND((ROUND(AT126*AG126,2)*ROUND(1.25,7)),2)</f>
        <v>512.92999999999995</v>
      </c>
      <c r="DD126" t="s">
        <v>3</v>
      </c>
      <c r="DE126" t="s">
        <v>3</v>
      </c>
      <c r="DF126">
        <f>ROUND(ROUND(AE126,2)*CX126,2)</f>
        <v>0</v>
      </c>
      <c r="DG126">
        <f>ROUND(ROUND(AF126*AJ126,2)*CX126,2)</f>
        <v>11.63</v>
      </c>
      <c r="DH126">
        <f t="shared" si="27"/>
        <v>56.42</v>
      </c>
      <c r="DI126">
        <f t="shared" si="28"/>
        <v>0</v>
      </c>
      <c r="DJ126">
        <f>DG126+DH126</f>
        <v>68.05</v>
      </c>
      <c r="DK126">
        <v>1</v>
      </c>
      <c r="DL126" t="s">
        <v>290</v>
      </c>
      <c r="DM126">
        <v>3</v>
      </c>
      <c r="DN126" t="s">
        <v>278</v>
      </c>
      <c r="DO126">
        <v>1</v>
      </c>
    </row>
    <row r="127" spans="1:119" x14ac:dyDescent="0.2">
      <c r="A127">
        <f>ROW(Source!A153)</f>
        <v>153</v>
      </c>
      <c r="B127">
        <v>59552816</v>
      </c>
      <c r="C127">
        <v>59553431</v>
      </c>
      <c r="D127">
        <v>58107956</v>
      </c>
      <c r="E127">
        <v>1</v>
      </c>
      <c r="F127">
        <v>1</v>
      </c>
      <c r="G127">
        <v>1</v>
      </c>
      <c r="H127">
        <v>2</v>
      </c>
      <c r="I127" t="s">
        <v>291</v>
      </c>
      <c r="J127" t="s">
        <v>292</v>
      </c>
      <c r="K127" t="s">
        <v>293</v>
      </c>
      <c r="L127">
        <v>1368</v>
      </c>
      <c r="N127">
        <v>1011</v>
      </c>
      <c r="O127" t="s">
        <v>289</v>
      </c>
      <c r="P127" t="s">
        <v>289</v>
      </c>
      <c r="Q127">
        <v>1</v>
      </c>
      <c r="W127">
        <v>0</v>
      </c>
      <c r="X127">
        <v>-1755708642</v>
      </c>
      <c r="Y127">
        <f>(AT127*ROUND(1.25,7))</f>
        <v>3.0875000000000004</v>
      </c>
      <c r="AA127">
        <v>0</v>
      </c>
      <c r="AB127">
        <v>540.04999999999995</v>
      </c>
      <c r="AC127">
        <v>267.08999999999997</v>
      </c>
      <c r="AD127">
        <v>0</v>
      </c>
      <c r="AE127">
        <v>0</v>
      </c>
      <c r="AF127">
        <v>477.92</v>
      </c>
      <c r="AG127">
        <v>267.08999999999997</v>
      </c>
      <c r="AH127">
        <v>0</v>
      </c>
      <c r="AI127">
        <v>1</v>
      </c>
      <c r="AJ127">
        <v>1.1299999999999999</v>
      </c>
      <c r="AK127">
        <v>1</v>
      </c>
      <c r="AL127">
        <v>1</v>
      </c>
      <c r="AM127">
        <v>2</v>
      </c>
      <c r="AN127">
        <v>0</v>
      </c>
      <c r="AO127">
        <v>0</v>
      </c>
      <c r="AP127">
        <v>1</v>
      </c>
      <c r="AQ127">
        <v>1</v>
      </c>
      <c r="AR127">
        <v>0</v>
      </c>
      <c r="AS127" t="s">
        <v>3</v>
      </c>
      <c r="AT127">
        <v>2.4700000000000002</v>
      </c>
      <c r="AU127" t="s">
        <v>28</v>
      </c>
      <c r="AV127">
        <v>1</v>
      </c>
      <c r="AW127">
        <v>2</v>
      </c>
      <c r="AX127">
        <v>59553435</v>
      </c>
      <c r="AY127">
        <v>1</v>
      </c>
      <c r="AZ127">
        <v>0</v>
      </c>
      <c r="BA127">
        <v>126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1180.4624000000001</v>
      </c>
      <c r="BL127">
        <v>659.71230000000003</v>
      </c>
      <c r="BM127">
        <v>0</v>
      </c>
      <c r="BN127">
        <v>0</v>
      </c>
      <c r="BO127">
        <v>0</v>
      </c>
      <c r="BP127">
        <v>1</v>
      </c>
      <c r="BQ127">
        <v>0</v>
      </c>
      <c r="BR127">
        <v>1475.5780000000002</v>
      </c>
      <c r="BS127">
        <v>824.64037500000006</v>
      </c>
      <c r="BT127">
        <v>0</v>
      </c>
      <c r="BU127">
        <v>0</v>
      </c>
      <c r="BV127">
        <v>0</v>
      </c>
      <c r="BW127">
        <v>1</v>
      </c>
      <c r="CX127">
        <f>ROUND(Y127*Source!I153,7)</f>
        <v>0.33962500000000001</v>
      </c>
      <c r="CY127">
        <f>AB127</f>
        <v>540.04999999999995</v>
      </c>
      <c r="CZ127">
        <f>AF127</f>
        <v>477.92</v>
      </c>
      <c r="DA127">
        <f>AJ127</f>
        <v>1.1299999999999999</v>
      </c>
      <c r="DB127">
        <f>ROUND((ROUND(AT127*CZ127,2)*ROUND(1.25,7)),2)</f>
        <v>1475.58</v>
      </c>
      <c r="DC127">
        <f>ROUND((ROUND(AT127*AG127,2)*ROUND(1.25,7)),2)</f>
        <v>824.64</v>
      </c>
      <c r="DD127" t="s">
        <v>3</v>
      </c>
      <c r="DE127" t="s">
        <v>3</v>
      </c>
      <c r="DF127">
        <f>ROUND(ROUND(AE127,2)*CX127,2)</f>
        <v>0</v>
      </c>
      <c r="DG127">
        <f>ROUND(ROUND(AF127*AJ127,2)*CX127,2)</f>
        <v>183.41</v>
      </c>
      <c r="DH127">
        <f t="shared" si="27"/>
        <v>90.71</v>
      </c>
      <c r="DI127">
        <f t="shared" si="28"/>
        <v>0</v>
      </c>
      <c r="DJ127">
        <f>DG127+DH127</f>
        <v>274.12</v>
      </c>
      <c r="DK127">
        <v>1</v>
      </c>
      <c r="DL127" t="s">
        <v>294</v>
      </c>
      <c r="DM127">
        <v>4</v>
      </c>
      <c r="DN127" t="s">
        <v>278</v>
      </c>
      <c r="DO127">
        <v>1</v>
      </c>
    </row>
    <row r="128" spans="1:119" x14ac:dyDescent="0.2">
      <c r="A128">
        <f>ROW(Source!A153)</f>
        <v>153</v>
      </c>
      <c r="B128">
        <v>59552816</v>
      </c>
      <c r="C128">
        <v>59553431</v>
      </c>
      <c r="D128">
        <v>58062702</v>
      </c>
      <c r="E128">
        <v>1</v>
      </c>
      <c r="F128">
        <v>1</v>
      </c>
      <c r="G128">
        <v>1</v>
      </c>
      <c r="H128">
        <v>3</v>
      </c>
      <c r="I128" t="s">
        <v>397</v>
      </c>
      <c r="J128" t="s">
        <v>398</v>
      </c>
      <c r="K128" t="s">
        <v>399</v>
      </c>
      <c r="L128">
        <v>1348</v>
      </c>
      <c r="N128">
        <v>1009</v>
      </c>
      <c r="O128" t="s">
        <v>281</v>
      </c>
      <c r="P128" t="s">
        <v>281</v>
      </c>
      <c r="Q128">
        <v>1000</v>
      </c>
      <c r="W128">
        <v>0</v>
      </c>
      <c r="X128">
        <v>1015778924</v>
      </c>
      <c r="Y128">
        <f t="shared" ref="Y128:Y133" si="40">AT128</f>
        <v>1.2E-2</v>
      </c>
      <c r="AA128">
        <v>70999.16</v>
      </c>
      <c r="AB128">
        <v>0</v>
      </c>
      <c r="AC128">
        <v>0</v>
      </c>
      <c r="AD128">
        <v>0</v>
      </c>
      <c r="AE128">
        <v>70296.2</v>
      </c>
      <c r="AF128">
        <v>0</v>
      </c>
      <c r="AG128">
        <v>0</v>
      </c>
      <c r="AH128">
        <v>0</v>
      </c>
      <c r="AI128">
        <v>1.01</v>
      </c>
      <c r="AJ128">
        <v>1</v>
      </c>
      <c r="AK128">
        <v>1</v>
      </c>
      <c r="AL128">
        <v>1</v>
      </c>
      <c r="AM128">
        <v>2</v>
      </c>
      <c r="AN128">
        <v>0</v>
      </c>
      <c r="AO128">
        <v>0</v>
      </c>
      <c r="AP128">
        <v>1</v>
      </c>
      <c r="AQ128">
        <v>1</v>
      </c>
      <c r="AR128">
        <v>0</v>
      </c>
      <c r="AS128" t="s">
        <v>3</v>
      </c>
      <c r="AT128">
        <v>1.2E-2</v>
      </c>
      <c r="AU128" t="s">
        <v>3</v>
      </c>
      <c r="AV128">
        <v>0</v>
      </c>
      <c r="AW128">
        <v>2</v>
      </c>
      <c r="AX128">
        <v>59553436</v>
      </c>
      <c r="AY128">
        <v>1</v>
      </c>
      <c r="AZ128">
        <v>0</v>
      </c>
      <c r="BA128">
        <v>127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843.55439999999999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</v>
      </c>
      <c r="BQ128">
        <v>843.55439999999999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1</v>
      </c>
      <c r="CX128">
        <f>ROUND(Y128*Source!I153,7)</f>
        <v>1.32E-3</v>
      </c>
      <c r="CY128">
        <f>AA128</f>
        <v>70999.16</v>
      </c>
      <c r="CZ128">
        <f>AE128</f>
        <v>70296.2</v>
      </c>
      <c r="DA128">
        <f>AI128</f>
        <v>1.01</v>
      </c>
      <c r="DB128">
        <f t="shared" ref="DB128:DB133" si="41">ROUND(ROUND(AT128*CZ128,2),2)</f>
        <v>843.55</v>
      </c>
      <c r="DC128">
        <f t="shared" ref="DC128:DC133" si="42">ROUND(ROUND(AT128*AG128,2),2)</f>
        <v>0</v>
      </c>
      <c r="DD128" t="s">
        <v>3</v>
      </c>
      <c r="DE128" t="s">
        <v>3</v>
      </c>
      <c r="DF128">
        <f>ROUND(ROUND(AE128*AI128,2)*CX128,2)</f>
        <v>93.72</v>
      </c>
      <c r="DG128">
        <f t="shared" ref="DG128:DG133" si="43">ROUND(ROUND(AF128,2)*CX128,2)</f>
        <v>0</v>
      </c>
      <c r="DH128">
        <f t="shared" si="27"/>
        <v>0</v>
      </c>
      <c r="DI128">
        <f t="shared" si="28"/>
        <v>0</v>
      </c>
      <c r="DJ128">
        <f>DF128</f>
        <v>93.72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ROW(Source!A153)</f>
        <v>153</v>
      </c>
      <c r="B129">
        <v>59552816</v>
      </c>
      <c r="C129">
        <v>59553431</v>
      </c>
      <c r="D129">
        <v>58068036</v>
      </c>
      <c r="E129">
        <v>1</v>
      </c>
      <c r="F129">
        <v>1</v>
      </c>
      <c r="G129">
        <v>1</v>
      </c>
      <c r="H129">
        <v>3</v>
      </c>
      <c r="I129" t="s">
        <v>400</v>
      </c>
      <c r="J129" t="s">
        <v>401</v>
      </c>
      <c r="K129" t="s">
        <v>402</v>
      </c>
      <c r="L129">
        <v>1348</v>
      </c>
      <c r="N129">
        <v>1009</v>
      </c>
      <c r="O129" t="s">
        <v>281</v>
      </c>
      <c r="P129" t="s">
        <v>281</v>
      </c>
      <c r="Q129">
        <v>1000</v>
      </c>
      <c r="W129">
        <v>0</v>
      </c>
      <c r="X129">
        <v>-1292509143</v>
      </c>
      <c r="Y129">
        <f t="shared" si="40"/>
        <v>3.5000000000000003E-2</v>
      </c>
      <c r="AA129">
        <v>41364.65</v>
      </c>
      <c r="AB129">
        <v>0</v>
      </c>
      <c r="AC129">
        <v>0</v>
      </c>
      <c r="AD129">
        <v>0</v>
      </c>
      <c r="AE129">
        <v>55898.18</v>
      </c>
      <c r="AF129">
        <v>0</v>
      </c>
      <c r="AG129">
        <v>0</v>
      </c>
      <c r="AH129">
        <v>0</v>
      </c>
      <c r="AI129">
        <v>0.74</v>
      </c>
      <c r="AJ129">
        <v>1</v>
      </c>
      <c r="AK129">
        <v>1</v>
      </c>
      <c r="AL129">
        <v>1</v>
      </c>
      <c r="AM129">
        <v>2</v>
      </c>
      <c r="AN129">
        <v>0</v>
      </c>
      <c r="AO129">
        <v>0</v>
      </c>
      <c r="AP129">
        <v>1</v>
      </c>
      <c r="AQ129">
        <v>1</v>
      </c>
      <c r="AR129">
        <v>0</v>
      </c>
      <c r="AS129" t="s">
        <v>3</v>
      </c>
      <c r="AT129">
        <v>3.5000000000000003E-2</v>
      </c>
      <c r="AU129" t="s">
        <v>3</v>
      </c>
      <c r="AV129">
        <v>0</v>
      </c>
      <c r="AW129">
        <v>2</v>
      </c>
      <c r="AX129">
        <v>59553437</v>
      </c>
      <c r="AY129">
        <v>1</v>
      </c>
      <c r="AZ129">
        <v>0</v>
      </c>
      <c r="BA129">
        <v>128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1956.4363000000003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1956.4363000000003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</v>
      </c>
      <c r="CX129">
        <f>ROUND(Y129*Source!I153,7)</f>
        <v>3.8500000000000001E-3</v>
      </c>
      <c r="CY129">
        <f>AA129</f>
        <v>41364.65</v>
      </c>
      <c r="CZ129">
        <f>AE129</f>
        <v>55898.18</v>
      </c>
      <c r="DA129">
        <f>AI129</f>
        <v>0.74</v>
      </c>
      <c r="DB129">
        <f t="shared" si="41"/>
        <v>1956.44</v>
      </c>
      <c r="DC129">
        <f t="shared" si="42"/>
        <v>0</v>
      </c>
      <c r="DD129" t="s">
        <v>3</v>
      </c>
      <c r="DE129" t="s">
        <v>3</v>
      </c>
      <c r="DF129">
        <f>ROUND(ROUND(AE129*AI129,2)*CX129,2)</f>
        <v>159.25</v>
      </c>
      <c r="DG129">
        <f t="shared" si="43"/>
        <v>0</v>
      </c>
      <c r="DH129">
        <f t="shared" si="27"/>
        <v>0</v>
      </c>
      <c r="DI129">
        <f t="shared" si="28"/>
        <v>0</v>
      </c>
      <c r="DJ129">
        <f>DF129</f>
        <v>159.25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ROW(Source!A153)</f>
        <v>153</v>
      </c>
      <c r="B130">
        <v>59552816</v>
      </c>
      <c r="C130">
        <v>59553431</v>
      </c>
      <c r="D130">
        <v>57990224</v>
      </c>
      <c r="E130">
        <v>107</v>
      </c>
      <c r="F130">
        <v>1</v>
      </c>
      <c r="G130">
        <v>1</v>
      </c>
      <c r="H130">
        <v>3</v>
      </c>
      <c r="I130" t="s">
        <v>403</v>
      </c>
      <c r="J130" t="s">
        <v>3</v>
      </c>
      <c r="K130" t="s">
        <v>404</v>
      </c>
      <c r="L130">
        <v>1371</v>
      </c>
      <c r="N130">
        <v>1013</v>
      </c>
      <c r="O130" t="s">
        <v>386</v>
      </c>
      <c r="P130" t="s">
        <v>386</v>
      </c>
      <c r="Q130">
        <v>1</v>
      </c>
      <c r="W130">
        <v>0</v>
      </c>
      <c r="X130">
        <v>-568011005</v>
      </c>
      <c r="Y130">
        <f t="shared" si="40"/>
        <v>100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-2</v>
      </c>
      <c r="AN130">
        <v>0</v>
      </c>
      <c r="AO130">
        <v>0</v>
      </c>
      <c r="AP130">
        <v>1</v>
      </c>
      <c r="AQ130">
        <v>1</v>
      </c>
      <c r="AR130">
        <v>0</v>
      </c>
      <c r="AS130" t="s">
        <v>3</v>
      </c>
      <c r="AT130">
        <v>100</v>
      </c>
      <c r="AU130" t="s">
        <v>3</v>
      </c>
      <c r="AV130">
        <v>0</v>
      </c>
      <c r="AW130">
        <v>2</v>
      </c>
      <c r="AX130">
        <v>59553438</v>
      </c>
      <c r="AY130">
        <v>1</v>
      </c>
      <c r="AZ130">
        <v>0</v>
      </c>
      <c r="BA130">
        <v>129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X130">
        <f>ROUND(Y130*Source!I153,7)</f>
        <v>11</v>
      </c>
      <c r="CY130">
        <f>AA130</f>
        <v>0</v>
      </c>
      <c r="CZ130">
        <f>AE130</f>
        <v>0</v>
      </c>
      <c r="DA130">
        <f>AI130</f>
        <v>1</v>
      </c>
      <c r="DB130">
        <f t="shared" si="41"/>
        <v>0</v>
      </c>
      <c r="DC130">
        <f t="shared" si="42"/>
        <v>0</v>
      </c>
      <c r="DD130" t="s">
        <v>3</v>
      </c>
      <c r="DE130" t="s">
        <v>3</v>
      </c>
      <c r="DF130">
        <f>ROUND(ROUND(AE130,2)*CX130,2)</f>
        <v>0</v>
      </c>
      <c r="DG130">
        <f t="shared" si="43"/>
        <v>0</v>
      </c>
      <c r="DH130">
        <f t="shared" si="27"/>
        <v>0</v>
      </c>
      <c r="DI130">
        <f t="shared" si="28"/>
        <v>0</v>
      </c>
      <c r="DJ130">
        <f>DF130</f>
        <v>0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ROW(Source!A153)</f>
        <v>153</v>
      </c>
      <c r="B131">
        <v>59552816</v>
      </c>
      <c r="C131">
        <v>59553431</v>
      </c>
      <c r="D131">
        <v>58071636</v>
      </c>
      <c r="E131">
        <v>1</v>
      </c>
      <c r="F131">
        <v>1</v>
      </c>
      <c r="G131">
        <v>1</v>
      </c>
      <c r="H131">
        <v>3</v>
      </c>
      <c r="I131" t="s">
        <v>405</v>
      </c>
      <c r="J131" t="s">
        <v>406</v>
      </c>
      <c r="K131" t="s">
        <v>407</v>
      </c>
      <c r="L131">
        <v>1301</v>
      </c>
      <c r="N131">
        <v>1003</v>
      </c>
      <c r="O131" t="s">
        <v>308</v>
      </c>
      <c r="P131" t="s">
        <v>308</v>
      </c>
      <c r="Q131">
        <v>1</v>
      </c>
      <c r="W131">
        <v>0</v>
      </c>
      <c r="X131">
        <v>4400064</v>
      </c>
      <c r="Y131">
        <f t="shared" si="40"/>
        <v>400</v>
      </c>
      <c r="AA131">
        <v>23.89</v>
      </c>
      <c r="AB131">
        <v>0</v>
      </c>
      <c r="AC131">
        <v>0</v>
      </c>
      <c r="AD131">
        <v>0</v>
      </c>
      <c r="AE131">
        <v>17.96</v>
      </c>
      <c r="AF131">
        <v>0</v>
      </c>
      <c r="AG131">
        <v>0</v>
      </c>
      <c r="AH131">
        <v>0</v>
      </c>
      <c r="AI131">
        <v>1.33</v>
      </c>
      <c r="AJ131">
        <v>1</v>
      </c>
      <c r="AK131">
        <v>1</v>
      </c>
      <c r="AL131">
        <v>1</v>
      </c>
      <c r="AM131">
        <v>2</v>
      </c>
      <c r="AN131">
        <v>0</v>
      </c>
      <c r="AO131">
        <v>0</v>
      </c>
      <c r="AP131">
        <v>1</v>
      </c>
      <c r="AQ131">
        <v>1</v>
      </c>
      <c r="AR131">
        <v>0</v>
      </c>
      <c r="AS131" t="s">
        <v>3</v>
      </c>
      <c r="AT131">
        <v>400</v>
      </c>
      <c r="AU131" t="s">
        <v>3</v>
      </c>
      <c r="AV131">
        <v>0</v>
      </c>
      <c r="AW131">
        <v>2</v>
      </c>
      <c r="AX131">
        <v>59553439</v>
      </c>
      <c r="AY131">
        <v>1</v>
      </c>
      <c r="AZ131">
        <v>0</v>
      </c>
      <c r="BA131">
        <v>130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7184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7184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CX131">
        <f>ROUND(Y131*Source!I153,7)</f>
        <v>44</v>
      </c>
      <c r="CY131">
        <f>AA131</f>
        <v>23.89</v>
      </c>
      <c r="CZ131">
        <f>AE131</f>
        <v>17.96</v>
      </c>
      <c r="DA131">
        <f>AI131</f>
        <v>1.33</v>
      </c>
      <c r="DB131">
        <f t="shared" si="41"/>
        <v>7184</v>
      </c>
      <c r="DC131">
        <f t="shared" si="42"/>
        <v>0</v>
      </c>
      <c r="DD131" t="s">
        <v>3</v>
      </c>
      <c r="DE131" t="s">
        <v>3</v>
      </c>
      <c r="DF131">
        <f>ROUND(ROUND(AE131*AI131,2)*CX131,2)</f>
        <v>1051.1600000000001</v>
      </c>
      <c r="DG131">
        <f t="shared" si="43"/>
        <v>0</v>
      </c>
      <c r="DH131">
        <f t="shared" si="27"/>
        <v>0</v>
      </c>
      <c r="DI131">
        <f t="shared" si="28"/>
        <v>0</v>
      </c>
      <c r="DJ131">
        <f>DF131</f>
        <v>1051.1600000000001</v>
      </c>
      <c r="DK131">
        <v>0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ROW(Source!A154)</f>
        <v>154</v>
      </c>
      <c r="B132">
        <v>59552816</v>
      </c>
      <c r="C132">
        <v>59553476</v>
      </c>
      <c r="D132">
        <v>57987227</v>
      </c>
      <c r="E132">
        <v>107</v>
      </c>
      <c r="F132">
        <v>1</v>
      </c>
      <c r="G132">
        <v>1</v>
      </c>
      <c r="H132">
        <v>1</v>
      </c>
      <c r="I132" t="s">
        <v>408</v>
      </c>
      <c r="J132" t="s">
        <v>3</v>
      </c>
      <c r="K132" t="s">
        <v>409</v>
      </c>
      <c r="L132">
        <v>1191</v>
      </c>
      <c r="N132">
        <v>1013</v>
      </c>
      <c r="O132" t="s">
        <v>278</v>
      </c>
      <c r="P132" t="s">
        <v>278</v>
      </c>
      <c r="Q132">
        <v>1</v>
      </c>
      <c r="W132">
        <v>0</v>
      </c>
      <c r="X132">
        <v>-1796977266</v>
      </c>
      <c r="Y132">
        <f t="shared" si="40"/>
        <v>188</v>
      </c>
      <c r="AA132">
        <v>0</v>
      </c>
      <c r="AB132">
        <v>0</v>
      </c>
      <c r="AC132">
        <v>0</v>
      </c>
      <c r="AD132">
        <v>201.11</v>
      </c>
      <c r="AE132">
        <v>0</v>
      </c>
      <c r="AF132">
        <v>0</v>
      </c>
      <c r="AG132">
        <v>0</v>
      </c>
      <c r="AH132">
        <v>201.11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0</v>
      </c>
      <c r="AP132">
        <v>1</v>
      </c>
      <c r="AQ132">
        <v>1</v>
      </c>
      <c r="AR132">
        <v>0</v>
      </c>
      <c r="AS132" t="s">
        <v>3</v>
      </c>
      <c r="AT132">
        <v>188</v>
      </c>
      <c r="AU132" t="s">
        <v>3</v>
      </c>
      <c r="AV132">
        <v>1</v>
      </c>
      <c r="AW132">
        <v>2</v>
      </c>
      <c r="AX132">
        <v>59553477</v>
      </c>
      <c r="AY132">
        <v>1</v>
      </c>
      <c r="AZ132">
        <v>0</v>
      </c>
      <c r="BA132">
        <v>131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37808.68</v>
      </c>
      <c r="BN132">
        <v>188</v>
      </c>
      <c r="BO132">
        <v>0</v>
      </c>
      <c r="BP132">
        <v>1</v>
      </c>
      <c r="BQ132">
        <v>0</v>
      </c>
      <c r="BR132">
        <v>0</v>
      </c>
      <c r="BS132">
        <v>0</v>
      </c>
      <c r="BT132">
        <v>37808.68</v>
      </c>
      <c r="BU132">
        <v>188</v>
      </c>
      <c r="BV132">
        <v>0</v>
      </c>
      <c r="BW132">
        <v>1</v>
      </c>
      <c r="CX132">
        <f>ROUND(Y132*Source!I154,7)</f>
        <v>2.82</v>
      </c>
      <c r="CY132">
        <f>AD132</f>
        <v>201.11</v>
      </c>
      <c r="CZ132">
        <f>AH132</f>
        <v>201.11</v>
      </c>
      <c r="DA132">
        <f>AL132</f>
        <v>1</v>
      </c>
      <c r="DB132">
        <f t="shared" si="41"/>
        <v>37808.68</v>
      </c>
      <c r="DC132">
        <f t="shared" si="42"/>
        <v>0</v>
      </c>
      <c r="DD132" t="s">
        <v>3</v>
      </c>
      <c r="DE132" t="s">
        <v>3</v>
      </c>
      <c r="DF132">
        <f>ROUND(ROUND(AE132,2)*CX132,2)</f>
        <v>0</v>
      </c>
      <c r="DG132">
        <f t="shared" si="43"/>
        <v>0</v>
      </c>
      <c r="DH132">
        <f t="shared" si="27"/>
        <v>0</v>
      </c>
      <c r="DI132">
        <f t="shared" si="28"/>
        <v>567.13</v>
      </c>
      <c r="DJ132">
        <f>DI132</f>
        <v>567.13</v>
      </c>
      <c r="DK132">
        <v>1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ROW(Source!A154)</f>
        <v>154</v>
      </c>
      <c r="B133">
        <v>59552816</v>
      </c>
      <c r="C133">
        <v>59553476</v>
      </c>
      <c r="D133">
        <v>57992860</v>
      </c>
      <c r="E133">
        <v>107</v>
      </c>
      <c r="F133">
        <v>1</v>
      </c>
      <c r="G133">
        <v>1</v>
      </c>
      <c r="H133">
        <v>3</v>
      </c>
      <c r="I133" t="s">
        <v>279</v>
      </c>
      <c r="J133" t="s">
        <v>3</v>
      </c>
      <c r="K133" t="s">
        <v>280</v>
      </c>
      <c r="L133">
        <v>1348</v>
      </c>
      <c r="N133">
        <v>1009</v>
      </c>
      <c r="O133" t="s">
        <v>281</v>
      </c>
      <c r="P133" t="s">
        <v>281</v>
      </c>
      <c r="Q133">
        <v>1000</v>
      </c>
      <c r="W133">
        <v>0</v>
      </c>
      <c r="X133">
        <v>2102561428</v>
      </c>
      <c r="Y133">
        <f t="shared" si="40"/>
        <v>100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-2</v>
      </c>
      <c r="AN133">
        <v>0</v>
      </c>
      <c r="AO133">
        <v>0</v>
      </c>
      <c r="AP133">
        <v>1</v>
      </c>
      <c r="AQ133">
        <v>1</v>
      </c>
      <c r="AR133">
        <v>0</v>
      </c>
      <c r="AS133" t="s">
        <v>3</v>
      </c>
      <c r="AT133">
        <v>100</v>
      </c>
      <c r="AU133" t="s">
        <v>3</v>
      </c>
      <c r="AV133">
        <v>0</v>
      </c>
      <c r="AW133">
        <v>2</v>
      </c>
      <c r="AX133">
        <v>59553478</v>
      </c>
      <c r="AY133">
        <v>1</v>
      </c>
      <c r="AZ133">
        <v>0</v>
      </c>
      <c r="BA133">
        <v>132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X133">
        <f>ROUND(Y133*Source!I154,7)</f>
        <v>1.5</v>
      </c>
      <c r="CY133">
        <f>AA133</f>
        <v>0</v>
      </c>
      <c r="CZ133">
        <f>AE133</f>
        <v>0</v>
      </c>
      <c r="DA133">
        <f>AI133</f>
        <v>1</v>
      </c>
      <c r="DB133">
        <f t="shared" si="41"/>
        <v>0</v>
      </c>
      <c r="DC133">
        <f t="shared" si="42"/>
        <v>0</v>
      </c>
      <c r="DD133" t="s">
        <v>3</v>
      </c>
      <c r="DE133" t="s">
        <v>3</v>
      </c>
      <c r="DF133">
        <f>ROUND(ROUND(AE133,2)*CX133,2)</f>
        <v>0</v>
      </c>
      <c r="DG133">
        <f t="shared" si="43"/>
        <v>0</v>
      </c>
      <c r="DH133">
        <f t="shared" si="27"/>
        <v>0</v>
      </c>
      <c r="DI133">
        <f t="shared" si="28"/>
        <v>0</v>
      </c>
      <c r="DJ133">
        <f>DF133</f>
        <v>0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ROW(Source!A24)</f>
        <v>24</v>
      </c>
      <c r="B1">
        <v>59552850</v>
      </c>
      <c r="C1">
        <v>59552849</v>
      </c>
      <c r="D1">
        <v>57987249</v>
      </c>
      <c r="E1">
        <v>107</v>
      </c>
      <c r="F1">
        <v>1</v>
      </c>
      <c r="G1">
        <v>1</v>
      </c>
      <c r="H1">
        <v>1</v>
      </c>
      <c r="I1" t="s">
        <v>276</v>
      </c>
      <c r="J1" t="s">
        <v>3</v>
      </c>
      <c r="K1" t="s">
        <v>277</v>
      </c>
      <c r="L1">
        <v>1191</v>
      </c>
      <c r="N1">
        <v>1013</v>
      </c>
      <c r="O1" t="s">
        <v>278</v>
      </c>
      <c r="P1" t="s">
        <v>278</v>
      </c>
      <c r="Q1">
        <v>1</v>
      </c>
      <c r="X1">
        <v>3.77</v>
      </c>
      <c r="Y1">
        <v>0</v>
      </c>
      <c r="Z1">
        <v>0</v>
      </c>
      <c r="AA1">
        <v>0</v>
      </c>
      <c r="AB1">
        <v>217.26</v>
      </c>
      <c r="AC1">
        <v>0</v>
      </c>
      <c r="AD1">
        <v>1</v>
      </c>
      <c r="AE1">
        <v>1</v>
      </c>
      <c r="AF1" t="s">
        <v>3</v>
      </c>
      <c r="AG1">
        <v>3.77</v>
      </c>
      <c r="AH1">
        <v>2</v>
      </c>
      <c r="AI1">
        <v>59552850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59552851</v>
      </c>
      <c r="C2">
        <v>59552849</v>
      </c>
      <c r="D2">
        <v>57992860</v>
      </c>
      <c r="E2">
        <v>107</v>
      </c>
      <c r="F2">
        <v>1</v>
      </c>
      <c r="G2">
        <v>1</v>
      </c>
      <c r="H2">
        <v>3</v>
      </c>
      <c r="I2" t="s">
        <v>279</v>
      </c>
      <c r="J2" t="s">
        <v>3</v>
      </c>
      <c r="K2" t="s">
        <v>280</v>
      </c>
      <c r="L2">
        <v>1348</v>
      </c>
      <c r="N2">
        <v>1009</v>
      </c>
      <c r="O2" t="s">
        <v>281</v>
      </c>
      <c r="P2" t="s">
        <v>281</v>
      </c>
      <c r="Q2">
        <v>1000</v>
      </c>
      <c r="X2">
        <v>0.11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 t="s">
        <v>3</v>
      </c>
      <c r="AG2">
        <v>0.11</v>
      </c>
      <c r="AH2">
        <v>2</v>
      </c>
      <c r="AI2">
        <v>59552851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ROW(Source!A25)</f>
        <v>25</v>
      </c>
      <c r="B3">
        <v>59552858</v>
      </c>
      <c r="C3">
        <v>59552857</v>
      </c>
      <c r="D3">
        <v>57987303</v>
      </c>
      <c r="E3">
        <v>107</v>
      </c>
      <c r="F3">
        <v>1</v>
      </c>
      <c r="G3">
        <v>1</v>
      </c>
      <c r="H3">
        <v>1</v>
      </c>
      <c r="I3" t="s">
        <v>282</v>
      </c>
      <c r="J3" t="s">
        <v>3</v>
      </c>
      <c r="K3" t="s">
        <v>283</v>
      </c>
      <c r="L3">
        <v>1191</v>
      </c>
      <c r="N3">
        <v>1013</v>
      </c>
      <c r="O3" t="s">
        <v>278</v>
      </c>
      <c r="P3" t="s">
        <v>278</v>
      </c>
      <c r="Q3">
        <v>1</v>
      </c>
      <c r="X3">
        <v>6.68</v>
      </c>
      <c r="Y3">
        <v>0</v>
      </c>
      <c r="Z3">
        <v>0</v>
      </c>
      <c r="AA3">
        <v>0</v>
      </c>
      <c r="AB3">
        <v>255.13</v>
      </c>
      <c r="AC3">
        <v>0</v>
      </c>
      <c r="AD3">
        <v>1</v>
      </c>
      <c r="AE3">
        <v>1</v>
      </c>
      <c r="AF3" t="s">
        <v>29</v>
      </c>
      <c r="AG3">
        <v>7.6819999999999995</v>
      </c>
      <c r="AH3">
        <v>2</v>
      </c>
      <c r="AI3">
        <v>59552858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ROW(Source!A25)</f>
        <v>25</v>
      </c>
      <c r="B4">
        <v>59552859</v>
      </c>
      <c r="C4">
        <v>59552857</v>
      </c>
      <c r="D4">
        <v>57987490</v>
      </c>
      <c r="E4">
        <v>107</v>
      </c>
      <c r="F4">
        <v>1</v>
      </c>
      <c r="G4">
        <v>1</v>
      </c>
      <c r="H4">
        <v>1</v>
      </c>
      <c r="I4" t="s">
        <v>284</v>
      </c>
      <c r="J4" t="s">
        <v>3</v>
      </c>
      <c r="K4" t="s">
        <v>285</v>
      </c>
      <c r="L4">
        <v>1191</v>
      </c>
      <c r="N4">
        <v>1013</v>
      </c>
      <c r="O4" t="s">
        <v>278</v>
      </c>
      <c r="P4" t="s">
        <v>278</v>
      </c>
      <c r="Q4">
        <v>1</v>
      </c>
      <c r="X4">
        <v>0.04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2</v>
      </c>
      <c r="AF4" t="s">
        <v>28</v>
      </c>
      <c r="AG4">
        <v>0.05</v>
      </c>
      <c r="AH4">
        <v>2</v>
      </c>
      <c r="AI4">
        <v>59552859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ROW(Source!A25)</f>
        <v>25</v>
      </c>
      <c r="B5">
        <v>59552860</v>
      </c>
      <c r="C5">
        <v>59552857</v>
      </c>
      <c r="D5">
        <v>58107260</v>
      </c>
      <c r="E5">
        <v>1</v>
      </c>
      <c r="F5">
        <v>1</v>
      </c>
      <c r="G5">
        <v>1</v>
      </c>
      <c r="H5">
        <v>2</v>
      </c>
      <c r="I5" t="s">
        <v>286</v>
      </c>
      <c r="J5" t="s">
        <v>287</v>
      </c>
      <c r="K5" t="s">
        <v>288</v>
      </c>
      <c r="L5">
        <v>1368</v>
      </c>
      <c r="N5">
        <v>1011</v>
      </c>
      <c r="O5" t="s">
        <v>289</v>
      </c>
      <c r="P5" t="s">
        <v>289</v>
      </c>
      <c r="Q5">
        <v>1</v>
      </c>
      <c r="X5">
        <v>5.0000000000000001E-3</v>
      </c>
      <c r="Y5">
        <v>0</v>
      </c>
      <c r="Z5">
        <v>37.32</v>
      </c>
      <c r="AA5">
        <v>237.19</v>
      </c>
      <c r="AB5">
        <v>0</v>
      </c>
      <c r="AC5">
        <v>0</v>
      </c>
      <c r="AD5">
        <v>1</v>
      </c>
      <c r="AE5">
        <v>0</v>
      </c>
      <c r="AF5" t="s">
        <v>28</v>
      </c>
      <c r="AG5">
        <v>6.2500000000000003E-3</v>
      </c>
      <c r="AH5">
        <v>2</v>
      </c>
      <c r="AI5">
        <v>59552860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ROW(Source!A25)</f>
        <v>25</v>
      </c>
      <c r="B6">
        <v>59552861</v>
      </c>
      <c r="C6">
        <v>59552857</v>
      </c>
      <c r="D6">
        <v>58107956</v>
      </c>
      <c r="E6">
        <v>1</v>
      </c>
      <c r="F6">
        <v>1</v>
      </c>
      <c r="G6">
        <v>1</v>
      </c>
      <c r="H6">
        <v>2</v>
      </c>
      <c r="I6" t="s">
        <v>291</v>
      </c>
      <c r="J6" t="s">
        <v>292</v>
      </c>
      <c r="K6" t="s">
        <v>293</v>
      </c>
      <c r="L6">
        <v>1368</v>
      </c>
      <c r="N6">
        <v>1011</v>
      </c>
      <c r="O6" t="s">
        <v>289</v>
      </c>
      <c r="P6" t="s">
        <v>289</v>
      </c>
      <c r="Q6">
        <v>1</v>
      </c>
      <c r="X6">
        <v>0.03</v>
      </c>
      <c r="Y6">
        <v>0</v>
      </c>
      <c r="Z6">
        <v>477.92</v>
      </c>
      <c r="AA6">
        <v>267.08999999999997</v>
      </c>
      <c r="AB6">
        <v>0</v>
      </c>
      <c r="AC6">
        <v>0</v>
      </c>
      <c r="AD6">
        <v>1</v>
      </c>
      <c r="AE6">
        <v>0</v>
      </c>
      <c r="AF6" t="s">
        <v>28</v>
      </c>
      <c r="AG6">
        <v>3.7499999999999999E-2</v>
      </c>
      <c r="AH6">
        <v>2</v>
      </c>
      <c r="AI6">
        <v>59552861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ROW(Source!A25)</f>
        <v>25</v>
      </c>
      <c r="B7">
        <v>59552862</v>
      </c>
      <c r="C7">
        <v>59552857</v>
      </c>
      <c r="D7">
        <v>58061388</v>
      </c>
      <c r="E7">
        <v>1</v>
      </c>
      <c r="F7">
        <v>1</v>
      </c>
      <c r="G7">
        <v>1</v>
      </c>
      <c r="H7">
        <v>3</v>
      </c>
      <c r="I7" t="s">
        <v>295</v>
      </c>
      <c r="J7" t="s">
        <v>296</v>
      </c>
      <c r="K7" t="s">
        <v>297</v>
      </c>
      <c r="L7">
        <v>1383</v>
      </c>
      <c r="N7">
        <v>1013</v>
      </c>
      <c r="O7" t="s">
        <v>298</v>
      </c>
      <c r="P7" t="s">
        <v>298</v>
      </c>
      <c r="Q7">
        <v>1</v>
      </c>
      <c r="X7">
        <v>2.5407999999999999</v>
      </c>
      <c r="Y7">
        <v>6.92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2.5407999999999999</v>
      </c>
      <c r="AH7">
        <v>2</v>
      </c>
      <c r="AI7">
        <v>59552862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ROW(Source!A25)</f>
        <v>25</v>
      </c>
      <c r="B8">
        <v>59552863</v>
      </c>
      <c r="C8">
        <v>59552857</v>
      </c>
      <c r="D8">
        <v>58062718</v>
      </c>
      <c r="E8">
        <v>1</v>
      </c>
      <c r="F8">
        <v>1</v>
      </c>
      <c r="G8">
        <v>1</v>
      </c>
      <c r="H8">
        <v>3</v>
      </c>
      <c r="I8" t="s">
        <v>299</v>
      </c>
      <c r="J8" t="s">
        <v>300</v>
      </c>
      <c r="K8" t="s">
        <v>301</v>
      </c>
      <c r="L8">
        <v>1407</v>
      </c>
      <c r="N8">
        <v>1013</v>
      </c>
      <c r="O8" t="s">
        <v>302</v>
      </c>
      <c r="P8" t="s">
        <v>302</v>
      </c>
      <c r="Q8">
        <v>1</v>
      </c>
      <c r="X8">
        <v>0.26300000000000001</v>
      </c>
      <c r="Y8">
        <v>174.13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0.26300000000000001</v>
      </c>
      <c r="AH8">
        <v>2</v>
      </c>
      <c r="AI8">
        <v>59552863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ROW(Source!A25)</f>
        <v>25</v>
      </c>
      <c r="B9">
        <v>59552864</v>
      </c>
      <c r="C9">
        <v>59552857</v>
      </c>
      <c r="D9">
        <v>58062990</v>
      </c>
      <c r="E9">
        <v>1</v>
      </c>
      <c r="F9">
        <v>1</v>
      </c>
      <c r="G9">
        <v>1</v>
      </c>
      <c r="H9">
        <v>3</v>
      </c>
      <c r="I9" t="s">
        <v>303</v>
      </c>
      <c r="J9" t="s">
        <v>304</v>
      </c>
      <c r="K9" t="s">
        <v>305</v>
      </c>
      <c r="L9">
        <v>1425</v>
      </c>
      <c r="N9">
        <v>1013</v>
      </c>
      <c r="O9" t="s">
        <v>162</v>
      </c>
      <c r="P9" t="s">
        <v>162</v>
      </c>
      <c r="Q9">
        <v>1</v>
      </c>
      <c r="X9">
        <v>2.63</v>
      </c>
      <c r="Y9">
        <v>23.03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2.63</v>
      </c>
      <c r="AH9">
        <v>2</v>
      </c>
      <c r="AI9">
        <v>59552864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ROW(Source!A25)</f>
        <v>25</v>
      </c>
      <c r="B10">
        <v>59552865</v>
      </c>
      <c r="C10">
        <v>59552857</v>
      </c>
      <c r="D10">
        <v>57990333</v>
      </c>
      <c r="E10">
        <v>107</v>
      </c>
      <c r="F10">
        <v>1</v>
      </c>
      <c r="G10">
        <v>1</v>
      </c>
      <c r="H10">
        <v>3</v>
      </c>
      <c r="I10" t="s">
        <v>306</v>
      </c>
      <c r="J10" t="s">
        <v>3</v>
      </c>
      <c r="K10" t="s">
        <v>307</v>
      </c>
      <c r="L10">
        <v>1301</v>
      </c>
      <c r="N10">
        <v>1003</v>
      </c>
      <c r="O10" t="s">
        <v>308</v>
      </c>
      <c r="P10" t="s">
        <v>308</v>
      </c>
      <c r="Q10">
        <v>1</v>
      </c>
      <c r="X10">
        <v>101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3</v>
      </c>
      <c r="AG10">
        <v>101</v>
      </c>
      <c r="AH10">
        <v>2</v>
      </c>
      <c r="AI10">
        <v>59552865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ROW(Source!A25)</f>
        <v>25</v>
      </c>
      <c r="B11">
        <v>59552866</v>
      </c>
      <c r="C11">
        <v>59552857</v>
      </c>
      <c r="D11">
        <v>58072149</v>
      </c>
      <c r="E11">
        <v>1</v>
      </c>
      <c r="F11">
        <v>1</v>
      </c>
      <c r="G11">
        <v>1</v>
      </c>
      <c r="H11">
        <v>3</v>
      </c>
      <c r="I11" t="s">
        <v>309</v>
      </c>
      <c r="J11" t="s">
        <v>310</v>
      </c>
      <c r="K11" t="s">
        <v>311</v>
      </c>
      <c r="L11">
        <v>1425</v>
      </c>
      <c r="N11">
        <v>1013</v>
      </c>
      <c r="O11" t="s">
        <v>162</v>
      </c>
      <c r="P11" t="s">
        <v>162</v>
      </c>
      <c r="Q11">
        <v>1</v>
      </c>
      <c r="X11">
        <v>0.16</v>
      </c>
      <c r="Y11">
        <v>1815.16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0.16</v>
      </c>
      <c r="AH11">
        <v>2</v>
      </c>
      <c r="AI11">
        <v>59552866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ROW(Source!A25)</f>
        <v>25</v>
      </c>
      <c r="B12">
        <v>59552867</v>
      </c>
      <c r="C12">
        <v>59552857</v>
      </c>
      <c r="D12">
        <v>58072150</v>
      </c>
      <c r="E12">
        <v>1</v>
      </c>
      <c r="F12">
        <v>1</v>
      </c>
      <c r="G12">
        <v>1</v>
      </c>
      <c r="H12">
        <v>3</v>
      </c>
      <c r="I12" t="s">
        <v>312</v>
      </c>
      <c r="J12" t="s">
        <v>313</v>
      </c>
      <c r="K12" t="s">
        <v>314</v>
      </c>
      <c r="L12">
        <v>1425</v>
      </c>
      <c r="N12">
        <v>1013</v>
      </c>
      <c r="O12" t="s">
        <v>162</v>
      </c>
      <c r="P12" t="s">
        <v>162</v>
      </c>
      <c r="Q12">
        <v>1</v>
      </c>
      <c r="X12">
        <v>0.4</v>
      </c>
      <c r="Y12">
        <v>1448.4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0.4</v>
      </c>
      <c r="AH12">
        <v>2</v>
      </c>
      <c r="AI12">
        <v>59552867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ROW(Source!A25)</f>
        <v>25</v>
      </c>
      <c r="B13">
        <v>59552868</v>
      </c>
      <c r="C13">
        <v>59552857</v>
      </c>
      <c r="D13">
        <v>58072151</v>
      </c>
      <c r="E13">
        <v>1</v>
      </c>
      <c r="F13">
        <v>1</v>
      </c>
      <c r="G13">
        <v>1</v>
      </c>
      <c r="H13">
        <v>3</v>
      </c>
      <c r="I13" t="s">
        <v>315</v>
      </c>
      <c r="J13" t="s">
        <v>316</v>
      </c>
      <c r="K13" t="s">
        <v>317</v>
      </c>
      <c r="L13">
        <v>1425</v>
      </c>
      <c r="N13">
        <v>1013</v>
      </c>
      <c r="O13" t="s">
        <v>162</v>
      </c>
      <c r="P13" t="s">
        <v>162</v>
      </c>
      <c r="Q13">
        <v>1</v>
      </c>
      <c r="X13">
        <v>0.14000000000000001</v>
      </c>
      <c r="Y13">
        <v>1275.1199999999999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0.14000000000000001</v>
      </c>
      <c r="AH13">
        <v>2</v>
      </c>
      <c r="AI13">
        <v>59552868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ROW(Source!A26)</f>
        <v>26</v>
      </c>
      <c r="B14">
        <v>59552881</v>
      </c>
      <c r="C14">
        <v>59552874</v>
      </c>
      <c r="D14">
        <v>31709863</v>
      </c>
      <c r="E14">
        <v>107</v>
      </c>
      <c r="F14">
        <v>1</v>
      </c>
      <c r="G14">
        <v>1</v>
      </c>
      <c r="H14">
        <v>1</v>
      </c>
      <c r="I14" t="s">
        <v>318</v>
      </c>
      <c r="J14" t="s">
        <v>3</v>
      </c>
      <c r="K14" t="s">
        <v>319</v>
      </c>
      <c r="L14">
        <v>1191</v>
      </c>
      <c r="N14">
        <v>1013</v>
      </c>
      <c r="O14" t="s">
        <v>278</v>
      </c>
      <c r="P14" t="s">
        <v>278</v>
      </c>
      <c r="Q14">
        <v>1</v>
      </c>
      <c r="X14">
        <v>22.55</v>
      </c>
      <c r="Y14">
        <v>0</v>
      </c>
      <c r="Z14">
        <v>0</v>
      </c>
      <c r="AA14">
        <v>0</v>
      </c>
      <c r="AB14">
        <v>237.19</v>
      </c>
      <c r="AC14">
        <v>0</v>
      </c>
      <c r="AD14">
        <v>1</v>
      </c>
      <c r="AE14">
        <v>1</v>
      </c>
      <c r="AF14" t="s">
        <v>42</v>
      </c>
      <c r="AG14">
        <v>18.040000000000003</v>
      </c>
      <c r="AH14">
        <v>2</v>
      </c>
      <c r="AI14">
        <v>59552875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ROW(Source!A26)</f>
        <v>26</v>
      </c>
      <c r="B15">
        <v>59552882</v>
      </c>
      <c r="C15">
        <v>59552874</v>
      </c>
      <c r="D15">
        <v>31709492</v>
      </c>
      <c r="E15">
        <v>107</v>
      </c>
      <c r="F15">
        <v>1</v>
      </c>
      <c r="G15">
        <v>1</v>
      </c>
      <c r="H15">
        <v>1</v>
      </c>
      <c r="I15" t="s">
        <v>284</v>
      </c>
      <c r="J15" t="s">
        <v>3</v>
      </c>
      <c r="K15" t="s">
        <v>285</v>
      </c>
      <c r="L15">
        <v>1191</v>
      </c>
      <c r="N15">
        <v>1013</v>
      </c>
      <c r="O15" t="s">
        <v>278</v>
      </c>
      <c r="P15" t="s">
        <v>278</v>
      </c>
      <c r="Q15">
        <v>1</v>
      </c>
      <c r="X15">
        <v>0.1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2</v>
      </c>
      <c r="AF15" t="s">
        <v>42</v>
      </c>
      <c r="AG15">
        <v>8.0000000000000016E-2</v>
      </c>
      <c r="AH15">
        <v>2</v>
      </c>
      <c r="AI15">
        <v>59552876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ROW(Source!A26)</f>
        <v>26</v>
      </c>
      <c r="B16">
        <v>59552883</v>
      </c>
      <c r="C16">
        <v>59552874</v>
      </c>
      <c r="D16">
        <v>58107956</v>
      </c>
      <c r="E16">
        <v>1</v>
      </c>
      <c r="F16">
        <v>1</v>
      </c>
      <c r="G16">
        <v>1</v>
      </c>
      <c r="H16">
        <v>2</v>
      </c>
      <c r="I16" t="s">
        <v>291</v>
      </c>
      <c r="J16" t="s">
        <v>292</v>
      </c>
      <c r="K16" t="s">
        <v>293</v>
      </c>
      <c r="L16">
        <v>1368</v>
      </c>
      <c r="N16">
        <v>1011</v>
      </c>
      <c r="O16" t="s">
        <v>289</v>
      </c>
      <c r="P16" t="s">
        <v>289</v>
      </c>
      <c r="Q16">
        <v>1</v>
      </c>
      <c r="X16">
        <v>0.1</v>
      </c>
      <c r="Y16">
        <v>0</v>
      </c>
      <c r="Z16">
        <v>477.92</v>
      </c>
      <c r="AA16">
        <v>267.08999999999997</v>
      </c>
      <c r="AB16">
        <v>0</v>
      </c>
      <c r="AC16">
        <v>0</v>
      </c>
      <c r="AD16">
        <v>1</v>
      </c>
      <c r="AE16">
        <v>0</v>
      </c>
      <c r="AF16" t="s">
        <v>42</v>
      </c>
      <c r="AG16">
        <v>8.0000000000000016E-2</v>
      </c>
      <c r="AH16">
        <v>2</v>
      </c>
      <c r="AI16">
        <v>59552877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ROW(Source!A26)</f>
        <v>26</v>
      </c>
      <c r="B17">
        <v>59552884</v>
      </c>
      <c r="C17">
        <v>59552874</v>
      </c>
      <c r="D17">
        <v>58061388</v>
      </c>
      <c r="E17">
        <v>1</v>
      </c>
      <c r="F17">
        <v>1</v>
      </c>
      <c r="G17">
        <v>1</v>
      </c>
      <c r="H17">
        <v>3</v>
      </c>
      <c r="I17" t="s">
        <v>295</v>
      </c>
      <c r="J17" t="s">
        <v>296</v>
      </c>
      <c r="K17" t="s">
        <v>297</v>
      </c>
      <c r="L17">
        <v>1383</v>
      </c>
      <c r="N17">
        <v>1013</v>
      </c>
      <c r="O17" t="s">
        <v>298</v>
      </c>
      <c r="P17" t="s">
        <v>298</v>
      </c>
      <c r="Q17">
        <v>1</v>
      </c>
      <c r="X17">
        <v>0.58099999999999996</v>
      </c>
      <c r="Y17">
        <v>6.92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41</v>
      </c>
      <c r="AG17">
        <v>0</v>
      </c>
      <c r="AH17">
        <v>2</v>
      </c>
      <c r="AI17">
        <v>59552878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ROW(Source!A26)</f>
        <v>26</v>
      </c>
      <c r="B18">
        <v>59552885</v>
      </c>
      <c r="C18">
        <v>59552874</v>
      </c>
      <c r="D18">
        <v>57990163</v>
      </c>
      <c r="E18">
        <v>107</v>
      </c>
      <c r="F18">
        <v>1</v>
      </c>
      <c r="G18">
        <v>1</v>
      </c>
      <c r="H18">
        <v>3</v>
      </c>
      <c r="I18" t="s">
        <v>320</v>
      </c>
      <c r="J18" t="s">
        <v>3</v>
      </c>
      <c r="K18" t="s">
        <v>321</v>
      </c>
      <c r="L18">
        <v>1327</v>
      </c>
      <c r="N18">
        <v>1005</v>
      </c>
      <c r="O18" t="s">
        <v>49</v>
      </c>
      <c r="P18" t="s">
        <v>49</v>
      </c>
      <c r="Q18">
        <v>1</v>
      </c>
      <c r="X18">
        <v>102.5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41</v>
      </c>
      <c r="AG18">
        <v>0</v>
      </c>
      <c r="AH18">
        <v>2</v>
      </c>
      <c r="AI18">
        <v>59552879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ROW(Source!A26)</f>
        <v>26</v>
      </c>
      <c r="B19">
        <v>59552886</v>
      </c>
      <c r="C19">
        <v>59552874</v>
      </c>
      <c r="D19">
        <v>58072093</v>
      </c>
      <c r="E19">
        <v>1</v>
      </c>
      <c r="F19">
        <v>1</v>
      </c>
      <c r="G19">
        <v>1</v>
      </c>
      <c r="H19">
        <v>3</v>
      </c>
      <c r="I19" t="s">
        <v>322</v>
      </c>
      <c r="J19" t="s">
        <v>323</v>
      </c>
      <c r="K19" t="s">
        <v>324</v>
      </c>
      <c r="L19">
        <v>1330</v>
      </c>
      <c r="N19">
        <v>1005</v>
      </c>
      <c r="O19" t="s">
        <v>325</v>
      </c>
      <c r="P19" t="s">
        <v>325</v>
      </c>
      <c r="Q19">
        <v>10</v>
      </c>
      <c r="X19">
        <v>10.5</v>
      </c>
      <c r="Y19">
        <v>108.36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41</v>
      </c>
      <c r="AG19">
        <v>0</v>
      </c>
      <c r="AH19">
        <v>2</v>
      </c>
      <c r="AI19">
        <v>59552880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ROW(Source!A27)</f>
        <v>27</v>
      </c>
      <c r="B20">
        <v>59552840</v>
      </c>
      <c r="C20">
        <v>59552839</v>
      </c>
      <c r="D20">
        <v>57987289</v>
      </c>
      <c r="E20">
        <v>107</v>
      </c>
      <c r="F20">
        <v>1</v>
      </c>
      <c r="G20">
        <v>1</v>
      </c>
      <c r="H20">
        <v>1</v>
      </c>
      <c r="I20" t="s">
        <v>318</v>
      </c>
      <c r="J20" t="s">
        <v>3</v>
      </c>
      <c r="K20" t="s">
        <v>319</v>
      </c>
      <c r="L20">
        <v>1191</v>
      </c>
      <c r="N20">
        <v>1013</v>
      </c>
      <c r="O20" t="s">
        <v>278</v>
      </c>
      <c r="P20" t="s">
        <v>278</v>
      </c>
      <c r="Q20">
        <v>1</v>
      </c>
      <c r="X20">
        <v>22.55</v>
      </c>
      <c r="Y20">
        <v>0</v>
      </c>
      <c r="Z20">
        <v>0</v>
      </c>
      <c r="AA20">
        <v>0</v>
      </c>
      <c r="AB20">
        <v>237.19</v>
      </c>
      <c r="AC20">
        <v>0</v>
      </c>
      <c r="AD20">
        <v>1</v>
      </c>
      <c r="AE20">
        <v>1</v>
      </c>
      <c r="AF20" t="s">
        <v>29</v>
      </c>
      <c r="AG20">
        <v>25.932499999999997</v>
      </c>
      <c r="AH20">
        <v>2</v>
      </c>
      <c r="AI20">
        <v>59552840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ROW(Source!A27)</f>
        <v>27</v>
      </c>
      <c r="B21">
        <v>59552841</v>
      </c>
      <c r="C21">
        <v>59552839</v>
      </c>
      <c r="D21">
        <v>57987490</v>
      </c>
      <c r="E21">
        <v>107</v>
      </c>
      <c r="F21">
        <v>1</v>
      </c>
      <c r="G21">
        <v>1</v>
      </c>
      <c r="H21">
        <v>1</v>
      </c>
      <c r="I21" t="s">
        <v>284</v>
      </c>
      <c r="J21" t="s">
        <v>3</v>
      </c>
      <c r="K21" t="s">
        <v>285</v>
      </c>
      <c r="L21">
        <v>1191</v>
      </c>
      <c r="N21">
        <v>1013</v>
      </c>
      <c r="O21" t="s">
        <v>278</v>
      </c>
      <c r="P21" t="s">
        <v>278</v>
      </c>
      <c r="Q21">
        <v>1</v>
      </c>
      <c r="X21">
        <v>0.1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2</v>
      </c>
      <c r="AF21" t="s">
        <v>28</v>
      </c>
      <c r="AG21">
        <v>0.125</v>
      </c>
      <c r="AH21">
        <v>2</v>
      </c>
      <c r="AI21">
        <v>59552841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ROW(Source!A27)</f>
        <v>27</v>
      </c>
      <c r="B22">
        <v>59552842</v>
      </c>
      <c r="C22">
        <v>59552839</v>
      </c>
      <c r="D22">
        <v>58107956</v>
      </c>
      <c r="E22">
        <v>1</v>
      </c>
      <c r="F22">
        <v>1</v>
      </c>
      <c r="G22">
        <v>1</v>
      </c>
      <c r="H22">
        <v>2</v>
      </c>
      <c r="I22" t="s">
        <v>291</v>
      </c>
      <c r="J22" t="s">
        <v>292</v>
      </c>
      <c r="K22" t="s">
        <v>293</v>
      </c>
      <c r="L22">
        <v>1368</v>
      </c>
      <c r="N22">
        <v>1011</v>
      </c>
      <c r="O22" t="s">
        <v>289</v>
      </c>
      <c r="P22" t="s">
        <v>289</v>
      </c>
      <c r="Q22">
        <v>1</v>
      </c>
      <c r="X22">
        <v>0.1</v>
      </c>
      <c r="Y22">
        <v>0</v>
      </c>
      <c r="Z22">
        <v>477.92</v>
      </c>
      <c r="AA22">
        <v>267.08999999999997</v>
      </c>
      <c r="AB22">
        <v>0</v>
      </c>
      <c r="AC22">
        <v>0</v>
      </c>
      <c r="AD22">
        <v>1</v>
      </c>
      <c r="AE22">
        <v>0</v>
      </c>
      <c r="AF22" t="s">
        <v>28</v>
      </c>
      <c r="AG22">
        <v>0.125</v>
      </c>
      <c r="AH22">
        <v>2</v>
      </c>
      <c r="AI22">
        <v>59552842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ROW(Source!A27)</f>
        <v>27</v>
      </c>
      <c r="B23">
        <v>59552843</v>
      </c>
      <c r="C23">
        <v>59552839</v>
      </c>
      <c r="D23">
        <v>58061388</v>
      </c>
      <c r="E23">
        <v>1</v>
      </c>
      <c r="F23">
        <v>1</v>
      </c>
      <c r="G23">
        <v>1</v>
      </c>
      <c r="H23">
        <v>3</v>
      </c>
      <c r="I23" t="s">
        <v>295</v>
      </c>
      <c r="J23" t="s">
        <v>296</v>
      </c>
      <c r="K23" t="s">
        <v>297</v>
      </c>
      <c r="L23">
        <v>1383</v>
      </c>
      <c r="N23">
        <v>1013</v>
      </c>
      <c r="O23" t="s">
        <v>298</v>
      </c>
      <c r="P23" t="s">
        <v>298</v>
      </c>
      <c r="Q23">
        <v>1</v>
      </c>
      <c r="X23">
        <v>0.58099999999999996</v>
      </c>
      <c r="Y23">
        <v>6.92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0.58099999999999996</v>
      </c>
      <c r="AH23">
        <v>2</v>
      </c>
      <c r="AI23">
        <v>59552843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ROW(Source!A27)</f>
        <v>27</v>
      </c>
      <c r="B24">
        <v>59552844</v>
      </c>
      <c r="C24">
        <v>59552839</v>
      </c>
      <c r="D24">
        <v>57990163</v>
      </c>
      <c r="E24">
        <v>107</v>
      </c>
      <c r="F24">
        <v>1</v>
      </c>
      <c r="G24">
        <v>1</v>
      </c>
      <c r="H24">
        <v>3</v>
      </c>
      <c r="I24" t="s">
        <v>320</v>
      </c>
      <c r="J24" t="s">
        <v>3</v>
      </c>
      <c r="K24" t="s">
        <v>321</v>
      </c>
      <c r="L24">
        <v>1327</v>
      </c>
      <c r="N24">
        <v>1005</v>
      </c>
      <c r="O24" t="s">
        <v>49</v>
      </c>
      <c r="P24" t="s">
        <v>49</v>
      </c>
      <c r="Q24">
        <v>1</v>
      </c>
      <c r="X24">
        <v>102.5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t="s">
        <v>3</v>
      </c>
      <c r="AG24">
        <v>102.5</v>
      </c>
      <c r="AH24">
        <v>3</v>
      </c>
      <c r="AI24">
        <v>-1</v>
      </c>
      <c r="AJ24" t="s">
        <v>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ROW(Source!A27)</f>
        <v>27</v>
      </c>
      <c r="B25">
        <v>59552845</v>
      </c>
      <c r="C25">
        <v>59552839</v>
      </c>
      <c r="D25">
        <v>58072093</v>
      </c>
      <c r="E25">
        <v>1</v>
      </c>
      <c r="F25">
        <v>1</v>
      </c>
      <c r="G25">
        <v>1</v>
      </c>
      <c r="H25">
        <v>3</v>
      </c>
      <c r="I25" t="s">
        <v>322</v>
      </c>
      <c r="J25" t="s">
        <v>323</v>
      </c>
      <c r="K25" t="s">
        <v>324</v>
      </c>
      <c r="L25">
        <v>1330</v>
      </c>
      <c r="N25">
        <v>1005</v>
      </c>
      <c r="O25" t="s">
        <v>325</v>
      </c>
      <c r="P25" t="s">
        <v>325</v>
      </c>
      <c r="Q25">
        <v>10</v>
      </c>
      <c r="X25">
        <v>10.5</v>
      </c>
      <c r="Y25">
        <v>108.36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10.5</v>
      </c>
      <c r="AH25">
        <v>3</v>
      </c>
      <c r="AI25">
        <v>-1</v>
      </c>
      <c r="AJ25" t="s">
        <v>3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ROW(Source!A33)</f>
        <v>33</v>
      </c>
      <c r="B26">
        <v>59552949</v>
      </c>
      <c r="C26">
        <v>59552948</v>
      </c>
      <c r="D26">
        <v>57987241</v>
      </c>
      <c r="E26">
        <v>107</v>
      </c>
      <c r="F26">
        <v>1</v>
      </c>
      <c r="G26">
        <v>1</v>
      </c>
      <c r="H26">
        <v>1</v>
      </c>
      <c r="I26" t="s">
        <v>329</v>
      </c>
      <c r="J26" t="s">
        <v>3</v>
      </c>
      <c r="K26" t="s">
        <v>330</v>
      </c>
      <c r="L26">
        <v>1191</v>
      </c>
      <c r="N26">
        <v>1013</v>
      </c>
      <c r="O26" t="s">
        <v>278</v>
      </c>
      <c r="P26" t="s">
        <v>278</v>
      </c>
      <c r="Q26">
        <v>1</v>
      </c>
      <c r="X26">
        <v>0.57999999999999996</v>
      </c>
      <c r="Y26">
        <v>0</v>
      </c>
      <c r="Z26">
        <v>0</v>
      </c>
      <c r="AA26">
        <v>0</v>
      </c>
      <c r="AB26">
        <v>210.08</v>
      </c>
      <c r="AC26">
        <v>0</v>
      </c>
      <c r="AD26">
        <v>1</v>
      </c>
      <c r="AE26">
        <v>1</v>
      </c>
      <c r="AF26" t="s">
        <v>3</v>
      </c>
      <c r="AG26">
        <v>0.57999999999999996</v>
      </c>
      <c r="AH26">
        <v>2</v>
      </c>
      <c r="AI26">
        <v>59552949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ROW(Source!A34)</f>
        <v>34</v>
      </c>
      <c r="B27">
        <v>59553010</v>
      </c>
      <c r="C27">
        <v>59553005</v>
      </c>
      <c r="D27">
        <v>57987241</v>
      </c>
      <c r="E27">
        <v>107</v>
      </c>
      <c r="F27">
        <v>1</v>
      </c>
      <c r="G27">
        <v>1</v>
      </c>
      <c r="H27">
        <v>1</v>
      </c>
      <c r="I27" t="s">
        <v>329</v>
      </c>
      <c r="J27" t="s">
        <v>3</v>
      </c>
      <c r="K27" t="s">
        <v>330</v>
      </c>
      <c r="L27">
        <v>1191</v>
      </c>
      <c r="N27">
        <v>1013</v>
      </c>
      <c r="O27" t="s">
        <v>278</v>
      </c>
      <c r="P27" t="s">
        <v>278</v>
      </c>
      <c r="Q27">
        <v>1</v>
      </c>
      <c r="X27">
        <v>0.57999999999999996</v>
      </c>
      <c r="Y27">
        <v>0</v>
      </c>
      <c r="Z27">
        <v>0</v>
      </c>
      <c r="AA27">
        <v>0</v>
      </c>
      <c r="AB27">
        <v>210.08</v>
      </c>
      <c r="AC27">
        <v>0</v>
      </c>
      <c r="AD27">
        <v>1</v>
      </c>
      <c r="AE27">
        <v>1</v>
      </c>
      <c r="AF27" t="s">
        <v>3</v>
      </c>
      <c r="AG27">
        <v>0.57999999999999996</v>
      </c>
      <c r="AH27">
        <v>2</v>
      </c>
      <c r="AI27">
        <v>59553010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ROW(Source!A35)</f>
        <v>35</v>
      </c>
      <c r="B28">
        <v>59553079</v>
      </c>
      <c r="C28">
        <v>59552954</v>
      </c>
      <c r="D28">
        <v>57987315</v>
      </c>
      <c r="E28">
        <v>107</v>
      </c>
      <c r="F28">
        <v>1</v>
      </c>
      <c r="G28">
        <v>1</v>
      </c>
      <c r="H28">
        <v>1</v>
      </c>
      <c r="I28" t="s">
        <v>331</v>
      </c>
      <c r="J28" t="s">
        <v>3</v>
      </c>
      <c r="K28" t="s">
        <v>332</v>
      </c>
      <c r="L28">
        <v>1191</v>
      </c>
      <c r="N28">
        <v>1013</v>
      </c>
      <c r="O28" t="s">
        <v>278</v>
      </c>
      <c r="P28" t="s">
        <v>278</v>
      </c>
      <c r="Q28">
        <v>1</v>
      </c>
      <c r="X28">
        <v>4.6500000000000004</v>
      </c>
      <c r="Y28">
        <v>0</v>
      </c>
      <c r="Z28">
        <v>0</v>
      </c>
      <c r="AA28">
        <v>0</v>
      </c>
      <c r="AB28">
        <v>267.08999999999997</v>
      </c>
      <c r="AC28">
        <v>0</v>
      </c>
      <c r="AD28">
        <v>1</v>
      </c>
      <c r="AE28">
        <v>1</v>
      </c>
      <c r="AF28" t="s">
        <v>29</v>
      </c>
      <c r="AG28">
        <v>5.3475000000000001</v>
      </c>
      <c r="AH28">
        <v>2</v>
      </c>
      <c r="AI28">
        <v>59553079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ROW(Source!A35)</f>
        <v>35</v>
      </c>
      <c r="B29">
        <v>59553080</v>
      </c>
      <c r="C29">
        <v>59552954</v>
      </c>
      <c r="D29">
        <v>57987490</v>
      </c>
      <c r="E29">
        <v>107</v>
      </c>
      <c r="F29">
        <v>1</v>
      </c>
      <c r="G29">
        <v>1</v>
      </c>
      <c r="H29">
        <v>1</v>
      </c>
      <c r="I29" t="s">
        <v>284</v>
      </c>
      <c r="J29" t="s">
        <v>3</v>
      </c>
      <c r="K29" t="s">
        <v>285</v>
      </c>
      <c r="L29">
        <v>1191</v>
      </c>
      <c r="N29">
        <v>1013</v>
      </c>
      <c r="O29" t="s">
        <v>278</v>
      </c>
      <c r="P29" t="s">
        <v>278</v>
      </c>
      <c r="Q29">
        <v>1</v>
      </c>
      <c r="X29">
        <v>0.02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2</v>
      </c>
      <c r="AF29" t="s">
        <v>28</v>
      </c>
      <c r="AG29">
        <v>2.5000000000000001E-2</v>
      </c>
      <c r="AH29">
        <v>2</v>
      </c>
      <c r="AI29">
        <v>59553080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ROW(Source!A35)</f>
        <v>35</v>
      </c>
      <c r="B30">
        <v>59553081</v>
      </c>
      <c r="C30">
        <v>59552954</v>
      </c>
      <c r="D30">
        <v>58107260</v>
      </c>
      <c r="E30">
        <v>1</v>
      </c>
      <c r="F30">
        <v>1</v>
      </c>
      <c r="G30">
        <v>1</v>
      </c>
      <c r="H30">
        <v>2</v>
      </c>
      <c r="I30" t="s">
        <v>286</v>
      </c>
      <c r="J30" t="s">
        <v>287</v>
      </c>
      <c r="K30" t="s">
        <v>288</v>
      </c>
      <c r="L30">
        <v>1368</v>
      </c>
      <c r="N30">
        <v>1011</v>
      </c>
      <c r="O30" t="s">
        <v>289</v>
      </c>
      <c r="P30" t="s">
        <v>289</v>
      </c>
      <c r="Q30">
        <v>1</v>
      </c>
      <c r="X30">
        <v>0.01</v>
      </c>
      <c r="Y30">
        <v>0</v>
      </c>
      <c r="Z30">
        <v>37.32</v>
      </c>
      <c r="AA30">
        <v>237.19</v>
      </c>
      <c r="AB30">
        <v>0</v>
      </c>
      <c r="AC30">
        <v>0</v>
      </c>
      <c r="AD30">
        <v>1</v>
      </c>
      <c r="AE30">
        <v>0</v>
      </c>
      <c r="AF30" t="s">
        <v>28</v>
      </c>
      <c r="AG30">
        <v>1.2500000000000001E-2</v>
      </c>
      <c r="AH30">
        <v>2</v>
      </c>
      <c r="AI30">
        <v>59553081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ROW(Source!A35)</f>
        <v>35</v>
      </c>
      <c r="B31">
        <v>59553082</v>
      </c>
      <c r="C31">
        <v>59552954</v>
      </c>
      <c r="D31">
        <v>58107956</v>
      </c>
      <c r="E31">
        <v>1</v>
      </c>
      <c r="F31">
        <v>1</v>
      </c>
      <c r="G31">
        <v>1</v>
      </c>
      <c r="H31">
        <v>2</v>
      </c>
      <c r="I31" t="s">
        <v>291</v>
      </c>
      <c r="J31" t="s">
        <v>292</v>
      </c>
      <c r="K31" t="s">
        <v>293</v>
      </c>
      <c r="L31">
        <v>1368</v>
      </c>
      <c r="N31">
        <v>1011</v>
      </c>
      <c r="O31" t="s">
        <v>289</v>
      </c>
      <c r="P31" t="s">
        <v>289</v>
      </c>
      <c r="Q31">
        <v>1</v>
      </c>
      <c r="X31">
        <v>0.01</v>
      </c>
      <c r="Y31">
        <v>0</v>
      </c>
      <c r="Z31">
        <v>477.92</v>
      </c>
      <c r="AA31">
        <v>267.08999999999997</v>
      </c>
      <c r="AB31">
        <v>0</v>
      </c>
      <c r="AC31">
        <v>0</v>
      </c>
      <c r="AD31">
        <v>1</v>
      </c>
      <c r="AE31">
        <v>0</v>
      </c>
      <c r="AF31" t="s">
        <v>28</v>
      </c>
      <c r="AG31">
        <v>1.2500000000000001E-2</v>
      </c>
      <c r="AH31">
        <v>2</v>
      </c>
      <c r="AI31">
        <v>59553082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ROW(Source!A35)</f>
        <v>35</v>
      </c>
      <c r="B32">
        <v>59553083</v>
      </c>
      <c r="C32">
        <v>59552954</v>
      </c>
      <c r="D32">
        <v>58063712</v>
      </c>
      <c r="E32">
        <v>1</v>
      </c>
      <c r="F32">
        <v>1</v>
      </c>
      <c r="G32">
        <v>1</v>
      </c>
      <c r="H32">
        <v>3</v>
      </c>
      <c r="I32" t="s">
        <v>333</v>
      </c>
      <c r="J32" t="s">
        <v>334</v>
      </c>
      <c r="K32" t="s">
        <v>335</v>
      </c>
      <c r="L32">
        <v>1346</v>
      </c>
      <c r="N32">
        <v>1009</v>
      </c>
      <c r="O32" t="s">
        <v>336</v>
      </c>
      <c r="P32" t="s">
        <v>336</v>
      </c>
      <c r="Q32">
        <v>1</v>
      </c>
      <c r="X32">
        <v>0.1</v>
      </c>
      <c r="Y32">
        <v>56.81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0.1</v>
      </c>
      <c r="AH32">
        <v>2</v>
      </c>
      <c r="AI32">
        <v>59553083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ROW(Source!A35)</f>
        <v>35</v>
      </c>
      <c r="B33">
        <v>59553084</v>
      </c>
      <c r="C33">
        <v>59552954</v>
      </c>
      <c r="D33">
        <v>57990827</v>
      </c>
      <c r="E33">
        <v>107</v>
      </c>
      <c r="F33">
        <v>1</v>
      </c>
      <c r="G33">
        <v>1</v>
      </c>
      <c r="H33">
        <v>3</v>
      </c>
      <c r="I33" t="s">
        <v>410</v>
      </c>
      <c r="J33" t="s">
        <v>3</v>
      </c>
      <c r="K33" t="s">
        <v>411</v>
      </c>
      <c r="L33">
        <v>1348</v>
      </c>
      <c r="N33">
        <v>1009</v>
      </c>
      <c r="O33" t="s">
        <v>281</v>
      </c>
      <c r="P33" t="s">
        <v>281</v>
      </c>
      <c r="Q33">
        <v>1000</v>
      </c>
      <c r="X33">
        <v>1.03E-2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s">
        <v>3</v>
      </c>
      <c r="AG33">
        <v>1.03E-2</v>
      </c>
      <c r="AH33">
        <v>3</v>
      </c>
      <c r="AI33">
        <v>-1</v>
      </c>
      <c r="AJ33" t="s">
        <v>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ROW(Source!A36)</f>
        <v>36</v>
      </c>
      <c r="B34">
        <v>59553107</v>
      </c>
      <c r="C34">
        <v>59553106</v>
      </c>
      <c r="D34">
        <v>57987297</v>
      </c>
      <c r="E34">
        <v>107</v>
      </c>
      <c r="F34">
        <v>1</v>
      </c>
      <c r="G34">
        <v>1</v>
      </c>
      <c r="H34">
        <v>1</v>
      </c>
      <c r="I34" t="s">
        <v>338</v>
      </c>
      <c r="J34" t="s">
        <v>3</v>
      </c>
      <c r="K34" t="s">
        <v>339</v>
      </c>
      <c r="L34">
        <v>1191</v>
      </c>
      <c r="N34">
        <v>1013</v>
      </c>
      <c r="O34" t="s">
        <v>278</v>
      </c>
      <c r="P34" t="s">
        <v>278</v>
      </c>
      <c r="Q34">
        <v>1</v>
      </c>
      <c r="X34">
        <v>21.13</v>
      </c>
      <c r="Y34">
        <v>0</v>
      </c>
      <c r="Z34">
        <v>0</v>
      </c>
      <c r="AA34">
        <v>0</v>
      </c>
      <c r="AB34">
        <v>249.15</v>
      </c>
      <c r="AC34">
        <v>0</v>
      </c>
      <c r="AD34">
        <v>1</v>
      </c>
      <c r="AE34">
        <v>1</v>
      </c>
      <c r="AF34" t="s">
        <v>3</v>
      </c>
      <c r="AG34">
        <v>21.13</v>
      </c>
      <c r="AH34">
        <v>2</v>
      </c>
      <c r="AI34">
        <v>59553107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ROW(Source!A36)</f>
        <v>36</v>
      </c>
      <c r="B35">
        <v>59553108</v>
      </c>
      <c r="C35">
        <v>59553106</v>
      </c>
      <c r="D35">
        <v>57987490</v>
      </c>
      <c r="E35">
        <v>107</v>
      </c>
      <c r="F35">
        <v>1</v>
      </c>
      <c r="G35">
        <v>1</v>
      </c>
      <c r="H35">
        <v>1</v>
      </c>
      <c r="I35" t="s">
        <v>284</v>
      </c>
      <c r="J35" t="s">
        <v>3</v>
      </c>
      <c r="K35" t="s">
        <v>285</v>
      </c>
      <c r="L35">
        <v>1191</v>
      </c>
      <c r="N35">
        <v>1013</v>
      </c>
      <c r="O35" t="s">
        <v>278</v>
      </c>
      <c r="P35" t="s">
        <v>278</v>
      </c>
      <c r="Q35">
        <v>1</v>
      </c>
      <c r="X35">
        <v>0.06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2</v>
      </c>
      <c r="AF35" t="s">
        <v>3</v>
      </c>
      <c r="AG35">
        <v>0.06</v>
      </c>
      <c r="AH35">
        <v>2</v>
      </c>
      <c r="AI35">
        <v>59553108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ROW(Source!A36)</f>
        <v>36</v>
      </c>
      <c r="B36">
        <v>59553109</v>
      </c>
      <c r="C36">
        <v>59553106</v>
      </c>
      <c r="D36">
        <v>58107956</v>
      </c>
      <c r="E36">
        <v>1</v>
      </c>
      <c r="F36">
        <v>1</v>
      </c>
      <c r="G36">
        <v>1</v>
      </c>
      <c r="H36">
        <v>2</v>
      </c>
      <c r="I36" t="s">
        <v>291</v>
      </c>
      <c r="J36" t="s">
        <v>292</v>
      </c>
      <c r="K36" t="s">
        <v>293</v>
      </c>
      <c r="L36">
        <v>1368</v>
      </c>
      <c r="N36">
        <v>1011</v>
      </c>
      <c r="O36" t="s">
        <v>289</v>
      </c>
      <c r="P36" t="s">
        <v>289</v>
      </c>
      <c r="Q36">
        <v>1</v>
      </c>
      <c r="X36">
        <v>0.06</v>
      </c>
      <c r="Y36">
        <v>0</v>
      </c>
      <c r="Z36">
        <v>477.92</v>
      </c>
      <c r="AA36">
        <v>267.08999999999997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0.06</v>
      </c>
      <c r="AH36">
        <v>2</v>
      </c>
      <c r="AI36">
        <v>59553109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ROW(Source!A36)</f>
        <v>36</v>
      </c>
      <c r="B37">
        <v>59553110</v>
      </c>
      <c r="C37">
        <v>59553106</v>
      </c>
      <c r="D37">
        <v>57988251</v>
      </c>
      <c r="E37">
        <v>107</v>
      </c>
      <c r="F37">
        <v>1</v>
      </c>
      <c r="G37">
        <v>1</v>
      </c>
      <c r="H37">
        <v>3</v>
      </c>
      <c r="I37" t="s">
        <v>412</v>
      </c>
      <c r="J37" t="s">
        <v>3</v>
      </c>
      <c r="K37" t="s">
        <v>413</v>
      </c>
      <c r="L37">
        <v>1327</v>
      </c>
      <c r="N37">
        <v>1005</v>
      </c>
      <c r="O37" t="s">
        <v>49</v>
      </c>
      <c r="P37" t="s">
        <v>49</v>
      </c>
      <c r="Q37">
        <v>1</v>
      </c>
      <c r="X37">
        <v>111.1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</v>
      </c>
      <c r="AG37">
        <v>111.1</v>
      </c>
      <c r="AH37">
        <v>3</v>
      </c>
      <c r="AI37">
        <v>-1</v>
      </c>
      <c r="AJ37" t="s">
        <v>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ROW(Source!A36)</f>
        <v>36</v>
      </c>
      <c r="B38">
        <v>59553111</v>
      </c>
      <c r="C38">
        <v>59553106</v>
      </c>
      <c r="D38">
        <v>58078226</v>
      </c>
      <c r="E38">
        <v>1</v>
      </c>
      <c r="F38">
        <v>1</v>
      </c>
      <c r="G38">
        <v>1</v>
      </c>
      <c r="H38">
        <v>3</v>
      </c>
      <c r="I38" t="s">
        <v>340</v>
      </c>
      <c r="J38" t="s">
        <v>341</v>
      </c>
      <c r="K38" t="s">
        <v>342</v>
      </c>
      <c r="L38">
        <v>1346</v>
      </c>
      <c r="N38">
        <v>1009</v>
      </c>
      <c r="O38" t="s">
        <v>336</v>
      </c>
      <c r="P38" t="s">
        <v>336</v>
      </c>
      <c r="Q38">
        <v>1</v>
      </c>
      <c r="X38">
        <v>20.6</v>
      </c>
      <c r="Y38">
        <v>65.33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3</v>
      </c>
      <c r="AG38">
        <v>20.6</v>
      </c>
      <c r="AH38">
        <v>2</v>
      </c>
      <c r="AI38">
        <v>59553111</v>
      </c>
      <c r="AJ38">
        <v>37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ROW(Source!A36)</f>
        <v>36</v>
      </c>
      <c r="B39">
        <v>59553112</v>
      </c>
      <c r="C39">
        <v>59553106</v>
      </c>
      <c r="D39">
        <v>58078527</v>
      </c>
      <c r="E39">
        <v>1</v>
      </c>
      <c r="F39">
        <v>1</v>
      </c>
      <c r="G39">
        <v>1</v>
      </c>
      <c r="H39">
        <v>3</v>
      </c>
      <c r="I39" t="s">
        <v>343</v>
      </c>
      <c r="J39" t="s">
        <v>344</v>
      </c>
      <c r="K39" t="s">
        <v>345</v>
      </c>
      <c r="L39">
        <v>1346</v>
      </c>
      <c r="N39">
        <v>1009</v>
      </c>
      <c r="O39" t="s">
        <v>336</v>
      </c>
      <c r="P39" t="s">
        <v>336</v>
      </c>
      <c r="Q39">
        <v>1</v>
      </c>
      <c r="X39">
        <v>10.3</v>
      </c>
      <c r="Y39">
        <v>144.12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10.3</v>
      </c>
      <c r="AH39">
        <v>2</v>
      </c>
      <c r="AI39">
        <v>59553112</v>
      </c>
      <c r="AJ39">
        <v>38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ROW(Source!A37)</f>
        <v>37</v>
      </c>
      <c r="B40">
        <v>59553443</v>
      </c>
      <c r="C40">
        <v>59553244</v>
      </c>
      <c r="D40">
        <v>57987293</v>
      </c>
      <c r="E40">
        <v>107</v>
      </c>
      <c r="F40">
        <v>1</v>
      </c>
      <c r="G40">
        <v>1</v>
      </c>
      <c r="H40">
        <v>1</v>
      </c>
      <c r="I40" t="s">
        <v>347</v>
      </c>
      <c r="J40" t="s">
        <v>3</v>
      </c>
      <c r="K40" t="s">
        <v>348</v>
      </c>
      <c r="L40">
        <v>1191</v>
      </c>
      <c r="N40">
        <v>1013</v>
      </c>
      <c r="O40" t="s">
        <v>278</v>
      </c>
      <c r="P40" t="s">
        <v>278</v>
      </c>
      <c r="Q40">
        <v>1</v>
      </c>
      <c r="X40">
        <v>63.02</v>
      </c>
      <c r="Y40">
        <v>0</v>
      </c>
      <c r="Z40">
        <v>0</v>
      </c>
      <c r="AA40">
        <v>0</v>
      </c>
      <c r="AB40">
        <v>243.17</v>
      </c>
      <c r="AC40">
        <v>0</v>
      </c>
      <c r="AD40">
        <v>1</v>
      </c>
      <c r="AE40">
        <v>1</v>
      </c>
      <c r="AF40" t="s">
        <v>29</v>
      </c>
      <c r="AG40">
        <v>72.472999999999999</v>
      </c>
      <c r="AH40">
        <v>2</v>
      </c>
      <c r="AI40">
        <v>59553443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ROW(Source!A37)</f>
        <v>37</v>
      </c>
      <c r="B41">
        <v>59553444</v>
      </c>
      <c r="C41">
        <v>59553244</v>
      </c>
      <c r="D41">
        <v>57987490</v>
      </c>
      <c r="E41">
        <v>107</v>
      </c>
      <c r="F41">
        <v>1</v>
      </c>
      <c r="G41">
        <v>1</v>
      </c>
      <c r="H41">
        <v>1</v>
      </c>
      <c r="I41" t="s">
        <v>284</v>
      </c>
      <c r="J41" t="s">
        <v>3</v>
      </c>
      <c r="K41" t="s">
        <v>285</v>
      </c>
      <c r="L41">
        <v>1191</v>
      </c>
      <c r="N41">
        <v>1013</v>
      </c>
      <c r="O41" t="s">
        <v>278</v>
      </c>
      <c r="P41" t="s">
        <v>278</v>
      </c>
      <c r="Q41">
        <v>1</v>
      </c>
      <c r="X41">
        <v>0.25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2</v>
      </c>
      <c r="AF41" t="s">
        <v>28</v>
      </c>
      <c r="AG41">
        <v>0.3125</v>
      </c>
      <c r="AH41">
        <v>2</v>
      </c>
      <c r="AI41">
        <v>59553444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ROW(Source!A37)</f>
        <v>37</v>
      </c>
      <c r="B42">
        <v>59553445</v>
      </c>
      <c r="C42">
        <v>59553244</v>
      </c>
      <c r="D42">
        <v>58107258</v>
      </c>
      <c r="E42">
        <v>1</v>
      </c>
      <c r="F42">
        <v>1</v>
      </c>
      <c r="G42">
        <v>1</v>
      </c>
      <c r="H42">
        <v>2</v>
      </c>
      <c r="I42" t="s">
        <v>349</v>
      </c>
      <c r="J42" t="s">
        <v>350</v>
      </c>
      <c r="K42" t="s">
        <v>351</v>
      </c>
      <c r="L42">
        <v>1368</v>
      </c>
      <c r="N42">
        <v>1011</v>
      </c>
      <c r="O42" t="s">
        <v>289</v>
      </c>
      <c r="P42" t="s">
        <v>289</v>
      </c>
      <c r="Q42">
        <v>1</v>
      </c>
      <c r="X42">
        <v>0.03</v>
      </c>
      <c r="Y42">
        <v>0</v>
      </c>
      <c r="Z42">
        <v>30.61</v>
      </c>
      <c r="AA42">
        <v>237.19</v>
      </c>
      <c r="AB42">
        <v>0</v>
      </c>
      <c r="AC42">
        <v>0</v>
      </c>
      <c r="AD42">
        <v>1</v>
      </c>
      <c r="AE42">
        <v>0</v>
      </c>
      <c r="AF42" t="s">
        <v>28</v>
      </c>
      <c r="AG42">
        <v>3.7499999999999999E-2</v>
      </c>
      <c r="AH42">
        <v>2</v>
      </c>
      <c r="AI42">
        <v>59553445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ROW(Source!A37)</f>
        <v>37</v>
      </c>
      <c r="B43">
        <v>59553446</v>
      </c>
      <c r="C43">
        <v>59553244</v>
      </c>
      <c r="D43">
        <v>58107956</v>
      </c>
      <c r="E43">
        <v>1</v>
      </c>
      <c r="F43">
        <v>1</v>
      </c>
      <c r="G43">
        <v>1</v>
      </c>
      <c r="H43">
        <v>2</v>
      </c>
      <c r="I43" t="s">
        <v>291</v>
      </c>
      <c r="J43" t="s">
        <v>292</v>
      </c>
      <c r="K43" t="s">
        <v>293</v>
      </c>
      <c r="L43">
        <v>1368</v>
      </c>
      <c r="N43">
        <v>1011</v>
      </c>
      <c r="O43" t="s">
        <v>289</v>
      </c>
      <c r="P43" t="s">
        <v>289</v>
      </c>
      <c r="Q43">
        <v>1</v>
      </c>
      <c r="X43">
        <v>0.22</v>
      </c>
      <c r="Y43">
        <v>0</v>
      </c>
      <c r="Z43">
        <v>477.92</v>
      </c>
      <c r="AA43">
        <v>267.08999999999997</v>
      </c>
      <c r="AB43">
        <v>0</v>
      </c>
      <c r="AC43">
        <v>0</v>
      </c>
      <c r="AD43">
        <v>1</v>
      </c>
      <c r="AE43">
        <v>0</v>
      </c>
      <c r="AF43" t="s">
        <v>28</v>
      </c>
      <c r="AG43">
        <v>0.27500000000000002</v>
      </c>
      <c r="AH43">
        <v>2</v>
      </c>
      <c r="AI43">
        <v>59553446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ROW(Source!A37)</f>
        <v>37</v>
      </c>
      <c r="B44">
        <v>59553447</v>
      </c>
      <c r="C44">
        <v>59553244</v>
      </c>
      <c r="D44">
        <v>58063386</v>
      </c>
      <c r="E44">
        <v>1</v>
      </c>
      <c r="F44">
        <v>1</v>
      </c>
      <c r="G44">
        <v>1</v>
      </c>
      <c r="H44">
        <v>3</v>
      </c>
      <c r="I44" t="s">
        <v>352</v>
      </c>
      <c r="J44" t="s">
        <v>353</v>
      </c>
      <c r="K44" t="s">
        <v>354</v>
      </c>
      <c r="L44">
        <v>1327</v>
      </c>
      <c r="N44">
        <v>1005</v>
      </c>
      <c r="O44" t="s">
        <v>49</v>
      </c>
      <c r="P44" t="s">
        <v>49</v>
      </c>
      <c r="Q44">
        <v>1</v>
      </c>
      <c r="X44">
        <v>0.88</v>
      </c>
      <c r="Y44">
        <v>531.44000000000005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0.88</v>
      </c>
      <c r="AH44">
        <v>2</v>
      </c>
      <c r="AI44">
        <v>59553447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ROW(Source!A37)</f>
        <v>37</v>
      </c>
      <c r="B45">
        <v>59553448</v>
      </c>
      <c r="C45">
        <v>59553244</v>
      </c>
      <c r="D45">
        <v>58063712</v>
      </c>
      <c r="E45">
        <v>1</v>
      </c>
      <c r="F45">
        <v>1</v>
      </c>
      <c r="G45">
        <v>1</v>
      </c>
      <c r="H45">
        <v>3</v>
      </c>
      <c r="I45" t="s">
        <v>333</v>
      </c>
      <c r="J45" t="s">
        <v>334</v>
      </c>
      <c r="K45" t="s">
        <v>335</v>
      </c>
      <c r="L45">
        <v>1346</v>
      </c>
      <c r="N45">
        <v>1009</v>
      </c>
      <c r="O45" t="s">
        <v>336</v>
      </c>
      <c r="P45" t="s">
        <v>336</v>
      </c>
      <c r="Q45">
        <v>1</v>
      </c>
      <c r="X45">
        <v>0.36</v>
      </c>
      <c r="Y45">
        <v>56.81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0.36</v>
      </c>
      <c r="AH45">
        <v>2</v>
      </c>
      <c r="AI45">
        <v>59553448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ROW(Source!A37)</f>
        <v>37</v>
      </c>
      <c r="B46">
        <v>59553449</v>
      </c>
      <c r="C46">
        <v>59553244</v>
      </c>
      <c r="D46">
        <v>57990832</v>
      </c>
      <c r="E46">
        <v>107</v>
      </c>
      <c r="F46">
        <v>1</v>
      </c>
      <c r="G46">
        <v>1</v>
      </c>
      <c r="H46">
        <v>3</v>
      </c>
      <c r="I46" t="s">
        <v>414</v>
      </c>
      <c r="J46" t="s">
        <v>3</v>
      </c>
      <c r="K46" t="s">
        <v>355</v>
      </c>
      <c r="L46">
        <v>1348</v>
      </c>
      <c r="N46">
        <v>1009</v>
      </c>
      <c r="O46" t="s">
        <v>281</v>
      </c>
      <c r="P46" t="s">
        <v>281</v>
      </c>
      <c r="Q46">
        <v>1000</v>
      </c>
      <c r="X46">
        <v>3.3000000000000002E-2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3</v>
      </c>
      <c r="AG46">
        <v>3.3000000000000002E-2</v>
      </c>
      <c r="AH46">
        <v>3</v>
      </c>
      <c r="AI46">
        <v>-1</v>
      </c>
      <c r="AJ46" t="s">
        <v>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ROW(Source!A37)</f>
        <v>37</v>
      </c>
      <c r="B47">
        <v>59553450</v>
      </c>
      <c r="C47">
        <v>59553244</v>
      </c>
      <c r="D47">
        <v>57990850</v>
      </c>
      <c r="E47">
        <v>107</v>
      </c>
      <c r="F47">
        <v>1</v>
      </c>
      <c r="G47">
        <v>1</v>
      </c>
      <c r="H47">
        <v>3</v>
      </c>
      <c r="I47" t="s">
        <v>415</v>
      </c>
      <c r="J47" t="s">
        <v>3</v>
      </c>
      <c r="K47" t="s">
        <v>411</v>
      </c>
      <c r="L47">
        <v>1348</v>
      </c>
      <c r="N47">
        <v>1009</v>
      </c>
      <c r="O47" t="s">
        <v>281</v>
      </c>
      <c r="P47" t="s">
        <v>281</v>
      </c>
      <c r="Q47">
        <v>1000</v>
      </c>
      <c r="X47">
        <v>2.1999999999999999E-2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 t="s">
        <v>3</v>
      </c>
      <c r="AG47">
        <v>2.1999999999999999E-2</v>
      </c>
      <c r="AH47">
        <v>3</v>
      </c>
      <c r="AI47">
        <v>-1</v>
      </c>
      <c r="AJ47" t="s">
        <v>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ROW(Source!A37)</f>
        <v>37</v>
      </c>
      <c r="B48">
        <v>59553451</v>
      </c>
      <c r="C48">
        <v>59553244</v>
      </c>
      <c r="D48">
        <v>58079049</v>
      </c>
      <c r="E48">
        <v>1</v>
      </c>
      <c r="F48">
        <v>1</v>
      </c>
      <c r="G48">
        <v>1</v>
      </c>
      <c r="H48">
        <v>3</v>
      </c>
      <c r="I48" t="s">
        <v>416</v>
      </c>
      <c r="J48" t="s">
        <v>417</v>
      </c>
      <c r="K48" t="s">
        <v>356</v>
      </c>
      <c r="L48">
        <v>1348</v>
      </c>
      <c r="N48">
        <v>1009</v>
      </c>
      <c r="O48" t="s">
        <v>281</v>
      </c>
      <c r="P48" t="s">
        <v>281</v>
      </c>
      <c r="Q48">
        <v>1000</v>
      </c>
      <c r="X48">
        <v>9.1999999999999998E-2</v>
      </c>
      <c r="Y48">
        <v>52790.33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9.1999999999999998E-2</v>
      </c>
      <c r="AH48">
        <v>3</v>
      </c>
      <c r="AI48">
        <v>-1</v>
      </c>
      <c r="AJ48" t="s">
        <v>3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ROW(Source!A38)</f>
        <v>38</v>
      </c>
      <c r="B49">
        <v>59553085</v>
      </c>
      <c r="C49">
        <v>59553062</v>
      </c>
      <c r="D49">
        <v>57987315</v>
      </c>
      <c r="E49">
        <v>107</v>
      </c>
      <c r="F49">
        <v>1</v>
      </c>
      <c r="G49">
        <v>1</v>
      </c>
      <c r="H49">
        <v>1</v>
      </c>
      <c r="I49" t="s">
        <v>331</v>
      </c>
      <c r="J49" t="s">
        <v>3</v>
      </c>
      <c r="K49" t="s">
        <v>332</v>
      </c>
      <c r="L49">
        <v>1191</v>
      </c>
      <c r="N49">
        <v>1013</v>
      </c>
      <c r="O49" t="s">
        <v>278</v>
      </c>
      <c r="P49" t="s">
        <v>278</v>
      </c>
      <c r="Q49">
        <v>1</v>
      </c>
      <c r="X49">
        <v>5.68</v>
      </c>
      <c r="Y49">
        <v>0</v>
      </c>
      <c r="Z49">
        <v>0</v>
      </c>
      <c r="AA49">
        <v>0</v>
      </c>
      <c r="AB49">
        <v>267.08999999999997</v>
      </c>
      <c r="AC49">
        <v>0</v>
      </c>
      <c r="AD49">
        <v>1</v>
      </c>
      <c r="AE49">
        <v>1</v>
      </c>
      <c r="AF49" t="s">
        <v>29</v>
      </c>
      <c r="AG49">
        <v>6.5319999999999991</v>
      </c>
      <c r="AH49">
        <v>2</v>
      </c>
      <c r="AI49">
        <v>59553085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ROW(Source!A38)</f>
        <v>38</v>
      </c>
      <c r="B50">
        <v>59553086</v>
      </c>
      <c r="C50">
        <v>59553062</v>
      </c>
      <c r="D50">
        <v>57987490</v>
      </c>
      <c r="E50">
        <v>107</v>
      </c>
      <c r="F50">
        <v>1</v>
      </c>
      <c r="G50">
        <v>1</v>
      </c>
      <c r="H50">
        <v>1</v>
      </c>
      <c r="I50" t="s">
        <v>284</v>
      </c>
      <c r="J50" t="s">
        <v>3</v>
      </c>
      <c r="K50" t="s">
        <v>285</v>
      </c>
      <c r="L50">
        <v>1191</v>
      </c>
      <c r="N50">
        <v>1013</v>
      </c>
      <c r="O50" t="s">
        <v>278</v>
      </c>
      <c r="P50" t="s">
        <v>278</v>
      </c>
      <c r="Q50">
        <v>1</v>
      </c>
      <c r="X50">
        <v>0.02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2</v>
      </c>
      <c r="AF50" t="s">
        <v>28</v>
      </c>
      <c r="AG50">
        <v>2.5000000000000001E-2</v>
      </c>
      <c r="AH50">
        <v>2</v>
      </c>
      <c r="AI50">
        <v>59553086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ROW(Source!A38)</f>
        <v>38</v>
      </c>
      <c r="B51">
        <v>59553087</v>
      </c>
      <c r="C51">
        <v>59553062</v>
      </c>
      <c r="D51">
        <v>58107260</v>
      </c>
      <c r="E51">
        <v>1</v>
      </c>
      <c r="F51">
        <v>1</v>
      </c>
      <c r="G51">
        <v>1</v>
      </c>
      <c r="H51">
        <v>2</v>
      </c>
      <c r="I51" t="s">
        <v>286</v>
      </c>
      <c r="J51" t="s">
        <v>287</v>
      </c>
      <c r="K51" t="s">
        <v>288</v>
      </c>
      <c r="L51">
        <v>1368</v>
      </c>
      <c r="N51">
        <v>1011</v>
      </c>
      <c r="O51" t="s">
        <v>289</v>
      </c>
      <c r="P51" t="s">
        <v>289</v>
      </c>
      <c r="Q51">
        <v>1</v>
      </c>
      <c r="X51">
        <v>0.01</v>
      </c>
      <c r="Y51">
        <v>0</v>
      </c>
      <c r="Z51">
        <v>37.32</v>
      </c>
      <c r="AA51">
        <v>237.19</v>
      </c>
      <c r="AB51">
        <v>0</v>
      </c>
      <c r="AC51">
        <v>0</v>
      </c>
      <c r="AD51">
        <v>1</v>
      </c>
      <c r="AE51">
        <v>0</v>
      </c>
      <c r="AF51" t="s">
        <v>28</v>
      </c>
      <c r="AG51">
        <v>1.2500000000000001E-2</v>
      </c>
      <c r="AH51">
        <v>2</v>
      </c>
      <c r="AI51">
        <v>59553087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ROW(Source!A38)</f>
        <v>38</v>
      </c>
      <c r="B52">
        <v>59553088</v>
      </c>
      <c r="C52">
        <v>59553062</v>
      </c>
      <c r="D52">
        <v>58107956</v>
      </c>
      <c r="E52">
        <v>1</v>
      </c>
      <c r="F52">
        <v>1</v>
      </c>
      <c r="G52">
        <v>1</v>
      </c>
      <c r="H52">
        <v>2</v>
      </c>
      <c r="I52" t="s">
        <v>291</v>
      </c>
      <c r="J52" t="s">
        <v>292</v>
      </c>
      <c r="K52" t="s">
        <v>293</v>
      </c>
      <c r="L52">
        <v>1368</v>
      </c>
      <c r="N52">
        <v>1011</v>
      </c>
      <c r="O52" t="s">
        <v>289</v>
      </c>
      <c r="P52" t="s">
        <v>289</v>
      </c>
      <c r="Q52">
        <v>1</v>
      </c>
      <c r="X52">
        <v>0.01</v>
      </c>
      <c r="Y52">
        <v>0</v>
      </c>
      <c r="Z52">
        <v>477.92</v>
      </c>
      <c r="AA52">
        <v>267.08999999999997</v>
      </c>
      <c r="AB52">
        <v>0</v>
      </c>
      <c r="AC52">
        <v>0</v>
      </c>
      <c r="AD52">
        <v>1</v>
      </c>
      <c r="AE52">
        <v>0</v>
      </c>
      <c r="AF52" t="s">
        <v>28</v>
      </c>
      <c r="AG52">
        <v>1.2500000000000001E-2</v>
      </c>
      <c r="AH52">
        <v>2</v>
      </c>
      <c r="AI52">
        <v>59553088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ROW(Source!A38)</f>
        <v>38</v>
      </c>
      <c r="B53">
        <v>59553089</v>
      </c>
      <c r="C53">
        <v>59553062</v>
      </c>
      <c r="D53">
        <v>58063712</v>
      </c>
      <c r="E53">
        <v>1</v>
      </c>
      <c r="F53">
        <v>1</v>
      </c>
      <c r="G53">
        <v>1</v>
      </c>
      <c r="H53">
        <v>3</v>
      </c>
      <c r="I53" t="s">
        <v>333</v>
      </c>
      <c r="J53" t="s">
        <v>334</v>
      </c>
      <c r="K53" t="s">
        <v>335</v>
      </c>
      <c r="L53">
        <v>1346</v>
      </c>
      <c r="N53">
        <v>1009</v>
      </c>
      <c r="O53" t="s">
        <v>336</v>
      </c>
      <c r="P53" t="s">
        <v>336</v>
      </c>
      <c r="Q53">
        <v>1</v>
      </c>
      <c r="X53">
        <v>0.1</v>
      </c>
      <c r="Y53">
        <v>56.81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0.1</v>
      </c>
      <c r="AH53">
        <v>2</v>
      </c>
      <c r="AI53">
        <v>59553089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ROW(Source!A38)</f>
        <v>38</v>
      </c>
      <c r="B54">
        <v>59553090</v>
      </c>
      <c r="C54">
        <v>59553062</v>
      </c>
      <c r="D54">
        <v>57990827</v>
      </c>
      <c r="E54">
        <v>107</v>
      </c>
      <c r="F54">
        <v>1</v>
      </c>
      <c r="G54">
        <v>1</v>
      </c>
      <c r="H54">
        <v>3</v>
      </c>
      <c r="I54" t="s">
        <v>410</v>
      </c>
      <c r="J54" t="s">
        <v>3</v>
      </c>
      <c r="K54" t="s">
        <v>411</v>
      </c>
      <c r="L54">
        <v>1348</v>
      </c>
      <c r="N54">
        <v>1009</v>
      </c>
      <c r="O54" t="s">
        <v>281</v>
      </c>
      <c r="P54" t="s">
        <v>281</v>
      </c>
      <c r="Q54">
        <v>1000</v>
      </c>
      <c r="X54">
        <v>1.03E-2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t="s">
        <v>3</v>
      </c>
      <c r="AG54">
        <v>1.03E-2</v>
      </c>
      <c r="AH54">
        <v>3</v>
      </c>
      <c r="AI54">
        <v>-1</v>
      </c>
      <c r="AJ54" t="s">
        <v>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ROW(Source!A39)</f>
        <v>39</v>
      </c>
      <c r="B55">
        <v>59553146</v>
      </c>
      <c r="C55">
        <v>59553145</v>
      </c>
      <c r="D55">
        <v>57987313</v>
      </c>
      <c r="E55">
        <v>107</v>
      </c>
      <c r="F55">
        <v>1</v>
      </c>
      <c r="G55">
        <v>1</v>
      </c>
      <c r="H55">
        <v>1</v>
      </c>
      <c r="I55" t="s">
        <v>357</v>
      </c>
      <c r="J55" t="s">
        <v>3</v>
      </c>
      <c r="K55" t="s">
        <v>358</v>
      </c>
      <c r="L55">
        <v>1191</v>
      </c>
      <c r="N55">
        <v>1013</v>
      </c>
      <c r="O55" t="s">
        <v>278</v>
      </c>
      <c r="P55" t="s">
        <v>278</v>
      </c>
      <c r="Q55">
        <v>1</v>
      </c>
      <c r="X55">
        <v>10.9</v>
      </c>
      <c r="Y55">
        <v>0</v>
      </c>
      <c r="Z55">
        <v>0</v>
      </c>
      <c r="AA55">
        <v>0</v>
      </c>
      <c r="AB55">
        <v>264.10000000000002</v>
      </c>
      <c r="AC55">
        <v>0</v>
      </c>
      <c r="AD55">
        <v>1</v>
      </c>
      <c r="AE55">
        <v>1</v>
      </c>
      <c r="AF55" t="s">
        <v>29</v>
      </c>
      <c r="AG55">
        <v>12.535</v>
      </c>
      <c r="AH55">
        <v>2</v>
      </c>
      <c r="AI55">
        <v>59553146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ROW(Source!A39)</f>
        <v>39</v>
      </c>
      <c r="B56">
        <v>59553147</v>
      </c>
      <c r="C56">
        <v>59553145</v>
      </c>
      <c r="D56">
        <v>57987490</v>
      </c>
      <c r="E56">
        <v>107</v>
      </c>
      <c r="F56">
        <v>1</v>
      </c>
      <c r="G56">
        <v>1</v>
      </c>
      <c r="H56">
        <v>1</v>
      </c>
      <c r="I56" t="s">
        <v>284</v>
      </c>
      <c r="J56" t="s">
        <v>3</v>
      </c>
      <c r="K56" t="s">
        <v>285</v>
      </c>
      <c r="L56">
        <v>1191</v>
      </c>
      <c r="N56">
        <v>1013</v>
      </c>
      <c r="O56" t="s">
        <v>278</v>
      </c>
      <c r="P56" t="s">
        <v>278</v>
      </c>
      <c r="Q56">
        <v>1</v>
      </c>
      <c r="X56">
        <v>0.04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 t="s">
        <v>28</v>
      </c>
      <c r="AG56">
        <v>0.05</v>
      </c>
      <c r="AH56">
        <v>2</v>
      </c>
      <c r="AI56">
        <v>59553147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ROW(Source!A39)</f>
        <v>39</v>
      </c>
      <c r="B57">
        <v>59553148</v>
      </c>
      <c r="C57">
        <v>59553145</v>
      </c>
      <c r="D57">
        <v>58107260</v>
      </c>
      <c r="E57">
        <v>1</v>
      </c>
      <c r="F57">
        <v>1</v>
      </c>
      <c r="G57">
        <v>1</v>
      </c>
      <c r="H57">
        <v>2</v>
      </c>
      <c r="I57" t="s">
        <v>286</v>
      </c>
      <c r="J57" t="s">
        <v>287</v>
      </c>
      <c r="K57" t="s">
        <v>288</v>
      </c>
      <c r="L57">
        <v>1368</v>
      </c>
      <c r="N57">
        <v>1011</v>
      </c>
      <c r="O57" t="s">
        <v>289</v>
      </c>
      <c r="P57" t="s">
        <v>289</v>
      </c>
      <c r="Q57">
        <v>1</v>
      </c>
      <c r="X57">
        <v>0.01</v>
      </c>
      <c r="Y57">
        <v>0</v>
      </c>
      <c r="Z57">
        <v>37.32</v>
      </c>
      <c r="AA57">
        <v>237.19</v>
      </c>
      <c r="AB57">
        <v>0</v>
      </c>
      <c r="AC57">
        <v>0</v>
      </c>
      <c r="AD57">
        <v>1</v>
      </c>
      <c r="AE57">
        <v>0</v>
      </c>
      <c r="AF57" t="s">
        <v>28</v>
      </c>
      <c r="AG57">
        <v>1.2500000000000001E-2</v>
      </c>
      <c r="AH57">
        <v>2</v>
      </c>
      <c r="AI57">
        <v>59553148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ROW(Source!A39)</f>
        <v>39</v>
      </c>
      <c r="B58">
        <v>59553149</v>
      </c>
      <c r="C58">
        <v>59553145</v>
      </c>
      <c r="D58">
        <v>58107956</v>
      </c>
      <c r="E58">
        <v>1</v>
      </c>
      <c r="F58">
        <v>1</v>
      </c>
      <c r="G58">
        <v>1</v>
      </c>
      <c r="H58">
        <v>2</v>
      </c>
      <c r="I58" t="s">
        <v>291</v>
      </c>
      <c r="J58" t="s">
        <v>292</v>
      </c>
      <c r="K58" t="s">
        <v>293</v>
      </c>
      <c r="L58">
        <v>1368</v>
      </c>
      <c r="N58">
        <v>1011</v>
      </c>
      <c r="O58" t="s">
        <v>289</v>
      </c>
      <c r="P58" t="s">
        <v>289</v>
      </c>
      <c r="Q58">
        <v>1</v>
      </c>
      <c r="X58">
        <v>0.03</v>
      </c>
      <c r="Y58">
        <v>0</v>
      </c>
      <c r="Z58">
        <v>477.92</v>
      </c>
      <c r="AA58">
        <v>267.08999999999997</v>
      </c>
      <c r="AB58">
        <v>0</v>
      </c>
      <c r="AC58">
        <v>0</v>
      </c>
      <c r="AD58">
        <v>1</v>
      </c>
      <c r="AE58">
        <v>0</v>
      </c>
      <c r="AF58" t="s">
        <v>28</v>
      </c>
      <c r="AG58">
        <v>3.7499999999999999E-2</v>
      </c>
      <c r="AH58">
        <v>2</v>
      </c>
      <c r="AI58">
        <v>59553149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ROW(Source!A39)</f>
        <v>39</v>
      </c>
      <c r="B59">
        <v>59553150</v>
      </c>
      <c r="C59">
        <v>59553145</v>
      </c>
      <c r="D59">
        <v>58063386</v>
      </c>
      <c r="E59">
        <v>1</v>
      </c>
      <c r="F59">
        <v>1</v>
      </c>
      <c r="G59">
        <v>1</v>
      </c>
      <c r="H59">
        <v>3</v>
      </c>
      <c r="I59" t="s">
        <v>352</v>
      </c>
      <c r="J59" t="s">
        <v>353</v>
      </c>
      <c r="K59" t="s">
        <v>354</v>
      </c>
      <c r="L59">
        <v>1327</v>
      </c>
      <c r="N59">
        <v>1005</v>
      </c>
      <c r="O59" t="s">
        <v>49</v>
      </c>
      <c r="P59" t="s">
        <v>49</v>
      </c>
      <c r="Q59">
        <v>1</v>
      </c>
      <c r="X59">
        <v>4.4000000000000004</v>
      </c>
      <c r="Y59">
        <v>531.44000000000005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</v>
      </c>
      <c r="AG59">
        <v>4.4000000000000004</v>
      </c>
      <c r="AH59">
        <v>2</v>
      </c>
      <c r="AI59">
        <v>59553150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ROW(Source!A39)</f>
        <v>39</v>
      </c>
      <c r="B60">
        <v>59553151</v>
      </c>
      <c r="C60">
        <v>59553145</v>
      </c>
      <c r="D60">
        <v>58063712</v>
      </c>
      <c r="E60">
        <v>1</v>
      </c>
      <c r="F60">
        <v>1</v>
      </c>
      <c r="G60">
        <v>1</v>
      </c>
      <c r="H60">
        <v>3</v>
      </c>
      <c r="I60" t="s">
        <v>333</v>
      </c>
      <c r="J60" t="s">
        <v>334</v>
      </c>
      <c r="K60" t="s">
        <v>335</v>
      </c>
      <c r="L60">
        <v>1346</v>
      </c>
      <c r="N60">
        <v>1009</v>
      </c>
      <c r="O60" t="s">
        <v>336</v>
      </c>
      <c r="P60" t="s">
        <v>336</v>
      </c>
      <c r="Q60">
        <v>1</v>
      </c>
      <c r="X60">
        <v>0.15</v>
      </c>
      <c r="Y60">
        <v>56.81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0.15</v>
      </c>
      <c r="AH60">
        <v>2</v>
      </c>
      <c r="AI60">
        <v>59553151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ROW(Source!A39)</f>
        <v>39</v>
      </c>
      <c r="B61">
        <v>59553152</v>
      </c>
      <c r="C61">
        <v>59553145</v>
      </c>
      <c r="D61">
        <v>58079043</v>
      </c>
      <c r="E61">
        <v>1</v>
      </c>
      <c r="F61">
        <v>1</v>
      </c>
      <c r="G61">
        <v>1</v>
      </c>
      <c r="H61">
        <v>3</v>
      </c>
      <c r="I61" t="s">
        <v>418</v>
      </c>
      <c r="J61" t="s">
        <v>419</v>
      </c>
      <c r="K61" t="s">
        <v>420</v>
      </c>
      <c r="L61">
        <v>1348</v>
      </c>
      <c r="N61">
        <v>1009</v>
      </c>
      <c r="O61" t="s">
        <v>281</v>
      </c>
      <c r="P61" t="s">
        <v>281</v>
      </c>
      <c r="Q61">
        <v>1000</v>
      </c>
      <c r="X61">
        <v>2.9000000000000001E-2</v>
      </c>
      <c r="Y61">
        <v>24995.33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2.9000000000000001E-2</v>
      </c>
      <c r="AH61">
        <v>3</v>
      </c>
      <c r="AI61">
        <v>-1</v>
      </c>
      <c r="AJ61" t="s">
        <v>3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ROW(Source!A40)</f>
        <v>40</v>
      </c>
      <c r="B62">
        <v>59553154</v>
      </c>
      <c r="C62">
        <v>59553153</v>
      </c>
      <c r="D62">
        <v>57987313</v>
      </c>
      <c r="E62">
        <v>107</v>
      </c>
      <c r="F62">
        <v>1</v>
      </c>
      <c r="G62">
        <v>1</v>
      </c>
      <c r="H62">
        <v>1</v>
      </c>
      <c r="I62" t="s">
        <v>357</v>
      </c>
      <c r="J62" t="s">
        <v>3</v>
      </c>
      <c r="K62" t="s">
        <v>358</v>
      </c>
      <c r="L62">
        <v>1191</v>
      </c>
      <c r="N62">
        <v>1013</v>
      </c>
      <c r="O62" t="s">
        <v>278</v>
      </c>
      <c r="P62" t="s">
        <v>278</v>
      </c>
      <c r="Q62">
        <v>1</v>
      </c>
      <c r="X62">
        <v>15</v>
      </c>
      <c r="Y62">
        <v>0</v>
      </c>
      <c r="Z62">
        <v>0</v>
      </c>
      <c r="AA62">
        <v>0</v>
      </c>
      <c r="AB62">
        <v>264.10000000000002</v>
      </c>
      <c r="AC62">
        <v>0</v>
      </c>
      <c r="AD62">
        <v>1</v>
      </c>
      <c r="AE62">
        <v>1</v>
      </c>
      <c r="AF62" t="s">
        <v>29</v>
      </c>
      <c r="AG62">
        <v>17.25</v>
      </c>
      <c r="AH62">
        <v>2</v>
      </c>
      <c r="AI62">
        <v>59553154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ROW(Source!A40)</f>
        <v>40</v>
      </c>
      <c r="B63">
        <v>59553155</v>
      </c>
      <c r="C63">
        <v>59553153</v>
      </c>
      <c r="D63">
        <v>57987490</v>
      </c>
      <c r="E63">
        <v>107</v>
      </c>
      <c r="F63">
        <v>1</v>
      </c>
      <c r="G63">
        <v>1</v>
      </c>
      <c r="H63">
        <v>1</v>
      </c>
      <c r="I63" t="s">
        <v>284</v>
      </c>
      <c r="J63" t="s">
        <v>3</v>
      </c>
      <c r="K63" t="s">
        <v>285</v>
      </c>
      <c r="L63">
        <v>1191</v>
      </c>
      <c r="N63">
        <v>1013</v>
      </c>
      <c r="O63" t="s">
        <v>278</v>
      </c>
      <c r="P63" t="s">
        <v>278</v>
      </c>
      <c r="Q63">
        <v>1</v>
      </c>
      <c r="X63">
        <v>0.05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2</v>
      </c>
      <c r="AF63" t="s">
        <v>28</v>
      </c>
      <c r="AG63">
        <v>6.25E-2</v>
      </c>
      <c r="AH63">
        <v>2</v>
      </c>
      <c r="AI63">
        <v>59553155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ROW(Source!A40)</f>
        <v>40</v>
      </c>
      <c r="B64">
        <v>59553156</v>
      </c>
      <c r="C64">
        <v>59553153</v>
      </c>
      <c r="D64">
        <v>58107260</v>
      </c>
      <c r="E64">
        <v>1</v>
      </c>
      <c r="F64">
        <v>1</v>
      </c>
      <c r="G64">
        <v>1</v>
      </c>
      <c r="H64">
        <v>2</v>
      </c>
      <c r="I64" t="s">
        <v>286</v>
      </c>
      <c r="J64" t="s">
        <v>287</v>
      </c>
      <c r="K64" t="s">
        <v>288</v>
      </c>
      <c r="L64">
        <v>1368</v>
      </c>
      <c r="N64">
        <v>1011</v>
      </c>
      <c r="O64" t="s">
        <v>289</v>
      </c>
      <c r="P64" t="s">
        <v>289</v>
      </c>
      <c r="Q64">
        <v>1</v>
      </c>
      <c r="X64">
        <v>0.01</v>
      </c>
      <c r="Y64">
        <v>0</v>
      </c>
      <c r="Z64">
        <v>37.32</v>
      </c>
      <c r="AA64">
        <v>237.19</v>
      </c>
      <c r="AB64">
        <v>0</v>
      </c>
      <c r="AC64">
        <v>0</v>
      </c>
      <c r="AD64">
        <v>1</v>
      </c>
      <c r="AE64">
        <v>0</v>
      </c>
      <c r="AF64" t="s">
        <v>28</v>
      </c>
      <c r="AG64">
        <v>1.2500000000000001E-2</v>
      </c>
      <c r="AH64">
        <v>2</v>
      </c>
      <c r="AI64">
        <v>59553156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ROW(Source!A40)</f>
        <v>40</v>
      </c>
      <c r="B65">
        <v>59553157</v>
      </c>
      <c r="C65">
        <v>59553153</v>
      </c>
      <c r="D65">
        <v>58107956</v>
      </c>
      <c r="E65">
        <v>1</v>
      </c>
      <c r="F65">
        <v>1</v>
      </c>
      <c r="G65">
        <v>1</v>
      </c>
      <c r="H65">
        <v>2</v>
      </c>
      <c r="I65" t="s">
        <v>291</v>
      </c>
      <c r="J65" t="s">
        <v>292</v>
      </c>
      <c r="K65" t="s">
        <v>293</v>
      </c>
      <c r="L65">
        <v>1368</v>
      </c>
      <c r="N65">
        <v>1011</v>
      </c>
      <c r="O65" t="s">
        <v>289</v>
      </c>
      <c r="P65" t="s">
        <v>289</v>
      </c>
      <c r="Q65">
        <v>1</v>
      </c>
      <c r="X65">
        <v>0.04</v>
      </c>
      <c r="Y65">
        <v>0</v>
      </c>
      <c r="Z65">
        <v>477.92</v>
      </c>
      <c r="AA65">
        <v>267.08999999999997</v>
      </c>
      <c r="AB65">
        <v>0</v>
      </c>
      <c r="AC65">
        <v>0</v>
      </c>
      <c r="AD65">
        <v>1</v>
      </c>
      <c r="AE65">
        <v>0</v>
      </c>
      <c r="AF65" t="s">
        <v>28</v>
      </c>
      <c r="AG65">
        <v>0.05</v>
      </c>
      <c r="AH65">
        <v>2</v>
      </c>
      <c r="AI65">
        <v>59553157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ROW(Source!A40)</f>
        <v>40</v>
      </c>
      <c r="B66">
        <v>59553158</v>
      </c>
      <c r="C66">
        <v>59553153</v>
      </c>
      <c r="D66">
        <v>58063386</v>
      </c>
      <c r="E66">
        <v>1</v>
      </c>
      <c r="F66">
        <v>1</v>
      </c>
      <c r="G66">
        <v>1</v>
      </c>
      <c r="H66">
        <v>3</v>
      </c>
      <c r="I66" t="s">
        <v>352</v>
      </c>
      <c r="J66" t="s">
        <v>353</v>
      </c>
      <c r="K66" t="s">
        <v>354</v>
      </c>
      <c r="L66">
        <v>1327</v>
      </c>
      <c r="N66">
        <v>1005</v>
      </c>
      <c r="O66" t="s">
        <v>49</v>
      </c>
      <c r="P66" t="s">
        <v>49</v>
      </c>
      <c r="Q66">
        <v>1</v>
      </c>
      <c r="X66">
        <v>4.4000000000000004</v>
      </c>
      <c r="Y66">
        <v>531.44000000000005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4.4000000000000004</v>
      </c>
      <c r="AH66">
        <v>2</v>
      </c>
      <c r="AI66">
        <v>59553158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ROW(Source!A40)</f>
        <v>40</v>
      </c>
      <c r="B67">
        <v>59553159</v>
      </c>
      <c r="C67">
        <v>59553153</v>
      </c>
      <c r="D67">
        <v>58063712</v>
      </c>
      <c r="E67">
        <v>1</v>
      </c>
      <c r="F67">
        <v>1</v>
      </c>
      <c r="G67">
        <v>1</v>
      </c>
      <c r="H67">
        <v>3</v>
      </c>
      <c r="I67" t="s">
        <v>333</v>
      </c>
      <c r="J67" t="s">
        <v>334</v>
      </c>
      <c r="K67" t="s">
        <v>335</v>
      </c>
      <c r="L67">
        <v>1346</v>
      </c>
      <c r="N67">
        <v>1009</v>
      </c>
      <c r="O67" t="s">
        <v>336</v>
      </c>
      <c r="P67" t="s">
        <v>336</v>
      </c>
      <c r="Q67">
        <v>1</v>
      </c>
      <c r="X67">
        <v>0.15</v>
      </c>
      <c r="Y67">
        <v>56.81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3</v>
      </c>
      <c r="AG67">
        <v>0.15</v>
      </c>
      <c r="AH67">
        <v>2</v>
      </c>
      <c r="AI67">
        <v>59553159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ROW(Source!A40)</f>
        <v>40</v>
      </c>
      <c r="B68">
        <v>59553160</v>
      </c>
      <c r="C68">
        <v>59553153</v>
      </c>
      <c r="D68">
        <v>58079043</v>
      </c>
      <c r="E68">
        <v>1</v>
      </c>
      <c r="F68">
        <v>1</v>
      </c>
      <c r="G68">
        <v>1</v>
      </c>
      <c r="H68">
        <v>3</v>
      </c>
      <c r="I68" t="s">
        <v>418</v>
      </c>
      <c r="J68" t="s">
        <v>419</v>
      </c>
      <c r="K68" t="s">
        <v>420</v>
      </c>
      <c r="L68">
        <v>1348</v>
      </c>
      <c r="N68">
        <v>1009</v>
      </c>
      <c r="O68" t="s">
        <v>281</v>
      </c>
      <c r="P68" t="s">
        <v>281</v>
      </c>
      <c r="Q68">
        <v>1000</v>
      </c>
      <c r="X68">
        <v>3.2000000000000001E-2</v>
      </c>
      <c r="Y68">
        <v>24995.33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3.2000000000000001E-2</v>
      </c>
      <c r="AH68">
        <v>3</v>
      </c>
      <c r="AI68">
        <v>-1</v>
      </c>
      <c r="AJ68" t="s">
        <v>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ROW(Source!A41)</f>
        <v>41</v>
      </c>
      <c r="B69">
        <v>59553022</v>
      </c>
      <c r="C69">
        <v>59553021</v>
      </c>
      <c r="D69">
        <v>57987293</v>
      </c>
      <c r="E69">
        <v>107</v>
      </c>
      <c r="F69">
        <v>1</v>
      </c>
      <c r="G69">
        <v>1</v>
      </c>
      <c r="H69">
        <v>1</v>
      </c>
      <c r="I69" t="s">
        <v>347</v>
      </c>
      <c r="J69" t="s">
        <v>3</v>
      </c>
      <c r="K69" t="s">
        <v>348</v>
      </c>
      <c r="L69">
        <v>1191</v>
      </c>
      <c r="N69">
        <v>1013</v>
      </c>
      <c r="O69" t="s">
        <v>278</v>
      </c>
      <c r="P69" t="s">
        <v>278</v>
      </c>
      <c r="Q69">
        <v>1</v>
      </c>
      <c r="X69">
        <v>63</v>
      </c>
      <c r="Y69">
        <v>0</v>
      </c>
      <c r="Z69">
        <v>0</v>
      </c>
      <c r="AA69">
        <v>0</v>
      </c>
      <c r="AB69">
        <v>243.17</v>
      </c>
      <c r="AC69">
        <v>0</v>
      </c>
      <c r="AD69">
        <v>1</v>
      </c>
      <c r="AE69">
        <v>1</v>
      </c>
      <c r="AF69" t="s">
        <v>29</v>
      </c>
      <c r="AG69">
        <v>72.449999999999989</v>
      </c>
      <c r="AH69">
        <v>2</v>
      </c>
      <c r="AI69">
        <v>59553022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ROW(Source!A41)</f>
        <v>41</v>
      </c>
      <c r="B70">
        <v>59553023</v>
      </c>
      <c r="C70">
        <v>59553021</v>
      </c>
      <c r="D70">
        <v>57987490</v>
      </c>
      <c r="E70">
        <v>107</v>
      </c>
      <c r="F70">
        <v>1</v>
      </c>
      <c r="G70">
        <v>1</v>
      </c>
      <c r="H70">
        <v>1</v>
      </c>
      <c r="I70" t="s">
        <v>284</v>
      </c>
      <c r="J70" t="s">
        <v>3</v>
      </c>
      <c r="K70" t="s">
        <v>285</v>
      </c>
      <c r="L70">
        <v>1191</v>
      </c>
      <c r="N70">
        <v>1013</v>
      </c>
      <c r="O70" t="s">
        <v>278</v>
      </c>
      <c r="P70" t="s">
        <v>278</v>
      </c>
      <c r="Q70">
        <v>1</v>
      </c>
      <c r="X70">
        <v>0.18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2</v>
      </c>
      <c r="AF70" t="s">
        <v>28</v>
      </c>
      <c r="AG70">
        <v>0.22499999999999998</v>
      </c>
      <c r="AH70">
        <v>2</v>
      </c>
      <c r="AI70">
        <v>59553023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ROW(Source!A41)</f>
        <v>41</v>
      </c>
      <c r="B71">
        <v>59553024</v>
      </c>
      <c r="C71">
        <v>59553021</v>
      </c>
      <c r="D71">
        <v>58107258</v>
      </c>
      <c r="E71">
        <v>1</v>
      </c>
      <c r="F71">
        <v>1</v>
      </c>
      <c r="G71">
        <v>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289</v>
      </c>
      <c r="P71" t="s">
        <v>289</v>
      </c>
      <c r="Q71">
        <v>1</v>
      </c>
      <c r="X71">
        <v>0.02</v>
      </c>
      <c r="Y71">
        <v>0</v>
      </c>
      <c r="Z71">
        <v>30.61</v>
      </c>
      <c r="AA71">
        <v>237.19</v>
      </c>
      <c r="AB71">
        <v>0</v>
      </c>
      <c r="AC71">
        <v>0</v>
      </c>
      <c r="AD71">
        <v>1</v>
      </c>
      <c r="AE71">
        <v>0</v>
      </c>
      <c r="AF71" t="s">
        <v>28</v>
      </c>
      <c r="AG71">
        <v>2.5000000000000001E-2</v>
      </c>
      <c r="AH71">
        <v>2</v>
      </c>
      <c r="AI71">
        <v>59553024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ROW(Source!A41)</f>
        <v>41</v>
      </c>
      <c r="B72">
        <v>59553025</v>
      </c>
      <c r="C72">
        <v>59553021</v>
      </c>
      <c r="D72">
        <v>58107956</v>
      </c>
      <c r="E72">
        <v>1</v>
      </c>
      <c r="F72">
        <v>1</v>
      </c>
      <c r="G72">
        <v>1</v>
      </c>
      <c r="H72">
        <v>2</v>
      </c>
      <c r="I72" t="s">
        <v>291</v>
      </c>
      <c r="J72" t="s">
        <v>292</v>
      </c>
      <c r="K72" t="s">
        <v>293</v>
      </c>
      <c r="L72">
        <v>1368</v>
      </c>
      <c r="N72">
        <v>1011</v>
      </c>
      <c r="O72" t="s">
        <v>289</v>
      </c>
      <c r="P72" t="s">
        <v>289</v>
      </c>
      <c r="Q72">
        <v>1</v>
      </c>
      <c r="X72">
        <v>0.16</v>
      </c>
      <c r="Y72">
        <v>0</v>
      </c>
      <c r="Z72">
        <v>477.92</v>
      </c>
      <c r="AA72">
        <v>267.08999999999997</v>
      </c>
      <c r="AB72">
        <v>0</v>
      </c>
      <c r="AC72">
        <v>0</v>
      </c>
      <c r="AD72">
        <v>1</v>
      </c>
      <c r="AE72">
        <v>0</v>
      </c>
      <c r="AF72" t="s">
        <v>28</v>
      </c>
      <c r="AG72">
        <v>0.2</v>
      </c>
      <c r="AH72">
        <v>2</v>
      </c>
      <c r="AI72">
        <v>59553025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ROW(Source!A41)</f>
        <v>41</v>
      </c>
      <c r="B73">
        <v>59553026</v>
      </c>
      <c r="C73">
        <v>59553021</v>
      </c>
      <c r="D73">
        <v>58063386</v>
      </c>
      <c r="E73">
        <v>1</v>
      </c>
      <c r="F73">
        <v>1</v>
      </c>
      <c r="G73">
        <v>1</v>
      </c>
      <c r="H73">
        <v>3</v>
      </c>
      <c r="I73" t="s">
        <v>352</v>
      </c>
      <c r="J73" t="s">
        <v>353</v>
      </c>
      <c r="K73" t="s">
        <v>354</v>
      </c>
      <c r="L73">
        <v>1327</v>
      </c>
      <c r="N73">
        <v>1005</v>
      </c>
      <c r="O73" t="s">
        <v>49</v>
      </c>
      <c r="P73" t="s">
        <v>49</v>
      </c>
      <c r="Q73">
        <v>1</v>
      </c>
      <c r="X73">
        <v>0.84</v>
      </c>
      <c r="Y73">
        <v>531.44000000000005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0.84</v>
      </c>
      <c r="AH73">
        <v>2</v>
      </c>
      <c r="AI73">
        <v>59553026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ROW(Source!A41)</f>
        <v>41</v>
      </c>
      <c r="B74">
        <v>59553027</v>
      </c>
      <c r="C74">
        <v>59553021</v>
      </c>
      <c r="D74">
        <v>58063712</v>
      </c>
      <c r="E74">
        <v>1</v>
      </c>
      <c r="F74">
        <v>1</v>
      </c>
      <c r="G74">
        <v>1</v>
      </c>
      <c r="H74">
        <v>3</v>
      </c>
      <c r="I74" t="s">
        <v>333</v>
      </c>
      <c r="J74" t="s">
        <v>334</v>
      </c>
      <c r="K74" t="s">
        <v>335</v>
      </c>
      <c r="L74">
        <v>1346</v>
      </c>
      <c r="N74">
        <v>1009</v>
      </c>
      <c r="O74" t="s">
        <v>336</v>
      </c>
      <c r="P74" t="s">
        <v>336</v>
      </c>
      <c r="Q74">
        <v>1</v>
      </c>
      <c r="X74">
        <v>0.31</v>
      </c>
      <c r="Y74">
        <v>56.81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0.31</v>
      </c>
      <c r="AH74">
        <v>2</v>
      </c>
      <c r="AI74">
        <v>59553027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ROW(Source!A41)</f>
        <v>41</v>
      </c>
      <c r="B75">
        <v>59553028</v>
      </c>
      <c r="C75">
        <v>59553021</v>
      </c>
      <c r="D75">
        <v>57990832</v>
      </c>
      <c r="E75">
        <v>107</v>
      </c>
      <c r="F75">
        <v>1</v>
      </c>
      <c r="G75">
        <v>1</v>
      </c>
      <c r="H75">
        <v>3</v>
      </c>
      <c r="I75" t="s">
        <v>414</v>
      </c>
      <c r="J75" t="s">
        <v>3</v>
      </c>
      <c r="K75" t="s">
        <v>355</v>
      </c>
      <c r="L75">
        <v>1348</v>
      </c>
      <c r="N75">
        <v>1009</v>
      </c>
      <c r="O75" t="s">
        <v>281</v>
      </c>
      <c r="P75" t="s">
        <v>281</v>
      </c>
      <c r="Q75">
        <v>1000</v>
      </c>
      <c r="X75">
        <v>3.3000000000000002E-2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 t="s">
        <v>3</v>
      </c>
      <c r="AG75">
        <v>3.3000000000000002E-2</v>
      </c>
      <c r="AH75">
        <v>3</v>
      </c>
      <c r="AI75">
        <v>-1</v>
      </c>
      <c r="AJ75" t="s">
        <v>3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ROW(Source!A41)</f>
        <v>41</v>
      </c>
      <c r="B76">
        <v>59553029</v>
      </c>
      <c r="C76">
        <v>59553021</v>
      </c>
      <c r="D76">
        <v>57990850</v>
      </c>
      <c r="E76">
        <v>107</v>
      </c>
      <c r="F76">
        <v>1</v>
      </c>
      <c r="G76">
        <v>1</v>
      </c>
      <c r="H76">
        <v>3</v>
      </c>
      <c r="I76" t="s">
        <v>415</v>
      </c>
      <c r="J76" t="s">
        <v>3</v>
      </c>
      <c r="K76" t="s">
        <v>411</v>
      </c>
      <c r="L76">
        <v>1348</v>
      </c>
      <c r="N76">
        <v>1009</v>
      </c>
      <c r="O76" t="s">
        <v>281</v>
      </c>
      <c r="P76" t="s">
        <v>281</v>
      </c>
      <c r="Q76">
        <v>1000</v>
      </c>
      <c r="X76">
        <v>2.1999999999999999E-2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 t="s">
        <v>3</v>
      </c>
      <c r="AG76">
        <v>2.1999999999999999E-2</v>
      </c>
      <c r="AH76">
        <v>3</v>
      </c>
      <c r="AI76">
        <v>-1</v>
      </c>
      <c r="AJ76" t="s">
        <v>3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ROW(Source!A41)</f>
        <v>41</v>
      </c>
      <c r="B77">
        <v>59553030</v>
      </c>
      <c r="C77">
        <v>59553021</v>
      </c>
      <c r="D77">
        <v>58079049</v>
      </c>
      <c r="E77">
        <v>1</v>
      </c>
      <c r="F77">
        <v>1</v>
      </c>
      <c r="G77">
        <v>1</v>
      </c>
      <c r="H77">
        <v>3</v>
      </c>
      <c r="I77" t="s">
        <v>416</v>
      </c>
      <c r="J77" t="s">
        <v>417</v>
      </c>
      <c r="K77" t="s">
        <v>356</v>
      </c>
      <c r="L77">
        <v>1348</v>
      </c>
      <c r="N77">
        <v>1009</v>
      </c>
      <c r="O77" t="s">
        <v>281</v>
      </c>
      <c r="P77" t="s">
        <v>281</v>
      </c>
      <c r="Q77">
        <v>1000</v>
      </c>
      <c r="X77">
        <v>5.5E-2</v>
      </c>
      <c r="Y77">
        <v>52790.33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5.5E-2</v>
      </c>
      <c r="AH77">
        <v>3</v>
      </c>
      <c r="AI77">
        <v>-1</v>
      </c>
      <c r="AJ77" t="s">
        <v>3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ROW(Source!A42)</f>
        <v>42</v>
      </c>
      <c r="B78">
        <v>59553032</v>
      </c>
      <c r="C78">
        <v>59553031</v>
      </c>
      <c r="D78">
        <v>57987293</v>
      </c>
      <c r="E78">
        <v>107</v>
      </c>
      <c r="F78">
        <v>1</v>
      </c>
      <c r="G78">
        <v>1</v>
      </c>
      <c r="H78">
        <v>1</v>
      </c>
      <c r="I78" t="s">
        <v>347</v>
      </c>
      <c r="J78" t="s">
        <v>3</v>
      </c>
      <c r="K78" t="s">
        <v>348</v>
      </c>
      <c r="L78">
        <v>1191</v>
      </c>
      <c r="N78">
        <v>1013</v>
      </c>
      <c r="O78" t="s">
        <v>278</v>
      </c>
      <c r="P78" t="s">
        <v>278</v>
      </c>
      <c r="Q78">
        <v>1</v>
      </c>
      <c r="X78">
        <v>43.56</v>
      </c>
      <c r="Y78">
        <v>0</v>
      </c>
      <c r="Z78">
        <v>0</v>
      </c>
      <c r="AA78">
        <v>0</v>
      </c>
      <c r="AB78">
        <v>243.17</v>
      </c>
      <c r="AC78">
        <v>0</v>
      </c>
      <c r="AD78">
        <v>1</v>
      </c>
      <c r="AE78">
        <v>1</v>
      </c>
      <c r="AF78" t="s">
        <v>29</v>
      </c>
      <c r="AG78">
        <v>50.094000000000001</v>
      </c>
      <c r="AH78">
        <v>2</v>
      </c>
      <c r="AI78">
        <v>59553032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ROW(Source!A42)</f>
        <v>42</v>
      </c>
      <c r="B79">
        <v>59553033</v>
      </c>
      <c r="C79">
        <v>59553031</v>
      </c>
      <c r="D79">
        <v>57987490</v>
      </c>
      <c r="E79">
        <v>107</v>
      </c>
      <c r="F79">
        <v>1</v>
      </c>
      <c r="G79">
        <v>1</v>
      </c>
      <c r="H79">
        <v>1</v>
      </c>
      <c r="I79" t="s">
        <v>284</v>
      </c>
      <c r="J79" t="s">
        <v>3</v>
      </c>
      <c r="K79" t="s">
        <v>285</v>
      </c>
      <c r="L79">
        <v>1191</v>
      </c>
      <c r="N79">
        <v>1013</v>
      </c>
      <c r="O79" t="s">
        <v>278</v>
      </c>
      <c r="P79" t="s">
        <v>278</v>
      </c>
      <c r="Q79">
        <v>1</v>
      </c>
      <c r="X79">
        <v>0.17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2</v>
      </c>
      <c r="AF79" t="s">
        <v>28</v>
      </c>
      <c r="AG79">
        <v>0.21250000000000002</v>
      </c>
      <c r="AH79">
        <v>2</v>
      </c>
      <c r="AI79">
        <v>59553033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ROW(Source!A42)</f>
        <v>42</v>
      </c>
      <c r="B80">
        <v>59553034</v>
      </c>
      <c r="C80">
        <v>59553031</v>
      </c>
      <c r="D80">
        <v>58107258</v>
      </c>
      <c r="E80">
        <v>1</v>
      </c>
      <c r="F80">
        <v>1</v>
      </c>
      <c r="G80">
        <v>1</v>
      </c>
      <c r="H80">
        <v>2</v>
      </c>
      <c r="I80" t="s">
        <v>349</v>
      </c>
      <c r="J80" t="s">
        <v>350</v>
      </c>
      <c r="K80" t="s">
        <v>351</v>
      </c>
      <c r="L80">
        <v>1368</v>
      </c>
      <c r="N80">
        <v>1011</v>
      </c>
      <c r="O80" t="s">
        <v>289</v>
      </c>
      <c r="P80" t="s">
        <v>289</v>
      </c>
      <c r="Q80">
        <v>1</v>
      </c>
      <c r="X80">
        <v>0.02</v>
      </c>
      <c r="Y80">
        <v>0</v>
      </c>
      <c r="Z80">
        <v>30.61</v>
      </c>
      <c r="AA80">
        <v>237.19</v>
      </c>
      <c r="AB80">
        <v>0</v>
      </c>
      <c r="AC80">
        <v>0</v>
      </c>
      <c r="AD80">
        <v>1</v>
      </c>
      <c r="AE80">
        <v>0</v>
      </c>
      <c r="AF80" t="s">
        <v>28</v>
      </c>
      <c r="AG80">
        <v>2.5000000000000001E-2</v>
      </c>
      <c r="AH80">
        <v>2</v>
      </c>
      <c r="AI80">
        <v>59553034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ROW(Source!A42)</f>
        <v>42</v>
      </c>
      <c r="B81">
        <v>59553035</v>
      </c>
      <c r="C81">
        <v>59553031</v>
      </c>
      <c r="D81">
        <v>58107956</v>
      </c>
      <c r="E81">
        <v>1</v>
      </c>
      <c r="F81">
        <v>1</v>
      </c>
      <c r="G81">
        <v>1</v>
      </c>
      <c r="H81">
        <v>2</v>
      </c>
      <c r="I81" t="s">
        <v>291</v>
      </c>
      <c r="J81" t="s">
        <v>292</v>
      </c>
      <c r="K81" t="s">
        <v>293</v>
      </c>
      <c r="L81">
        <v>1368</v>
      </c>
      <c r="N81">
        <v>1011</v>
      </c>
      <c r="O81" t="s">
        <v>289</v>
      </c>
      <c r="P81" t="s">
        <v>289</v>
      </c>
      <c r="Q81">
        <v>1</v>
      </c>
      <c r="X81">
        <v>0.15</v>
      </c>
      <c r="Y81">
        <v>0</v>
      </c>
      <c r="Z81">
        <v>477.92</v>
      </c>
      <c r="AA81">
        <v>267.08999999999997</v>
      </c>
      <c r="AB81">
        <v>0</v>
      </c>
      <c r="AC81">
        <v>0</v>
      </c>
      <c r="AD81">
        <v>1</v>
      </c>
      <c r="AE81">
        <v>0</v>
      </c>
      <c r="AF81" t="s">
        <v>28</v>
      </c>
      <c r="AG81">
        <v>0.1875</v>
      </c>
      <c r="AH81">
        <v>2</v>
      </c>
      <c r="AI81">
        <v>59553035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ROW(Source!A42)</f>
        <v>42</v>
      </c>
      <c r="B82">
        <v>59553036</v>
      </c>
      <c r="C82">
        <v>59553031</v>
      </c>
      <c r="D82">
        <v>58063386</v>
      </c>
      <c r="E82">
        <v>1</v>
      </c>
      <c r="F82">
        <v>1</v>
      </c>
      <c r="G82">
        <v>1</v>
      </c>
      <c r="H82">
        <v>3</v>
      </c>
      <c r="I82" t="s">
        <v>352</v>
      </c>
      <c r="J82" t="s">
        <v>353</v>
      </c>
      <c r="K82" t="s">
        <v>354</v>
      </c>
      <c r="L82">
        <v>1327</v>
      </c>
      <c r="N82">
        <v>1005</v>
      </c>
      <c r="O82" t="s">
        <v>49</v>
      </c>
      <c r="P82" t="s">
        <v>49</v>
      </c>
      <c r="Q82">
        <v>1</v>
      </c>
      <c r="X82">
        <v>0.84</v>
      </c>
      <c r="Y82">
        <v>531.44000000000005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0.84</v>
      </c>
      <c r="AH82">
        <v>2</v>
      </c>
      <c r="AI82">
        <v>59553036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ROW(Source!A42)</f>
        <v>42</v>
      </c>
      <c r="B83">
        <v>59553037</v>
      </c>
      <c r="C83">
        <v>59553031</v>
      </c>
      <c r="D83">
        <v>58063712</v>
      </c>
      <c r="E83">
        <v>1</v>
      </c>
      <c r="F83">
        <v>1</v>
      </c>
      <c r="G83">
        <v>1</v>
      </c>
      <c r="H83">
        <v>3</v>
      </c>
      <c r="I83" t="s">
        <v>333</v>
      </c>
      <c r="J83" t="s">
        <v>334</v>
      </c>
      <c r="K83" t="s">
        <v>335</v>
      </c>
      <c r="L83">
        <v>1346</v>
      </c>
      <c r="N83">
        <v>1009</v>
      </c>
      <c r="O83" t="s">
        <v>336</v>
      </c>
      <c r="P83" t="s">
        <v>336</v>
      </c>
      <c r="Q83">
        <v>1</v>
      </c>
      <c r="X83">
        <v>0.31</v>
      </c>
      <c r="Y83">
        <v>56.81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0.31</v>
      </c>
      <c r="AH83">
        <v>2</v>
      </c>
      <c r="AI83">
        <v>59553037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ROW(Source!A42)</f>
        <v>42</v>
      </c>
      <c r="B84">
        <v>59553038</v>
      </c>
      <c r="C84">
        <v>59553031</v>
      </c>
      <c r="D84">
        <v>57990832</v>
      </c>
      <c r="E84">
        <v>107</v>
      </c>
      <c r="F84">
        <v>1</v>
      </c>
      <c r="G84">
        <v>1</v>
      </c>
      <c r="H84">
        <v>3</v>
      </c>
      <c r="I84" t="s">
        <v>414</v>
      </c>
      <c r="J84" t="s">
        <v>3</v>
      </c>
      <c r="K84" t="s">
        <v>355</v>
      </c>
      <c r="L84">
        <v>1348</v>
      </c>
      <c r="N84">
        <v>1009</v>
      </c>
      <c r="O84" t="s">
        <v>281</v>
      </c>
      <c r="P84" t="s">
        <v>281</v>
      </c>
      <c r="Q84">
        <v>1000</v>
      </c>
      <c r="X84">
        <v>0.03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 t="s">
        <v>3</v>
      </c>
      <c r="AG84">
        <v>0.03</v>
      </c>
      <c r="AH84">
        <v>3</v>
      </c>
      <c r="AI84">
        <v>-1</v>
      </c>
      <c r="AJ84" t="s">
        <v>3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ROW(Source!A42)</f>
        <v>42</v>
      </c>
      <c r="B85">
        <v>59553039</v>
      </c>
      <c r="C85">
        <v>59553031</v>
      </c>
      <c r="D85">
        <v>57990850</v>
      </c>
      <c r="E85">
        <v>107</v>
      </c>
      <c r="F85">
        <v>1</v>
      </c>
      <c r="G85">
        <v>1</v>
      </c>
      <c r="H85">
        <v>3</v>
      </c>
      <c r="I85" t="s">
        <v>415</v>
      </c>
      <c r="J85" t="s">
        <v>3</v>
      </c>
      <c r="K85" t="s">
        <v>411</v>
      </c>
      <c r="L85">
        <v>1348</v>
      </c>
      <c r="N85">
        <v>1009</v>
      </c>
      <c r="O85" t="s">
        <v>281</v>
      </c>
      <c r="P85" t="s">
        <v>281</v>
      </c>
      <c r="Q85">
        <v>1000</v>
      </c>
      <c r="X85">
        <v>0.02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 t="s">
        <v>3</v>
      </c>
      <c r="AG85">
        <v>0.02</v>
      </c>
      <c r="AH85">
        <v>3</v>
      </c>
      <c r="AI85">
        <v>-1</v>
      </c>
      <c r="AJ85" t="s">
        <v>3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ROW(Source!A42)</f>
        <v>42</v>
      </c>
      <c r="B86">
        <v>59553040</v>
      </c>
      <c r="C86">
        <v>59553031</v>
      </c>
      <c r="D86">
        <v>58079049</v>
      </c>
      <c r="E86">
        <v>1</v>
      </c>
      <c r="F86">
        <v>1</v>
      </c>
      <c r="G86">
        <v>1</v>
      </c>
      <c r="H86">
        <v>3</v>
      </c>
      <c r="I86" t="s">
        <v>416</v>
      </c>
      <c r="J86" t="s">
        <v>417</v>
      </c>
      <c r="K86" t="s">
        <v>356</v>
      </c>
      <c r="L86">
        <v>1348</v>
      </c>
      <c r="N86">
        <v>1009</v>
      </c>
      <c r="O86" t="s">
        <v>281</v>
      </c>
      <c r="P86" t="s">
        <v>281</v>
      </c>
      <c r="Q86">
        <v>1000</v>
      </c>
      <c r="X86">
        <v>5.0999999999999997E-2</v>
      </c>
      <c r="Y86">
        <v>52790.33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5.0999999999999997E-2</v>
      </c>
      <c r="AH86">
        <v>3</v>
      </c>
      <c r="AI86">
        <v>-1</v>
      </c>
      <c r="AJ86" t="s">
        <v>3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ROW(Source!A43)</f>
        <v>43</v>
      </c>
      <c r="B87">
        <v>59553092</v>
      </c>
      <c r="C87">
        <v>59553091</v>
      </c>
      <c r="D87">
        <v>57987291</v>
      </c>
      <c r="E87">
        <v>107</v>
      </c>
      <c r="F87">
        <v>1</v>
      </c>
      <c r="G87">
        <v>1</v>
      </c>
      <c r="H87">
        <v>1</v>
      </c>
      <c r="I87" t="s">
        <v>362</v>
      </c>
      <c r="J87" t="s">
        <v>3</v>
      </c>
      <c r="K87" t="s">
        <v>363</v>
      </c>
      <c r="L87">
        <v>1191</v>
      </c>
      <c r="N87">
        <v>1013</v>
      </c>
      <c r="O87" t="s">
        <v>278</v>
      </c>
      <c r="P87" t="s">
        <v>278</v>
      </c>
      <c r="Q87">
        <v>1</v>
      </c>
      <c r="X87">
        <v>70.2</v>
      </c>
      <c r="Y87">
        <v>0</v>
      </c>
      <c r="Z87">
        <v>0</v>
      </c>
      <c r="AA87">
        <v>0</v>
      </c>
      <c r="AB87">
        <v>240.18</v>
      </c>
      <c r="AC87">
        <v>0</v>
      </c>
      <c r="AD87">
        <v>1</v>
      </c>
      <c r="AE87">
        <v>1</v>
      </c>
      <c r="AF87" t="s">
        <v>29</v>
      </c>
      <c r="AG87">
        <v>80.73</v>
      </c>
      <c r="AH87">
        <v>2</v>
      </c>
      <c r="AI87">
        <v>59553092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ROW(Source!A43)</f>
        <v>43</v>
      </c>
      <c r="B88">
        <v>59553093</v>
      </c>
      <c r="C88">
        <v>59553091</v>
      </c>
      <c r="D88">
        <v>57987490</v>
      </c>
      <c r="E88">
        <v>107</v>
      </c>
      <c r="F88">
        <v>1</v>
      </c>
      <c r="G88">
        <v>1</v>
      </c>
      <c r="H88">
        <v>1</v>
      </c>
      <c r="I88" t="s">
        <v>284</v>
      </c>
      <c r="J88" t="s">
        <v>3</v>
      </c>
      <c r="K88" t="s">
        <v>285</v>
      </c>
      <c r="L88">
        <v>1191</v>
      </c>
      <c r="N88">
        <v>1013</v>
      </c>
      <c r="O88" t="s">
        <v>278</v>
      </c>
      <c r="P88" t="s">
        <v>278</v>
      </c>
      <c r="Q88">
        <v>1</v>
      </c>
      <c r="X88">
        <v>0.18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2</v>
      </c>
      <c r="AF88" t="s">
        <v>28</v>
      </c>
      <c r="AG88">
        <v>0.22499999999999998</v>
      </c>
      <c r="AH88">
        <v>2</v>
      </c>
      <c r="AI88">
        <v>59553093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ROW(Source!A43)</f>
        <v>43</v>
      </c>
      <c r="B89">
        <v>59553094</v>
      </c>
      <c r="C89">
        <v>59553091</v>
      </c>
      <c r="D89">
        <v>58107956</v>
      </c>
      <c r="E89">
        <v>1</v>
      </c>
      <c r="F89">
        <v>1</v>
      </c>
      <c r="G89">
        <v>1</v>
      </c>
      <c r="H89">
        <v>2</v>
      </c>
      <c r="I89" t="s">
        <v>291</v>
      </c>
      <c r="J89" t="s">
        <v>292</v>
      </c>
      <c r="K89" t="s">
        <v>293</v>
      </c>
      <c r="L89">
        <v>1368</v>
      </c>
      <c r="N89">
        <v>1011</v>
      </c>
      <c r="O89" t="s">
        <v>289</v>
      </c>
      <c r="P89" t="s">
        <v>289</v>
      </c>
      <c r="Q89">
        <v>1</v>
      </c>
      <c r="X89">
        <v>0.18</v>
      </c>
      <c r="Y89">
        <v>0</v>
      </c>
      <c r="Z89">
        <v>477.92</v>
      </c>
      <c r="AA89">
        <v>267.08999999999997</v>
      </c>
      <c r="AB89">
        <v>0</v>
      </c>
      <c r="AC89">
        <v>0</v>
      </c>
      <c r="AD89">
        <v>1</v>
      </c>
      <c r="AE89">
        <v>0</v>
      </c>
      <c r="AF89" t="s">
        <v>28</v>
      </c>
      <c r="AG89">
        <v>0.22499999999999998</v>
      </c>
      <c r="AH89">
        <v>2</v>
      </c>
      <c r="AI89">
        <v>59553094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ROW(Source!A43)</f>
        <v>43</v>
      </c>
      <c r="B90">
        <v>59553095</v>
      </c>
      <c r="C90">
        <v>59553091</v>
      </c>
      <c r="D90">
        <v>58063001</v>
      </c>
      <c r="E90">
        <v>1</v>
      </c>
      <c r="F90">
        <v>1</v>
      </c>
      <c r="G90">
        <v>1</v>
      </c>
      <c r="H90">
        <v>3</v>
      </c>
      <c r="I90" t="s">
        <v>364</v>
      </c>
      <c r="J90" t="s">
        <v>365</v>
      </c>
      <c r="K90" t="s">
        <v>366</v>
      </c>
      <c r="L90">
        <v>1348</v>
      </c>
      <c r="N90">
        <v>1009</v>
      </c>
      <c r="O90" t="s">
        <v>281</v>
      </c>
      <c r="P90" t="s">
        <v>281</v>
      </c>
      <c r="Q90">
        <v>1000</v>
      </c>
      <c r="X90">
        <v>2.9000000000000001E-2</v>
      </c>
      <c r="Y90">
        <v>91734.54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3</v>
      </c>
      <c r="AG90">
        <v>2.9000000000000001E-2</v>
      </c>
      <c r="AH90">
        <v>2</v>
      </c>
      <c r="AI90">
        <v>59553095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ROW(Source!A43)</f>
        <v>43</v>
      </c>
      <c r="B91">
        <v>59553096</v>
      </c>
      <c r="C91">
        <v>59553091</v>
      </c>
      <c r="D91">
        <v>58071297</v>
      </c>
      <c r="E91">
        <v>1</v>
      </c>
      <c r="F91">
        <v>1</v>
      </c>
      <c r="G91">
        <v>1</v>
      </c>
      <c r="H91">
        <v>3</v>
      </c>
      <c r="I91" t="s">
        <v>367</v>
      </c>
      <c r="J91" t="s">
        <v>368</v>
      </c>
      <c r="K91" t="s">
        <v>369</v>
      </c>
      <c r="L91">
        <v>1339</v>
      </c>
      <c r="N91">
        <v>1007</v>
      </c>
      <c r="O91" t="s">
        <v>370</v>
      </c>
      <c r="P91" t="s">
        <v>370</v>
      </c>
      <c r="Q91">
        <v>1</v>
      </c>
      <c r="X91">
        <v>8.0000000000000002E-3</v>
      </c>
      <c r="Y91">
        <v>16496.03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8.0000000000000002E-3</v>
      </c>
      <c r="AH91">
        <v>2</v>
      </c>
      <c r="AI91">
        <v>59553096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ROW(Source!A43)</f>
        <v>43</v>
      </c>
      <c r="B92">
        <v>59553097</v>
      </c>
      <c r="C92">
        <v>59553091</v>
      </c>
      <c r="D92">
        <v>57990293</v>
      </c>
      <c r="E92">
        <v>107</v>
      </c>
      <c r="F92">
        <v>1</v>
      </c>
      <c r="G92">
        <v>1</v>
      </c>
      <c r="H92">
        <v>3</v>
      </c>
      <c r="I92" t="s">
        <v>371</v>
      </c>
      <c r="J92" t="s">
        <v>3</v>
      </c>
      <c r="K92" t="s">
        <v>372</v>
      </c>
      <c r="L92">
        <v>1327</v>
      </c>
      <c r="N92">
        <v>1005</v>
      </c>
      <c r="O92" t="s">
        <v>49</v>
      </c>
      <c r="P92" t="s">
        <v>49</v>
      </c>
      <c r="Q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 t="s">
        <v>3</v>
      </c>
      <c r="AG92">
        <v>0</v>
      </c>
      <c r="AH92">
        <v>2</v>
      </c>
      <c r="AI92">
        <v>59553097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ROW(Source!A79)</f>
        <v>79</v>
      </c>
      <c r="B93">
        <v>59553329</v>
      </c>
      <c r="C93">
        <v>59553327</v>
      </c>
      <c r="D93">
        <v>57987319</v>
      </c>
      <c r="E93">
        <v>107</v>
      </c>
      <c r="F93">
        <v>1</v>
      </c>
      <c r="G93">
        <v>1</v>
      </c>
      <c r="H93">
        <v>1</v>
      </c>
      <c r="I93" t="s">
        <v>373</v>
      </c>
      <c r="J93" t="s">
        <v>3</v>
      </c>
      <c r="K93" t="s">
        <v>374</v>
      </c>
      <c r="L93">
        <v>1191</v>
      </c>
      <c r="N93">
        <v>1013</v>
      </c>
      <c r="O93" t="s">
        <v>278</v>
      </c>
      <c r="P93" t="s">
        <v>278</v>
      </c>
      <c r="Q93">
        <v>1</v>
      </c>
      <c r="X93">
        <v>94.4</v>
      </c>
      <c r="Y93">
        <v>0</v>
      </c>
      <c r="Z93">
        <v>0</v>
      </c>
      <c r="AA93">
        <v>0</v>
      </c>
      <c r="AB93">
        <v>275.06</v>
      </c>
      <c r="AC93">
        <v>0</v>
      </c>
      <c r="AD93">
        <v>1</v>
      </c>
      <c r="AE93">
        <v>1</v>
      </c>
      <c r="AF93" t="s">
        <v>42</v>
      </c>
      <c r="AG93">
        <v>75.52000000000001</v>
      </c>
      <c r="AH93">
        <v>2</v>
      </c>
      <c r="AI93">
        <v>59553329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ROW(Source!A79)</f>
        <v>79</v>
      </c>
      <c r="B94">
        <v>59553330</v>
      </c>
      <c r="C94">
        <v>59553327</v>
      </c>
      <c r="D94">
        <v>57987490</v>
      </c>
      <c r="E94">
        <v>107</v>
      </c>
      <c r="F94">
        <v>1</v>
      </c>
      <c r="G94">
        <v>1</v>
      </c>
      <c r="H94">
        <v>1</v>
      </c>
      <c r="I94" t="s">
        <v>284</v>
      </c>
      <c r="J94" t="s">
        <v>3</v>
      </c>
      <c r="K94" t="s">
        <v>285</v>
      </c>
      <c r="L94">
        <v>1191</v>
      </c>
      <c r="N94">
        <v>1013</v>
      </c>
      <c r="O94" t="s">
        <v>278</v>
      </c>
      <c r="P94" t="s">
        <v>278</v>
      </c>
      <c r="Q94">
        <v>1</v>
      </c>
      <c r="X94">
        <v>0.4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2</v>
      </c>
      <c r="AF94" t="s">
        <v>42</v>
      </c>
      <c r="AG94">
        <v>0.32000000000000006</v>
      </c>
      <c r="AH94">
        <v>2</v>
      </c>
      <c r="AI94">
        <v>59553330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ROW(Source!A79)</f>
        <v>79</v>
      </c>
      <c r="B95">
        <v>59553331</v>
      </c>
      <c r="C95">
        <v>59553327</v>
      </c>
      <c r="D95">
        <v>58107075</v>
      </c>
      <c r="E95">
        <v>1</v>
      </c>
      <c r="F95">
        <v>1</v>
      </c>
      <c r="G95">
        <v>1</v>
      </c>
      <c r="H95">
        <v>2</v>
      </c>
      <c r="I95" t="s">
        <v>375</v>
      </c>
      <c r="J95" t="s">
        <v>376</v>
      </c>
      <c r="K95" t="s">
        <v>377</v>
      </c>
      <c r="L95">
        <v>1368</v>
      </c>
      <c r="N95">
        <v>1011</v>
      </c>
      <c r="O95" t="s">
        <v>289</v>
      </c>
      <c r="P95" t="s">
        <v>289</v>
      </c>
      <c r="Q95">
        <v>1</v>
      </c>
      <c r="X95">
        <v>0.2</v>
      </c>
      <c r="Y95">
        <v>0</v>
      </c>
      <c r="Z95">
        <v>1403.96</v>
      </c>
      <c r="AA95">
        <v>358.78</v>
      </c>
      <c r="AB95">
        <v>0</v>
      </c>
      <c r="AC95">
        <v>0</v>
      </c>
      <c r="AD95">
        <v>1</v>
      </c>
      <c r="AE95">
        <v>0</v>
      </c>
      <c r="AF95" t="s">
        <v>42</v>
      </c>
      <c r="AG95">
        <v>0.16000000000000003</v>
      </c>
      <c r="AH95">
        <v>2</v>
      </c>
      <c r="AI95">
        <v>59553331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ROW(Source!A79)</f>
        <v>79</v>
      </c>
      <c r="B96">
        <v>59553332</v>
      </c>
      <c r="C96">
        <v>59553327</v>
      </c>
      <c r="D96">
        <v>58107956</v>
      </c>
      <c r="E96">
        <v>1</v>
      </c>
      <c r="F96">
        <v>1</v>
      </c>
      <c r="G96">
        <v>1</v>
      </c>
      <c r="H96">
        <v>2</v>
      </c>
      <c r="I96" t="s">
        <v>291</v>
      </c>
      <c r="J96" t="s">
        <v>292</v>
      </c>
      <c r="K96" t="s">
        <v>293</v>
      </c>
      <c r="L96">
        <v>1368</v>
      </c>
      <c r="N96">
        <v>1011</v>
      </c>
      <c r="O96" t="s">
        <v>289</v>
      </c>
      <c r="P96" t="s">
        <v>289</v>
      </c>
      <c r="Q96">
        <v>1</v>
      </c>
      <c r="X96">
        <v>0.2</v>
      </c>
      <c r="Y96">
        <v>0</v>
      </c>
      <c r="Z96">
        <v>477.92</v>
      </c>
      <c r="AA96">
        <v>267.08999999999997</v>
      </c>
      <c r="AB96">
        <v>0</v>
      </c>
      <c r="AC96">
        <v>0</v>
      </c>
      <c r="AD96">
        <v>1</v>
      </c>
      <c r="AE96">
        <v>0</v>
      </c>
      <c r="AF96" t="s">
        <v>42</v>
      </c>
      <c r="AG96">
        <v>0.16000000000000003</v>
      </c>
      <c r="AH96">
        <v>2</v>
      </c>
      <c r="AI96">
        <v>59553332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ROW(Source!A79)</f>
        <v>79</v>
      </c>
      <c r="B97">
        <v>59553333</v>
      </c>
      <c r="C97">
        <v>59553327</v>
      </c>
      <c r="D97">
        <v>58089085</v>
      </c>
      <c r="E97">
        <v>1</v>
      </c>
      <c r="F97">
        <v>1</v>
      </c>
      <c r="G97">
        <v>1</v>
      </c>
      <c r="H97">
        <v>3</v>
      </c>
      <c r="I97" t="s">
        <v>379</v>
      </c>
      <c r="J97" t="s">
        <v>380</v>
      </c>
      <c r="K97" t="s">
        <v>381</v>
      </c>
      <c r="L97">
        <v>1425</v>
      </c>
      <c r="N97">
        <v>1013</v>
      </c>
      <c r="O97" t="s">
        <v>162</v>
      </c>
      <c r="P97" t="s">
        <v>162</v>
      </c>
      <c r="Q97">
        <v>1</v>
      </c>
      <c r="X97">
        <v>1.02</v>
      </c>
      <c r="Y97">
        <v>87.93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41</v>
      </c>
      <c r="AG97">
        <v>0</v>
      </c>
      <c r="AH97">
        <v>2</v>
      </c>
      <c r="AI97">
        <v>59553333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ROW(Source!A79)</f>
        <v>79</v>
      </c>
      <c r="B98">
        <v>59553334</v>
      </c>
      <c r="C98">
        <v>59553327</v>
      </c>
      <c r="D98">
        <v>57992867</v>
      </c>
      <c r="E98">
        <v>107</v>
      </c>
      <c r="F98">
        <v>1</v>
      </c>
      <c r="G98">
        <v>1</v>
      </c>
      <c r="H98">
        <v>3</v>
      </c>
      <c r="I98" t="s">
        <v>382</v>
      </c>
      <c r="J98" t="s">
        <v>3</v>
      </c>
      <c r="K98" t="s">
        <v>383</v>
      </c>
      <c r="L98">
        <v>3277935</v>
      </c>
      <c r="N98">
        <v>1013</v>
      </c>
      <c r="O98" t="s">
        <v>384</v>
      </c>
      <c r="P98" t="s">
        <v>384</v>
      </c>
      <c r="Q98">
        <v>1</v>
      </c>
      <c r="X98">
        <v>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t="s">
        <v>41</v>
      </c>
      <c r="AG98">
        <v>0</v>
      </c>
      <c r="AH98">
        <v>2</v>
      </c>
      <c r="AI98">
        <v>59553334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ROW(Source!A80)</f>
        <v>80</v>
      </c>
      <c r="B99">
        <v>59553162</v>
      </c>
      <c r="C99">
        <v>59553161</v>
      </c>
      <c r="D99">
        <v>57987319</v>
      </c>
      <c r="E99">
        <v>107</v>
      </c>
      <c r="F99">
        <v>1</v>
      </c>
      <c r="G99">
        <v>1</v>
      </c>
      <c r="H99">
        <v>1</v>
      </c>
      <c r="I99" t="s">
        <v>373</v>
      </c>
      <c r="J99" t="s">
        <v>3</v>
      </c>
      <c r="K99" t="s">
        <v>374</v>
      </c>
      <c r="L99">
        <v>1191</v>
      </c>
      <c r="N99">
        <v>1013</v>
      </c>
      <c r="O99" t="s">
        <v>278</v>
      </c>
      <c r="P99" t="s">
        <v>278</v>
      </c>
      <c r="Q99">
        <v>1</v>
      </c>
      <c r="X99">
        <v>94.4</v>
      </c>
      <c r="Y99">
        <v>0</v>
      </c>
      <c r="Z99">
        <v>0</v>
      </c>
      <c r="AA99">
        <v>0</v>
      </c>
      <c r="AB99">
        <v>275.06</v>
      </c>
      <c r="AC99">
        <v>0</v>
      </c>
      <c r="AD99">
        <v>1</v>
      </c>
      <c r="AE99">
        <v>1</v>
      </c>
      <c r="AF99" t="s">
        <v>3</v>
      </c>
      <c r="AG99">
        <v>94.4</v>
      </c>
      <c r="AH99">
        <v>2</v>
      </c>
      <c r="AI99">
        <v>59553162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ROW(Source!A80)</f>
        <v>80</v>
      </c>
      <c r="B100">
        <v>59553163</v>
      </c>
      <c r="C100">
        <v>59553161</v>
      </c>
      <c r="D100">
        <v>57987490</v>
      </c>
      <c r="E100">
        <v>107</v>
      </c>
      <c r="F100">
        <v>1</v>
      </c>
      <c r="G100">
        <v>1</v>
      </c>
      <c r="H100">
        <v>1</v>
      </c>
      <c r="I100" t="s">
        <v>284</v>
      </c>
      <c r="J100" t="s">
        <v>3</v>
      </c>
      <c r="K100" t="s">
        <v>285</v>
      </c>
      <c r="L100">
        <v>1191</v>
      </c>
      <c r="N100">
        <v>1013</v>
      </c>
      <c r="O100" t="s">
        <v>278</v>
      </c>
      <c r="P100" t="s">
        <v>278</v>
      </c>
      <c r="Q100">
        <v>1</v>
      </c>
      <c r="X100">
        <v>0.4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2</v>
      </c>
      <c r="AF100" t="s">
        <v>3</v>
      </c>
      <c r="AG100">
        <v>0.4</v>
      </c>
      <c r="AH100">
        <v>2</v>
      </c>
      <c r="AI100">
        <v>59553163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ROW(Source!A80)</f>
        <v>80</v>
      </c>
      <c r="B101">
        <v>59553164</v>
      </c>
      <c r="C101">
        <v>59553161</v>
      </c>
      <c r="D101">
        <v>58107075</v>
      </c>
      <c r="E101">
        <v>1</v>
      </c>
      <c r="F101">
        <v>1</v>
      </c>
      <c r="G101">
        <v>1</v>
      </c>
      <c r="H101">
        <v>2</v>
      </c>
      <c r="I101" t="s">
        <v>375</v>
      </c>
      <c r="J101" t="s">
        <v>376</v>
      </c>
      <c r="K101" t="s">
        <v>377</v>
      </c>
      <c r="L101">
        <v>1368</v>
      </c>
      <c r="N101">
        <v>1011</v>
      </c>
      <c r="O101" t="s">
        <v>289</v>
      </c>
      <c r="P101" t="s">
        <v>289</v>
      </c>
      <c r="Q101">
        <v>1</v>
      </c>
      <c r="X101">
        <v>0.2</v>
      </c>
      <c r="Y101">
        <v>0</v>
      </c>
      <c r="Z101">
        <v>1403.96</v>
      </c>
      <c r="AA101">
        <v>358.78</v>
      </c>
      <c r="AB101">
        <v>0</v>
      </c>
      <c r="AC101">
        <v>0</v>
      </c>
      <c r="AD101">
        <v>1</v>
      </c>
      <c r="AE101">
        <v>0</v>
      </c>
      <c r="AF101" t="s">
        <v>3</v>
      </c>
      <c r="AG101">
        <v>0.2</v>
      </c>
      <c r="AH101">
        <v>2</v>
      </c>
      <c r="AI101">
        <v>59553164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ROW(Source!A80)</f>
        <v>80</v>
      </c>
      <c r="B102">
        <v>59553165</v>
      </c>
      <c r="C102">
        <v>59553161</v>
      </c>
      <c r="D102">
        <v>58107956</v>
      </c>
      <c r="E102">
        <v>1</v>
      </c>
      <c r="F102">
        <v>1</v>
      </c>
      <c r="G102">
        <v>1</v>
      </c>
      <c r="H102">
        <v>2</v>
      </c>
      <c r="I102" t="s">
        <v>291</v>
      </c>
      <c r="J102" t="s">
        <v>292</v>
      </c>
      <c r="K102" t="s">
        <v>293</v>
      </c>
      <c r="L102">
        <v>1368</v>
      </c>
      <c r="N102">
        <v>1011</v>
      </c>
      <c r="O102" t="s">
        <v>289</v>
      </c>
      <c r="P102" t="s">
        <v>289</v>
      </c>
      <c r="Q102">
        <v>1</v>
      </c>
      <c r="X102">
        <v>0.2</v>
      </c>
      <c r="Y102">
        <v>0</v>
      </c>
      <c r="Z102">
        <v>477.92</v>
      </c>
      <c r="AA102">
        <v>267.08999999999997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0.2</v>
      </c>
      <c r="AH102">
        <v>2</v>
      </c>
      <c r="AI102">
        <v>59553165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ROW(Source!A80)</f>
        <v>80</v>
      </c>
      <c r="B103">
        <v>59553166</v>
      </c>
      <c r="C103">
        <v>59553161</v>
      </c>
      <c r="D103">
        <v>58089085</v>
      </c>
      <c r="E103">
        <v>1</v>
      </c>
      <c r="F103">
        <v>1</v>
      </c>
      <c r="G103">
        <v>1</v>
      </c>
      <c r="H103">
        <v>3</v>
      </c>
      <c r="I103" t="s">
        <v>379</v>
      </c>
      <c r="J103" t="s">
        <v>380</v>
      </c>
      <c r="K103" t="s">
        <v>381</v>
      </c>
      <c r="L103">
        <v>1425</v>
      </c>
      <c r="N103">
        <v>1013</v>
      </c>
      <c r="O103" t="s">
        <v>162</v>
      </c>
      <c r="P103" t="s">
        <v>162</v>
      </c>
      <c r="Q103">
        <v>1</v>
      </c>
      <c r="X103">
        <v>1.02</v>
      </c>
      <c r="Y103">
        <v>87.93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1.02</v>
      </c>
      <c r="AH103">
        <v>2</v>
      </c>
      <c r="AI103">
        <v>59553166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ROW(Source!A80)</f>
        <v>80</v>
      </c>
      <c r="B104">
        <v>59553167</v>
      </c>
      <c r="C104">
        <v>59553161</v>
      </c>
      <c r="D104">
        <v>57992867</v>
      </c>
      <c r="E104">
        <v>107</v>
      </c>
      <c r="F104">
        <v>1</v>
      </c>
      <c r="G104">
        <v>1</v>
      </c>
      <c r="H104">
        <v>3</v>
      </c>
      <c r="I104" t="s">
        <v>382</v>
      </c>
      <c r="J104" t="s">
        <v>3</v>
      </c>
      <c r="K104" t="s">
        <v>383</v>
      </c>
      <c r="L104">
        <v>3277935</v>
      </c>
      <c r="N104">
        <v>1013</v>
      </c>
      <c r="O104" t="s">
        <v>384</v>
      </c>
      <c r="P104" t="s">
        <v>384</v>
      </c>
      <c r="Q104">
        <v>1</v>
      </c>
      <c r="X104">
        <v>2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 t="s">
        <v>3</v>
      </c>
      <c r="AG104">
        <v>2</v>
      </c>
      <c r="AH104">
        <v>3</v>
      </c>
      <c r="AI104">
        <v>-1</v>
      </c>
      <c r="AJ104" t="s">
        <v>3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ROW(Source!A116)</f>
        <v>116</v>
      </c>
      <c r="B105">
        <v>59553516</v>
      </c>
      <c r="C105">
        <v>59553515</v>
      </c>
      <c r="D105">
        <v>57987291</v>
      </c>
      <c r="E105">
        <v>107</v>
      </c>
      <c r="F105">
        <v>1</v>
      </c>
      <c r="G105">
        <v>1</v>
      </c>
      <c r="H105">
        <v>1</v>
      </c>
      <c r="I105" t="s">
        <v>362</v>
      </c>
      <c r="J105" t="s">
        <v>3</v>
      </c>
      <c r="K105" t="s">
        <v>363</v>
      </c>
      <c r="L105">
        <v>1191</v>
      </c>
      <c r="N105">
        <v>1013</v>
      </c>
      <c r="O105" t="s">
        <v>278</v>
      </c>
      <c r="P105" t="s">
        <v>278</v>
      </c>
      <c r="Q105">
        <v>1</v>
      </c>
      <c r="X105">
        <v>95.76</v>
      </c>
      <c r="Y105">
        <v>0</v>
      </c>
      <c r="Z105">
        <v>0</v>
      </c>
      <c r="AA105">
        <v>0</v>
      </c>
      <c r="AB105">
        <v>240.18</v>
      </c>
      <c r="AC105">
        <v>0</v>
      </c>
      <c r="AD105">
        <v>1</v>
      </c>
      <c r="AE105">
        <v>1</v>
      </c>
      <c r="AF105" t="s">
        <v>3</v>
      </c>
      <c r="AG105">
        <v>95.76</v>
      </c>
      <c r="AH105">
        <v>2</v>
      </c>
      <c r="AI105">
        <v>59553516</v>
      </c>
      <c r="AJ105">
        <v>106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ROW(Source!A116)</f>
        <v>116</v>
      </c>
      <c r="B106">
        <v>59553517</v>
      </c>
      <c r="C106">
        <v>59553515</v>
      </c>
      <c r="D106">
        <v>57987490</v>
      </c>
      <c r="E106">
        <v>107</v>
      </c>
      <c r="F106">
        <v>1</v>
      </c>
      <c r="G106">
        <v>1</v>
      </c>
      <c r="H106">
        <v>1</v>
      </c>
      <c r="I106" t="s">
        <v>284</v>
      </c>
      <c r="J106" t="s">
        <v>3</v>
      </c>
      <c r="K106" t="s">
        <v>285</v>
      </c>
      <c r="L106">
        <v>1191</v>
      </c>
      <c r="N106">
        <v>1013</v>
      </c>
      <c r="O106" t="s">
        <v>278</v>
      </c>
      <c r="P106" t="s">
        <v>278</v>
      </c>
      <c r="Q106">
        <v>1</v>
      </c>
      <c r="X106">
        <v>0.16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2</v>
      </c>
      <c r="AF106" t="s">
        <v>3</v>
      </c>
      <c r="AG106">
        <v>0.16</v>
      </c>
      <c r="AH106">
        <v>2</v>
      </c>
      <c r="AI106">
        <v>59553517</v>
      </c>
      <c r="AJ106">
        <v>107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ROW(Source!A116)</f>
        <v>116</v>
      </c>
      <c r="B107">
        <v>59553518</v>
      </c>
      <c r="C107">
        <v>59553515</v>
      </c>
      <c r="D107">
        <v>58107260</v>
      </c>
      <c r="E107">
        <v>1</v>
      </c>
      <c r="F107">
        <v>1</v>
      </c>
      <c r="G107">
        <v>1</v>
      </c>
      <c r="H107">
        <v>2</v>
      </c>
      <c r="I107" t="s">
        <v>286</v>
      </c>
      <c r="J107" t="s">
        <v>287</v>
      </c>
      <c r="K107" t="s">
        <v>288</v>
      </c>
      <c r="L107">
        <v>1368</v>
      </c>
      <c r="N107">
        <v>1011</v>
      </c>
      <c r="O107" t="s">
        <v>289</v>
      </c>
      <c r="P107" t="s">
        <v>289</v>
      </c>
      <c r="Q107">
        <v>1</v>
      </c>
      <c r="X107">
        <v>0.1</v>
      </c>
      <c r="Y107">
        <v>0</v>
      </c>
      <c r="Z107">
        <v>37.32</v>
      </c>
      <c r="AA107">
        <v>237.19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0.1</v>
      </c>
      <c r="AH107">
        <v>2</v>
      </c>
      <c r="AI107">
        <v>59553518</v>
      </c>
      <c r="AJ107">
        <v>108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ROW(Source!A116)</f>
        <v>116</v>
      </c>
      <c r="B108">
        <v>59553519</v>
      </c>
      <c r="C108">
        <v>59553515</v>
      </c>
      <c r="D108">
        <v>58107956</v>
      </c>
      <c r="E108">
        <v>1</v>
      </c>
      <c r="F108">
        <v>1</v>
      </c>
      <c r="G108">
        <v>1</v>
      </c>
      <c r="H108">
        <v>2</v>
      </c>
      <c r="I108" t="s">
        <v>291</v>
      </c>
      <c r="J108" t="s">
        <v>292</v>
      </c>
      <c r="K108" t="s">
        <v>293</v>
      </c>
      <c r="L108">
        <v>1368</v>
      </c>
      <c r="N108">
        <v>1011</v>
      </c>
      <c r="O108" t="s">
        <v>289</v>
      </c>
      <c r="P108" t="s">
        <v>289</v>
      </c>
      <c r="Q108">
        <v>1</v>
      </c>
      <c r="X108">
        <v>0.06</v>
      </c>
      <c r="Y108">
        <v>0</v>
      </c>
      <c r="Z108">
        <v>477.92</v>
      </c>
      <c r="AA108">
        <v>267.08999999999997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0.06</v>
      </c>
      <c r="AH108">
        <v>2</v>
      </c>
      <c r="AI108">
        <v>59553519</v>
      </c>
      <c r="AJ108">
        <v>109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ROW(Source!A116)</f>
        <v>116</v>
      </c>
      <c r="B109">
        <v>59553520</v>
      </c>
      <c r="C109">
        <v>59553515</v>
      </c>
      <c r="D109">
        <v>58061949</v>
      </c>
      <c r="E109">
        <v>1</v>
      </c>
      <c r="F109">
        <v>1</v>
      </c>
      <c r="G109">
        <v>1</v>
      </c>
      <c r="H109">
        <v>3</v>
      </c>
      <c r="I109" t="s">
        <v>388</v>
      </c>
      <c r="J109" t="s">
        <v>389</v>
      </c>
      <c r="K109" t="s">
        <v>390</v>
      </c>
      <c r="L109">
        <v>1346</v>
      </c>
      <c r="N109">
        <v>1009</v>
      </c>
      <c r="O109" t="s">
        <v>336</v>
      </c>
      <c r="P109" t="s">
        <v>336</v>
      </c>
      <c r="Q109">
        <v>1</v>
      </c>
      <c r="X109">
        <v>1.44</v>
      </c>
      <c r="Y109">
        <v>2507.62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1.44</v>
      </c>
      <c r="AH109">
        <v>2</v>
      </c>
      <c r="AI109">
        <v>59553520</v>
      </c>
      <c r="AJ109">
        <v>110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ROW(Source!A116)</f>
        <v>116</v>
      </c>
      <c r="B110">
        <v>59553521</v>
      </c>
      <c r="C110">
        <v>59553515</v>
      </c>
      <c r="D110">
        <v>58063386</v>
      </c>
      <c r="E110">
        <v>1</v>
      </c>
      <c r="F110">
        <v>1</v>
      </c>
      <c r="G110">
        <v>1</v>
      </c>
      <c r="H110">
        <v>3</v>
      </c>
      <c r="I110" t="s">
        <v>352</v>
      </c>
      <c r="J110" t="s">
        <v>353</v>
      </c>
      <c r="K110" t="s">
        <v>354</v>
      </c>
      <c r="L110">
        <v>1327</v>
      </c>
      <c r="N110">
        <v>1005</v>
      </c>
      <c r="O110" t="s">
        <v>49</v>
      </c>
      <c r="P110" t="s">
        <v>49</v>
      </c>
      <c r="Q110">
        <v>1</v>
      </c>
      <c r="X110">
        <v>1.1000000000000001</v>
      </c>
      <c r="Y110">
        <v>531.44000000000005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1.1000000000000001</v>
      </c>
      <c r="AH110">
        <v>2</v>
      </c>
      <c r="AI110">
        <v>59553521</v>
      </c>
      <c r="AJ110">
        <v>111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ROW(Source!A116)</f>
        <v>116</v>
      </c>
      <c r="B111">
        <v>59553522</v>
      </c>
      <c r="C111">
        <v>59553515</v>
      </c>
      <c r="D111">
        <v>58063712</v>
      </c>
      <c r="E111">
        <v>1</v>
      </c>
      <c r="F111">
        <v>1</v>
      </c>
      <c r="G111">
        <v>1</v>
      </c>
      <c r="H111">
        <v>3</v>
      </c>
      <c r="I111" t="s">
        <v>333</v>
      </c>
      <c r="J111" t="s">
        <v>334</v>
      </c>
      <c r="K111" t="s">
        <v>335</v>
      </c>
      <c r="L111">
        <v>1346</v>
      </c>
      <c r="N111">
        <v>1009</v>
      </c>
      <c r="O111" t="s">
        <v>336</v>
      </c>
      <c r="P111" t="s">
        <v>336</v>
      </c>
      <c r="Q111">
        <v>1</v>
      </c>
      <c r="X111">
        <v>0.18</v>
      </c>
      <c r="Y111">
        <v>56.81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0.18</v>
      </c>
      <c r="AH111">
        <v>2</v>
      </c>
      <c r="AI111">
        <v>59553522</v>
      </c>
      <c r="AJ111">
        <v>112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ROW(Source!A116)</f>
        <v>116</v>
      </c>
      <c r="B112">
        <v>59553523</v>
      </c>
      <c r="C112">
        <v>59553515</v>
      </c>
      <c r="D112">
        <v>57990879</v>
      </c>
      <c r="E112">
        <v>107</v>
      </c>
      <c r="F112">
        <v>1</v>
      </c>
      <c r="G112">
        <v>1</v>
      </c>
      <c r="H112">
        <v>3</v>
      </c>
      <c r="I112" t="s">
        <v>421</v>
      </c>
      <c r="J112" t="s">
        <v>3</v>
      </c>
      <c r="K112" t="s">
        <v>422</v>
      </c>
      <c r="L112">
        <v>1348</v>
      </c>
      <c r="N112">
        <v>1009</v>
      </c>
      <c r="O112" t="s">
        <v>281</v>
      </c>
      <c r="P112" t="s">
        <v>281</v>
      </c>
      <c r="Q112">
        <v>1000</v>
      </c>
      <c r="X112">
        <v>2.2599999999999999E-2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 t="s">
        <v>3</v>
      </c>
      <c r="AG112">
        <v>2.2599999999999999E-2</v>
      </c>
      <c r="AH112">
        <v>3</v>
      </c>
      <c r="AI112">
        <v>-1</v>
      </c>
      <c r="AJ112" t="s">
        <v>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ROW(Source!A116)</f>
        <v>116</v>
      </c>
      <c r="B113">
        <v>59553524</v>
      </c>
      <c r="C113">
        <v>59553515</v>
      </c>
      <c r="D113">
        <v>58078902</v>
      </c>
      <c r="E113">
        <v>1</v>
      </c>
      <c r="F113">
        <v>1</v>
      </c>
      <c r="G113">
        <v>1</v>
      </c>
      <c r="H113">
        <v>3</v>
      </c>
      <c r="I113" t="s">
        <v>391</v>
      </c>
      <c r="J113" t="s">
        <v>392</v>
      </c>
      <c r="K113" t="s">
        <v>393</v>
      </c>
      <c r="L113">
        <v>1348</v>
      </c>
      <c r="N113">
        <v>1009</v>
      </c>
      <c r="O113" t="s">
        <v>281</v>
      </c>
      <c r="P113" t="s">
        <v>281</v>
      </c>
      <c r="Q113">
        <v>1000</v>
      </c>
      <c r="X113">
        <v>9.7000000000000003E-3</v>
      </c>
      <c r="Y113">
        <v>60697.21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9.7000000000000003E-3</v>
      </c>
      <c r="AH113">
        <v>2</v>
      </c>
      <c r="AI113">
        <v>59553524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ROW(Source!A116)</f>
        <v>116</v>
      </c>
      <c r="B114">
        <v>59553525</v>
      </c>
      <c r="C114">
        <v>59553515</v>
      </c>
      <c r="D114">
        <v>58079042</v>
      </c>
      <c r="E114">
        <v>1</v>
      </c>
      <c r="F114">
        <v>1</v>
      </c>
      <c r="G114">
        <v>1</v>
      </c>
      <c r="H114">
        <v>3</v>
      </c>
      <c r="I114" t="s">
        <v>423</v>
      </c>
      <c r="J114" t="s">
        <v>424</v>
      </c>
      <c r="K114" t="s">
        <v>425</v>
      </c>
      <c r="L114">
        <v>1348</v>
      </c>
      <c r="N114">
        <v>1009</v>
      </c>
      <c r="O114" t="s">
        <v>281</v>
      </c>
      <c r="P114" t="s">
        <v>281</v>
      </c>
      <c r="Q114">
        <v>1000</v>
      </c>
      <c r="X114">
        <v>4.7300000000000002E-2</v>
      </c>
      <c r="Y114">
        <v>25237.94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4.7300000000000002E-2</v>
      </c>
      <c r="AH114">
        <v>3</v>
      </c>
      <c r="AI114">
        <v>-1</v>
      </c>
      <c r="AJ114" t="s">
        <v>3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ROW(Source!A152)</f>
        <v>152</v>
      </c>
      <c r="B115">
        <v>59553422</v>
      </c>
      <c r="C115">
        <v>59553421</v>
      </c>
      <c r="D115">
        <v>57987265</v>
      </c>
      <c r="E115">
        <v>107</v>
      </c>
      <c r="F115">
        <v>1</v>
      </c>
      <c r="G115">
        <v>1</v>
      </c>
      <c r="H115">
        <v>1</v>
      </c>
      <c r="I115" t="s">
        <v>395</v>
      </c>
      <c r="J115" t="s">
        <v>3</v>
      </c>
      <c r="K115" t="s">
        <v>396</v>
      </c>
      <c r="L115">
        <v>1191</v>
      </c>
      <c r="N115">
        <v>1013</v>
      </c>
      <c r="O115" t="s">
        <v>278</v>
      </c>
      <c r="P115" t="s">
        <v>278</v>
      </c>
      <c r="Q115">
        <v>1</v>
      </c>
      <c r="X115">
        <v>67.7</v>
      </c>
      <c r="Y115">
        <v>0</v>
      </c>
      <c r="Z115">
        <v>0</v>
      </c>
      <c r="AA115">
        <v>0</v>
      </c>
      <c r="AB115">
        <v>223.24</v>
      </c>
      <c r="AC115">
        <v>0</v>
      </c>
      <c r="AD115">
        <v>1</v>
      </c>
      <c r="AE115">
        <v>1</v>
      </c>
      <c r="AF115" t="s">
        <v>29</v>
      </c>
      <c r="AG115">
        <v>77.855000000000004</v>
      </c>
      <c r="AH115">
        <v>2</v>
      </c>
      <c r="AI115">
        <v>59553422</v>
      </c>
      <c r="AJ115">
        <v>116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ROW(Source!A152)</f>
        <v>152</v>
      </c>
      <c r="B116">
        <v>59553423</v>
      </c>
      <c r="C116">
        <v>59553421</v>
      </c>
      <c r="D116">
        <v>57987490</v>
      </c>
      <c r="E116">
        <v>107</v>
      </c>
      <c r="F116">
        <v>1</v>
      </c>
      <c r="G116">
        <v>1</v>
      </c>
      <c r="H116">
        <v>1</v>
      </c>
      <c r="I116" t="s">
        <v>284</v>
      </c>
      <c r="J116" t="s">
        <v>3</v>
      </c>
      <c r="K116" t="s">
        <v>285</v>
      </c>
      <c r="L116">
        <v>1191</v>
      </c>
      <c r="N116">
        <v>1013</v>
      </c>
      <c r="O116" t="s">
        <v>278</v>
      </c>
      <c r="P116" t="s">
        <v>278</v>
      </c>
      <c r="Q116">
        <v>1</v>
      </c>
      <c r="X116">
        <v>4.2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2</v>
      </c>
      <c r="AF116" t="s">
        <v>28</v>
      </c>
      <c r="AG116">
        <v>5.25</v>
      </c>
      <c r="AH116">
        <v>2</v>
      </c>
      <c r="AI116">
        <v>59553423</v>
      </c>
      <c r="AJ116">
        <v>117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ROW(Source!A152)</f>
        <v>152</v>
      </c>
      <c r="B117">
        <v>59553424</v>
      </c>
      <c r="C117">
        <v>59553421</v>
      </c>
      <c r="D117">
        <v>58107260</v>
      </c>
      <c r="E117">
        <v>1</v>
      </c>
      <c r="F117">
        <v>1</v>
      </c>
      <c r="G117">
        <v>1</v>
      </c>
      <c r="H117">
        <v>2</v>
      </c>
      <c r="I117" t="s">
        <v>286</v>
      </c>
      <c r="J117" t="s">
        <v>287</v>
      </c>
      <c r="K117" t="s">
        <v>288</v>
      </c>
      <c r="L117">
        <v>1368</v>
      </c>
      <c r="N117">
        <v>1011</v>
      </c>
      <c r="O117" t="s">
        <v>289</v>
      </c>
      <c r="P117" t="s">
        <v>289</v>
      </c>
      <c r="Q117">
        <v>1</v>
      </c>
      <c r="X117">
        <v>1.73</v>
      </c>
      <c r="Y117">
        <v>0</v>
      </c>
      <c r="Z117">
        <v>37.32</v>
      </c>
      <c r="AA117">
        <v>237.19</v>
      </c>
      <c r="AB117">
        <v>0</v>
      </c>
      <c r="AC117">
        <v>0</v>
      </c>
      <c r="AD117">
        <v>1</v>
      </c>
      <c r="AE117">
        <v>0</v>
      </c>
      <c r="AF117" t="s">
        <v>28</v>
      </c>
      <c r="AG117">
        <v>2.1625000000000001</v>
      </c>
      <c r="AH117">
        <v>2</v>
      </c>
      <c r="AI117">
        <v>59553424</v>
      </c>
      <c r="AJ117">
        <v>118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ROW(Source!A152)</f>
        <v>152</v>
      </c>
      <c r="B118">
        <v>59553425</v>
      </c>
      <c r="C118">
        <v>59553421</v>
      </c>
      <c r="D118">
        <v>58107956</v>
      </c>
      <c r="E118">
        <v>1</v>
      </c>
      <c r="F118">
        <v>1</v>
      </c>
      <c r="G118">
        <v>1</v>
      </c>
      <c r="H118">
        <v>2</v>
      </c>
      <c r="I118" t="s">
        <v>291</v>
      </c>
      <c r="J118" t="s">
        <v>292</v>
      </c>
      <c r="K118" t="s">
        <v>293</v>
      </c>
      <c r="L118">
        <v>1368</v>
      </c>
      <c r="N118">
        <v>1011</v>
      </c>
      <c r="O118" t="s">
        <v>289</v>
      </c>
      <c r="P118" t="s">
        <v>289</v>
      </c>
      <c r="Q118">
        <v>1</v>
      </c>
      <c r="X118">
        <v>2.4700000000000002</v>
      </c>
      <c r="Y118">
        <v>0</v>
      </c>
      <c r="Z118">
        <v>477.92</v>
      </c>
      <c r="AA118">
        <v>267.08999999999997</v>
      </c>
      <c r="AB118">
        <v>0</v>
      </c>
      <c r="AC118">
        <v>0</v>
      </c>
      <c r="AD118">
        <v>1</v>
      </c>
      <c r="AE118">
        <v>0</v>
      </c>
      <c r="AF118" t="s">
        <v>28</v>
      </c>
      <c r="AG118">
        <v>3.0875000000000004</v>
      </c>
      <c r="AH118">
        <v>2</v>
      </c>
      <c r="AI118">
        <v>59553425</v>
      </c>
      <c r="AJ118">
        <v>119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ROW(Source!A152)</f>
        <v>152</v>
      </c>
      <c r="B119">
        <v>59553426</v>
      </c>
      <c r="C119">
        <v>59553421</v>
      </c>
      <c r="D119">
        <v>58062702</v>
      </c>
      <c r="E119">
        <v>1</v>
      </c>
      <c r="F119">
        <v>1</v>
      </c>
      <c r="G119">
        <v>1</v>
      </c>
      <c r="H119">
        <v>3</v>
      </c>
      <c r="I119" t="s">
        <v>397</v>
      </c>
      <c r="J119" t="s">
        <v>398</v>
      </c>
      <c r="K119" t="s">
        <v>399</v>
      </c>
      <c r="L119">
        <v>1348</v>
      </c>
      <c r="N119">
        <v>1009</v>
      </c>
      <c r="O119" t="s">
        <v>281</v>
      </c>
      <c r="P119" t="s">
        <v>281</v>
      </c>
      <c r="Q119">
        <v>1000</v>
      </c>
      <c r="X119">
        <v>1.2E-2</v>
      </c>
      <c r="Y119">
        <v>70296.2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1.2E-2</v>
      </c>
      <c r="AH119">
        <v>2</v>
      </c>
      <c r="AI119">
        <v>59553426</v>
      </c>
      <c r="AJ119">
        <v>120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ROW(Source!A152)</f>
        <v>152</v>
      </c>
      <c r="B120">
        <v>59553427</v>
      </c>
      <c r="C120">
        <v>59553421</v>
      </c>
      <c r="D120">
        <v>58068036</v>
      </c>
      <c r="E120">
        <v>1</v>
      </c>
      <c r="F120">
        <v>1</v>
      </c>
      <c r="G120">
        <v>1</v>
      </c>
      <c r="H120">
        <v>3</v>
      </c>
      <c r="I120" t="s">
        <v>400</v>
      </c>
      <c r="J120" t="s">
        <v>401</v>
      </c>
      <c r="K120" t="s">
        <v>402</v>
      </c>
      <c r="L120">
        <v>1348</v>
      </c>
      <c r="N120">
        <v>1009</v>
      </c>
      <c r="O120" t="s">
        <v>281</v>
      </c>
      <c r="P120" t="s">
        <v>281</v>
      </c>
      <c r="Q120">
        <v>1000</v>
      </c>
      <c r="X120">
        <v>3.5000000000000003E-2</v>
      </c>
      <c r="Y120">
        <v>55898.18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3.5000000000000003E-2</v>
      </c>
      <c r="AH120">
        <v>2</v>
      </c>
      <c r="AI120">
        <v>59553427</v>
      </c>
      <c r="AJ120">
        <v>121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ROW(Source!A152)</f>
        <v>152</v>
      </c>
      <c r="B121">
        <v>59553428</v>
      </c>
      <c r="C121">
        <v>59553421</v>
      </c>
      <c r="D121">
        <v>57990224</v>
      </c>
      <c r="E121">
        <v>107</v>
      </c>
      <c r="F121">
        <v>1</v>
      </c>
      <c r="G121">
        <v>1</v>
      </c>
      <c r="H121">
        <v>3</v>
      </c>
      <c r="I121" t="s">
        <v>403</v>
      </c>
      <c r="J121" t="s">
        <v>3</v>
      </c>
      <c r="K121" t="s">
        <v>404</v>
      </c>
      <c r="L121">
        <v>1371</v>
      </c>
      <c r="N121">
        <v>1013</v>
      </c>
      <c r="O121" t="s">
        <v>386</v>
      </c>
      <c r="P121" t="s">
        <v>386</v>
      </c>
      <c r="Q121">
        <v>1</v>
      </c>
      <c r="X121">
        <v>100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t="s">
        <v>3</v>
      </c>
      <c r="AG121">
        <v>100</v>
      </c>
      <c r="AH121">
        <v>2</v>
      </c>
      <c r="AI121">
        <v>59553428</v>
      </c>
      <c r="AJ121">
        <v>122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ROW(Source!A152)</f>
        <v>152</v>
      </c>
      <c r="B122">
        <v>59553429</v>
      </c>
      <c r="C122">
        <v>59553421</v>
      </c>
      <c r="D122">
        <v>58071636</v>
      </c>
      <c r="E122">
        <v>1</v>
      </c>
      <c r="F122">
        <v>1</v>
      </c>
      <c r="G122">
        <v>1</v>
      </c>
      <c r="H122">
        <v>3</v>
      </c>
      <c r="I122" t="s">
        <v>405</v>
      </c>
      <c r="J122" t="s">
        <v>406</v>
      </c>
      <c r="K122" t="s">
        <v>407</v>
      </c>
      <c r="L122">
        <v>1301</v>
      </c>
      <c r="N122">
        <v>1003</v>
      </c>
      <c r="O122" t="s">
        <v>308</v>
      </c>
      <c r="P122" t="s">
        <v>308</v>
      </c>
      <c r="Q122">
        <v>1</v>
      </c>
      <c r="X122">
        <v>400</v>
      </c>
      <c r="Y122">
        <v>17.96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400</v>
      </c>
      <c r="AH122">
        <v>2</v>
      </c>
      <c r="AI122">
        <v>59553429</v>
      </c>
      <c r="AJ122">
        <v>123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ROW(Source!A153)</f>
        <v>153</v>
      </c>
      <c r="B123">
        <v>59553432</v>
      </c>
      <c r="C123">
        <v>59553431</v>
      </c>
      <c r="D123">
        <v>57987265</v>
      </c>
      <c r="E123">
        <v>107</v>
      </c>
      <c r="F123">
        <v>1</v>
      </c>
      <c r="G123">
        <v>1</v>
      </c>
      <c r="H123">
        <v>1</v>
      </c>
      <c r="I123" t="s">
        <v>395</v>
      </c>
      <c r="J123" t="s">
        <v>3</v>
      </c>
      <c r="K123" t="s">
        <v>396</v>
      </c>
      <c r="L123">
        <v>1191</v>
      </c>
      <c r="N123">
        <v>1013</v>
      </c>
      <c r="O123" t="s">
        <v>278</v>
      </c>
      <c r="P123" t="s">
        <v>278</v>
      </c>
      <c r="Q123">
        <v>1</v>
      </c>
      <c r="X123">
        <v>67.7</v>
      </c>
      <c r="Y123">
        <v>0</v>
      </c>
      <c r="Z123">
        <v>0</v>
      </c>
      <c r="AA123">
        <v>0</v>
      </c>
      <c r="AB123">
        <v>223.24</v>
      </c>
      <c r="AC123">
        <v>0</v>
      </c>
      <c r="AD123">
        <v>1</v>
      </c>
      <c r="AE123">
        <v>1</v>
      </c>
      <c r="AF123" t="s">
        <v>29</v>
      </c>
      <c r="AG123">
        <v>77.855000000000004</v>
      </c>
      <c r="AH123">
        <v>2</v>
      </c>
      <c r="AI123">
        <v>59553432</v>
      </c>
      <c r="AJ123">
        <v>124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ROW(Source!A153)</f>
        <v>153</v>
      </c>
      <c r="B124">
        <v>59553433</v>
      </c>
      <c r="C124">
        <v>59553431</v>
      </c>
      <c r="D124">
        <v>57987490</v>
      </c>
      <c r="E124">
        <v>107</v>
      </c>
      <c r="F124">
        <v>1</v>
      </c>
      <c r="G124">
        <v>1</v>
      </c>
      <c r="H124">
        <v>1</v>
      </c>
      <c r="I124" t="s">
        <v>284</v>
      </c>
      <c r="J124" t="s">
        <v>3</v>
      </c>
      <c r="K124" t="s">
        <v>285</v>
      </c>
      <c r="L124">
        <v>1191</v>
      </c>
      <c r="N124">
        <v>1013</v>
      </c>
      <c r="O124" t="s">
        <v>278</v>
      </c>
      <c r="P124" t="s">
        <v>278</v>
      </c>
      <c r="Q124">
        <v>1</v>
      </c>
      <c r="X124">
        <v>4.2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2</v>
      </c>
      <c r="AF124" t="s">
        <v>28</v>
      </c>
      <c r="AG124">
        <v>5.25</v>
      </c>
      <c r="AH124">
        <v>2</v>
      </c>
      <c r="AI124">
        <v>59553433</v>
      </c>
      <c r="AJ124">
        <v>125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ROW(Source!A153)</f>
        <v>153</v>
      </c>
      <c r="B125">
        <v>59553434</v>
      </c>
      <c r="C125">
        <v>59553431</v>
      </c>
      <c r="D125">
        <v>58107260</v>
      </c>
      <c r="E125">
        <v>1</v>
      </c>
      <c r="F125">
        <v>1</v>
      </c>
      <c r="G125">
        <v>1</v>
      </c>
      <c r="H125">
        <v>2</v>
      </c>
      <c r="I125" t="s">
        <v>286</v>
      </c>
      <c r="J125" t="s">
        <v>287</v>
      </c>
      <c r="K125" t="s">
        <v>288</v>
      </c>
      <c r="L125">
        <v>1368</v>
      </c>
      <c r="N125">
        <v>1011</v>
      </c>
      <c r="O125" t="s">
        <v>289</v>
      </c>
      <c r="P125" t="s">
        <v>289</v>
      </c>
      <c r="Q125">
        <v>1</v>
      </c>
      <c r="X125">
        <v>1.73</v>
      </c>
      <c r="Y125">
        <v>0</v>
      </c>
      <c r="Z125">
        <v>37.32</v>
      </c>
      <c r="AA125">
        <v>237.19</v>
      </c>
      <c r="AB125">
        <v>0</v>
      </c>
      <c r="AC125">
        <v>0</v>
      </c>
      <c r="AD125">
        <v>1</v>
      </c>
      <c r="AE125">
        <v>0</v>
      </c>
      <c r="AF125" t="s">
        <v>28</v>
      </c>
      <c r="AG125">
        <v>2.1625000000000001</v>
      </c>
      <c r="AH125">
        <v>2</v>
      </c>
      <c r="AI125">
        <v>59553434</v>
      </c>
      <c r="AJ125">
        <v>126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ROW(Source!A153)</f>
        <v>153</v>
      </c>
      <c r="B126">
        <v>59553435</v>
      </c>
      <c r="C126">
        <v>59553431</v>
      </c>
      <c r="D126">
        <v>58107956</v>
      </c>
      <c r="E126">
        <v>1</v>
      </c>
      <c r="F126">
        <v>1</v>
      </c>
      <c r="G126">
        <v>1</v>
      </c>
      <c r="H126">
        <v>2</v>
      </c>
      <c r="I126" t="s">
        <v>291</v>
      </c>
      <c r="J126" t="s">
        <v>292</v>
      </c>
      <c r="K126" t="s">
        <v>293</v>
      </c>
      <c r="L126">
        <v>1368</v>
      </c>
      <c r="N126">
        <v>1011</v>
      </c>
      <c r="O126" t="s">
        <v>289</v>
      </c>
      <c r="P126" t="s">
        <v>289</v>
      </c>
      <c r="Q126">
        <v>1</v>
      </c>
      <c r="X126">
        <v>2.4700000000000002</v>
      </c>
      <c r="Y126">
        <v>0</v>
      </c>
      <c r="Z126">
        <v>477.92</v>
      </c>
      <c r="AA126">
        <v>267.08999999999997</v>
      </c>
      <c r="AB126">
        <v>0</v>
      </c>
      <c r="AC126">
        <v>0</v>
      </c>
      <c r="AD126">
        <v>1</v>
      </c>
      <c r="AE126">
        <v>0</v>
      </c>
      <c r="AF126" t="s">
        <v>28</v>
      </c>
      <c r="AG126">
        <v>3.0875000000000004</v>
      </c>
      <c r="AH126">
        <v>2</v>
      </c>
      <c r="AI126">
        <v>59553435</v>
      </c>
      <c r="AJ126">
        <v>127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ROW(Source!A153)</f>
        <v>153</v>
      </c>
      <c r="B127">
        <v>59553436</v>
      </c>
      <c r="C127">
        <v>59553431</v>
      </c>
      <c r="D127">
        <v>58062702</v>
      </c>
      <c r="E127">
        <v>1</v>
      </c>
      <c r="F127">
        <v>1</v>
      </c>
      <c r="G127">
        <v>1</v>
      </c>
      <c r="H127">
        <v>3</v>
      </c>
      <c r="I127" t="s">
        <v>397</v>
      </c>
      <c r="J127" t="s">
        <v>398</v>
      </c>
      <c r="K127" t="s">
        <v>399</v>
      </c>
      <c r="L127">
        <v>1348</v>
      </c>
      <c r="N127">
        <v>1009</v>
      </c>
      <c r="O127" t="s">
        <v>281</v>
      </c>
      <c r="P127" t="s">
        <v>281</v>
      </c>
      <c r="Q127">
        <v>1000</v>
      </c>
      <c r="X127">
        <v>1.2E-2</v>
      </c>
      <c r="Y127">
        <v>70296.2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1.2E-2</v>
      </c>
      <c r="AH127">
        <v>2</v>
      </c>
      <c r="AI127">
        <v>59553436</v>
      </c>
      <c r="AJ127">
        <v>128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ROW(Source!A153)</f>
        <v>153</v>
      </c>
      <c r="B128">
        <v>59553437</v>
      </c>
      <c r="C128">
        <v>59553431</v>
      </c>
      <c r="D128">
        <v>58068036</v>
      </c>
      <c r="E128">
        <v>1</v>
      </c>
      <c r="F128">
        <v>1</v>
      </c>
      <c r="G128">
        <v>1</v>
      </c>
      <c r="H128">
        <v>3</v>
      </c>
      <c r="I128" t="s">
        <v>400</v>
      </c>
      <c r="J128" t="s">
        <v>401</v>
      </c>
      <c r="K128" t="s">
        <v>402</v>
      </c>
      <c r="L128">
        <v>1348</v>
      </c>
      <c r="N128">
        <v>1009</v>
      </c>
      <c r="O128" t="s">
        <v>281</v>
      </c>
      <c r="P128" t="s">
        <v>281</v>
      </c>
      <c r="Q128">
        <v>1000</v>
      </c>
      <c r="X128">
        <v>3.5000000000000003E-2</v>
      </c>
      <c r="Y128">
        <v>55898.18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3.5000000000000003E-2</v>
      </c>
      <c r="AH128">
        <v>2</v>
      </c>
      <c r="AI128">
        <v>59553437</v>
      </c>
      <c r="AJ128">
        <v>129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ROW(Source!A153)</f>
        <v>153</v>
      </c>
      <c r="B129">
        <v>59553438</v>
      </c>
      <c r="C129">
        <v>59553431</v>
      </c>
      <c r="D129">
        <v>57990224</v>
      </c>
      <c r="E129">
        <v>107</v>
      </c>
      <c r="F129">
        <v>1</v>
      </c>
      <c r="G129">
        <v>1</v>
      </c>
      <c r="H129">
        <v>3</v>
      </c>
      <c r="I129" t="s">
        <v>403</v>
      </c>
      <c r="J129" t="s">
        <v>3</v>
      </c>
      <c r="K129" t="s">
        <v>404</v>
      </c>
      <c r="L129">
        <v>1371</v>
      </c>
      <c r="N129">
        <v>1013</v>
      </c>
      <c r="O129" t="s">
        <v>386</v>
      </c>
      <c r="P129" t="s">
        <v>386</v>
      </c>
      <c r="Q129">
        <v>1</v>
      </c>
      <c r="X129">
        <v>100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t="s">
        <v>3</v>
      </c>
      <c r="AG129">
        <v>100</v>
      </c>
      <c r="AH129">
        <v>2</v>
      </c>
      <c r="AI129">
        <v>59553438</v>
      </c>
      <c r="AJ129">
        <v>130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ROW(Source!A153)</f>
        <v>153</v>
      </c>
      <c r="B130">
        <v>59553439</v>
      </c>
      <c r="C130">
        <v>59553431</v>
      </c>
      <c r="D130">
        <v>58071636</v>
      </c>
      <c r="E130">
        <v>1</v>
      </c>
      <c r="F130">
        <v>1</v>
      </c>
      <c r="G130">
        <v>1</v>
      </c>
      <c r="H130">
        <v>3</v>
      </c>
      <c r="I130" t="s">
        <v>405</v>
      </c>
      <c r="J130" t="s">
        <v>406</v>
      </c>
      <c r="K130" t="s">
        <v>407</v>
      </c>
      <c r="L130">
        <v>1301</v>
      </c>
      <c r="N130">
        <v>1003</v>
      </c>
      <c r="O130" t="s">
        <v>308</v>
      </c>
      <c r="P130" t="s">
        <v>308</v>
      </c>
      <c r="Q130">
        <v>1</v>
      </c>
      <c r="X130">
        <v>400</v>
      </c>
      <c r="Y130">
        <v>17.96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400</v>
      </c>
      <c r="AH130">
        <v>2</v>
      </c>
      <c r="AI130">
        <v>59553439</v>
      </c>
      <c r="AJ130">
        <v>131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ROW(Source!A154)</f>
        <v>154</v>
      </c>
      <c r="B131">
        <v>59553477</v>
      </c>
      <c r="C131">
        <v>59553476</v>
      </c>
      <c r="D131">
        <v>57987227</v>
      </c>
      <c r="E131">
        <v>107</v>
      </c>
      <c r="F131">
        <v>1</v>
      </c>
      <c r="G131">
        <v>1</v>
      </c>
      <c r="H131">
        <v>1</v>
      </c>
      <c r="I131" t="s">
        <v>408</v>
      </c>
      <c r="J131" t="s">
        <v>3</v>
      </c>
      <c r="K131" t="s">
        <v>409</v>
      </c>
      <c r="L131">
        <v>1191</v>
      </c>
      <c r="N131">
        <v>1013</v>
      </c>
      <c r="O131" t="s">
        <v>278</v>
      </c>
      <c r="P131" t="s">
        <v>278</v>
      </c>
      <c r="Q131">
        <v>1</v>
      </c>
      <c r="X131">
        <v>188</v>
      </c>
      <c r="Y131">
        <v>0</v>
      </c>
      <c r="Z131">
        <v>0</v>
      </c>
      <c r="AA131">
        <v>0</v>
      </c>
      <c r="AB131">
        <v>201.11</v>
      </c>
      <c r="AC131">
        <v>0</v>
      </c>
      <c r="AD131">
        <v>1</v>
      </c>
      <c r="AE131">
        <v>1</v>
      </c>
      <c r="AF131" t="s">
        <v>3</v>
      </c>
      <c r="AG131">
        <v>188</v>
      </c>
      <c r="AH131">
        <v>2</v>
      </c>
      <c r="AI131">
        <v>59553477</v>
      </c>
      <c r="AJ131">
        <v>132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ROW(Source!A154)</f>
        <v>154</v>
      </c>
      <c r="B132">
        <v>59553478</v>
      </c>
      <c r="C132">
        <v>59553476</v>
      </c>
      <c r="D132">
        <v>57992860</v>
      </c>
      <c r="E132">
        <v>107</v>
      </c>
      <c r="F132">
        <v>1</v>
      </c>
      <c r="G132">
        <v>1</v>
      </c>
      <c r="H132">
        <v>3</v>
      </c>
      <c r="I132" t="s">
        <v>279</v>
      </c>
      <c r="J132" t="s">
        <v>3</v>
      </c>
      <c r="K132" t="s">
        <v>280</v>
      </c>
      <c r="L132">
        <v>1348</v>
      </c>
      <c r="N132">
        <v>1009</v>
      </c>
      <c r="O132" t="s">
        <v>281</v>
      </c>
      <c r="P132" t="s">
        <v>281</v>
      </c>
      <c r="Q132">
        <v>1000</v>
      </c>
      <c r="X132">
        <v>100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s">
        <v>3</v>
      </c>
      <c r="AG132">
        <v>100</v>
      </c>
      <c r="AH132">
        <v>2</v>
      </c>
      <c r="AI132">
        <v>59553478</v>
      </c>
      <c r="AJ132">
        <v>133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Смета по ФСНБ 421+557прРИМ</vt:lpstr>
      <vt:lpstr>1.КС3</vt:lpstr>
      <vt:lpstr>Акт КС-2 по ФСНБ 421+557пр</vt:lpstr>
      <vt:lpstr>Source</vt:lpstr>
      <vt:lpstr>SourceObSm</vt:lpstr>
      <vt:lpstr>SmtRes</vt:lpstr>
      <vt:lpstr>EtalonRes</vt:lpstr>
      <vt:lpstr>SrcKA</vt:lpstr>
      <vt:lpstr>'1.КС3'!Заголовки_для_печати</vt:lpstr>
      <vt:lpstr>'Акт КС-2 по ФСНБ 421+557пр'!Заголовки_для_печати</vt:lpstr>
      <vt:lpstr>'Смета по ФСНБ 421+557прРИМ'!Заголовки_для_печати</vt:lpstr>
      <vt:lpstr>'1.КС3'!Область_печати</vt:lpstr>
      <vt:lpstr>'Акт КС-2 по ФСНБ 421+557пр'!Область_печати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Колобова Марина Викторовна</dc:creator>
  <cp:lastModifiedBy>Гладких Сергей Николаевич</cp:lastModifiedBy>
  <cp:lastPrinted>2026-08-20T07:32:32Z</cp:lastPrinted>
  <dcterms:created xsi:type="dcterms:W3CDTF">2026-08-20T06:51:35Z</dcterms:created>
  <dcterms:modified xsi:type="dcterms:W3CDTF">2026-08-20T12:29:47Z</dcterms:modified>
</cp:coreProperties>
</file>