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Капитальный ремонт\2026г\на 4 млн\костюмерная\"/>
    </mc:Choice>
  </mc:AlternateContent>
  <bookViews>
    <workbookView xWindow="0" yWindow="0" windowWidth="28800" windowHeight="14445"/>
  </bookViews>
  <sheets>
    <sheet name="ЛСР02-01-06" sheetId="7" r:id="rId1"/>
    <sheet name="Source" sheetId="1" r:id="rId2"/>
    <sheet name="SourceObSm" sheetId="2" r:id="rId3"/>
    <sheet name="SmtRes" sheetId="3" r:id="rId4"/>
    <sheet name="EtalonRes" sheetId="4" r:id="rId5"/>
    <sheet name="SrcPoprs" sheetId="5" r:id="rId6"/>
    <sheet name="SrcKA" sheetId="6" r:id="rId7"/>
  </sheets>
  <definedNames>
    <definedName name="_xlnm.Print_Titles" localSheetId="0">'ЛСР02-01-06'!$51:$51</definedName>
    <definedName name="_xlnm.Print_Area" localSheetId="0">'ЛСР02-01-06'!$A$1:$L$317</definedName>
  </definedNames>
  <calcPr calcId="162913" iterate="1"/>
</workbook>
</file>

<file path=xl/calcChain.xml><?xml version="1.0" encoding="utf-8"?>
<calcChain xmlns="http://schemas.openxmlformats.org/spreadsheetml/2006/main">
  <c r="C315" i="7" l="1"/>
  <c r="C312" i="7"/>
  <c r="C43" i="7"/>
  <c r="L306" i="7"/>
  <c r="L305" i="7"/>
  <c r="L296" i="7"/>
  <c r="L295" i="7"/>
  <c r="L289" i="7"/>
  <c r="L288" i="7"/>
  <c r="L284" i="7"/>
  <c r="L272" i="7"/>
  <c r="L271" i="7"/>
  <c r="L270" i="7"/>
  <c r="L269" i="7"/>
  <c r="L268" i="7"/>
  <c r="L267" i="7"/>
  <c r="L264" i="7"/>
  <c r="L263" i="7"/>
  <c r="L261" i="7"/>
  <c r="L258" i="7"/>
  <c r="L253" i="7"/>
  <c r="L252" i="7"/>
  <c r="L251" i="7"/>
  <c r="L246" i="7"/>
  <c r="L245" i="7"/>
  <c r="L238" i="7"/>
  <c r="L237" i="7"/>
  <c r="L233" i="7"/>
  <c r="L218" i="7"/>
  <c r="L217" i="7"/>
  <c r="L213" i="7"/>
  <c r="L196" i="7"/>
  <c r="L195" i="7"/>
  <c r="L192" i="7"/>
  <c r="L191" i="7"/>
  <c r="L189" i="7"/>
  <c r="L188" i="7"/>
  <c r="L182" i="7"/>
  <c r="L181" i="7"/>
  <c r="L177" i="7"/>
  <c r="AT167" i="7"/>
  <c r="AO167" i="7"/>
  <c r="AE167" i="7"/>
  <c r="AD167" i="7"/>
  <c r="G166" i="7"/>
  <c r="E166" i="7"/>
  <c r="G165" i="7"/>
  <c r="E165" i="7"/>
  <c r="BA163" i="7"/>
  <c r="AZ163" i="7"/>
  <c r="AE163" i="7"/>
  <c r="AD163" i="7"/>
  <c r="E163" i="7"/>
  <c r="G163" i="7"/>
  <c r="D163" i="7"/>
  <c r="C163" i="7"/>
  <c r="B163" i="7"/>
  <c r="L161" i="7"/>
  <c r="I161" i="7"/>
  <c r="H161" i="7"/>
  <c r="G161" i="7"/>
  <c r="L160" i="7"/>
  <c r="I160" i="7"/>
  <c r="H160" i="7"/>
  <c r="G160" i="7"/>
  <c r="L159" i="7"/>
  <c r="I159" i="7"/>
  <c r="H159" i="7"/>
  <c r="G159" i="7"/>
  <c r="L158" i="7"/>
  <c r="J158" i="7"/>
  <c r="G158" i="7"/>
  <c r="L157" i="7"/>
  <c r="I157" i="7"/>
  <c r="H157" i="7"/>
  <c r="G157" i="7"/>
  <c r="L155" i="7"/>
  <c r="L154" i="7" s="1"/>
  <c r="J155" i="7"/>
  <c r="G155" i="7"/>
  <c r="E153" i="7"/>
  <c r="G153" i="7"/>
  <c r="D153" i="7"/>
  <c r="C153" i="7"/>
  <c r="AT152" i="7"/>
  <c r="AO152" i="7"/>
  <c r="AE152" i="7"/>
  <c r="AD152" i="7"/>
  <c r="G151" i="7"/>
  <c r="E151" i="7"/>
  <c r="G150" i="7"/>
  <c r="E150" i="7"/>
  <c r="BA148" i="7"/>
  <c r="AZ148" i="7"/>
  <c r="AE148" i="7"/>
  <c r="AD148" i="7"/>
  <c r="K148" i="7"/>
  <c r="E148" i="7"/>
  <c r="G148" i="7"/>
  <c r="D148" i="7"/>
  <c r="C148" i="7"/>
  <c r="B148" i="7"/>
  <c r="L146" i="7"/>
  <c r="I146" i="7"/>
  <c r="H146" i="7"/>
  <c r="G146" i="7"/>
  <c r="F146" i="7"/>
  <c r="L145" i="7"/>
  <c r="I145" i="7"/>
  <c r="H145" i="7"/>
  <c r="G145" i="7"/>
  <c r="F145" i="7"/>
  <c r="L144" i="7"/>
  <c r="I144" i="7"/>
  <c r="H144" i="7"/>
  <c r="G144" i="7"/>
  <c r="F144" i="7"/>
  <c r="L143" i="7"/>
  <c r="J143" i="7"/>
  <c r="G143" i="7"/>
  <c r="F143" i="7"/>
  <c r="L142" i="7"/>
  <c r="I142" i="7"/>
  <c r="H142" i="7"/>
  <c r="G142" i="7"/>
  <c r="F142" i="7"/>
  <c r="L140" i="7"/>
  <c r="L139" i="7" s="1"/>
  <c r="J140" i="7"/>
  <c r="G140" i="7"/>
  <c r="F140" i="7"/>
  <c r="C138" i="7"/>
  <c r="B138" i="7"/>
  <c r="E137" i="7"/>
  <c r="G137" i="7"/>
  <c r="D137" i="7"/>
  <c r="AT136" i="7"/>
  <c r="AR136" i="7"/>
  <c r="AO136" i="7"/>
  <c r="BA136" i="7"/>
  <c r="AZ136" i="7"/>
  <c r="AE136" i="7"/>
  <c r="AD136" i="7"/>
  <c r="L135" i="7"/>
  <c r="K136" i="7" s="1"/>
  <c r="I135" i="7"/>
  <c r="H135" i="7"/>
  <c r="E135" i="7"/>
  <c r="G135" i="7"/>
  <c r="D135" i="7"/>
  <c r="C135" i="7"/>
  <c r="B135" i="7"/>
  <c r="AT134" i="7"/>
  <c r="AR134" i="7"/>
  <c r="AO134" i="7"/>
  <c r="BA134" i="7"/>
  <c r="AZ134" i="7"/>
  <c r="AE134" i="7"/>
  <c r="AD134" i="7"/>
  <c r="C133" i="7"/>
  <c r="B133" i="7"/>
  <c r="L132" i="7"/>
  <c r="K134" i="7" s="1"/>
  <c r="J132" i="7"/>
  <c r="E132" i="7"/>
  <c r="G132" i="7"/>
  <c r="D132" i="7"/>
  <c r="C132" i="7"/>
  <c r="B132" i="7"/>
  <c r="AE131" i="7"/>
  <c r="AD131" i="7"/>
  <c r="G130" i="7"/>
  <c r="E130" i="7"/>
  <c r="G129" i="7"/>
  <c r="E129" i="7"/>
  <c r="BA127" i="7"/>
  <c r="AZ127" i="7"/>
  <c r="AE127" i="7"/>
  <c r="AD127" i="7"/>
  <c r="E127" i="7"/>
  <c r="G127" i="7"/>
  <c r="D127" i="7"/>
  <c r="C127" i="7"/>
  <c r="B127" i="7"/>
  <c r="L125" i="7"/>
  <c r="I125" i="7"/>
  <c r="H125" i="7"/>
  <c r="G125" i="7"/>
  <c r="L124" i="7"/>
  <c r="I124" i="7"/>
  <c r="H124" i="7"/>
  <c r="G124" i="7"/>
  <c r="L123" i="7"/>
  <c r="I123" i="7"/>
  <c r="H123" i="7"/>
  <c r="G123" i="7"/>
  <c r="L121" i="7"/>
  <c r="J121" i="7"/>
  <c r="E121" i="7"/>
  <c r="L120" i="7"/>
  <c r="J120" i="7"/>
  <c r="G120" i="7"/>
  <c r="L119" i="7"/>
  <c r="J119" i="7"/>
  <c r="E119" i="7"/>
  <c r="L118" i="7"/>
  <c r="J118" i="7"/>
  <c r="G118" i="7"/>
  <c r="L115" i="7"/>
  <c r="L114" i="7" s="1"/>
  <c r="J115" i="7"/>
  <c r="G115" i="7"/>
  <c r="E113" i="7"/>
  <c r="G113" i="7"/>
  <c r="D113" i="7"/>
  <c r="C113" i="7"/>
  <c r="AW112" i="7"/>
  <c r="AE112" i="7"/>
  <c r="AD112" i="7"/>
  <c r="G111" i="7"/>
  <c r="E111" i="7"/>
  <c r="G110" i="7"/>
  <c r="E110" i="7"/>
  <c r="L105" i="7"/>
  <c r="AT112" i="7" s="1"/>
  <c r="L107" i="7"/>
  <c r="J107" i="7"/>
  <c r="G107" i="7"/>
  <c r="L106" i="7"/>
  <c r="I106" i="7"/>
  <c r="H106" i="7"/>
  <c r="G106" i="7"/>
  <c r="L103" i="7"/>
  <c r="L102" i="7" s="1"/>
  <c r="AR112" i="7" s="1"/>
  <c r="L109" i="7" s="1"/>
  <c r="J103" i="7"/>
  <c r="G103" i="7"/>
  <c r="E101" i="7"/>
  <c r="G101" i="7"/>
  <c r="D101" i="7"/>
  <c r="C101" i="7"/>
  <c r="AT100" i="7"/>
  <c r="AR100" i="7"/>
  <c r="AO100" i="7"/>
  <c r="BA100" i="7"/>
  <c r="AZ100" i="7"/>
  <c r="AE100" i="7"/>
  <c r="AD100" i="7"/>
  <c r="L99" i="7"/>
  <c r="K100" i="7" s="1"/>
  <c r="I99" i="7"/>
  <c r="H99" i="7"/>
  <c r="E99" i="7"/>
  <c r="G99" i="7"/>
  <c r="D99" i="7"/>
  <c r="C99" i="7"/>
  <c r="B99" i="7"/>
  <c r="AT98" i="7"/>
  <c r="AR98" i="7"/>
  <c r="AO98" i="7"/>
  <c r="BA98" i="7"/>
  <c r="AZ98" i="7"/>
  <c r="AE98" i="7"/>
  <c r="AD98" i="7"/>
  <c r="L97" i="7"/>
  <c r="K98" i="7" s="1"/>
  <c r="I97" i="7"/>
  <c r="H97" i="7"/>
  <c r="E97" i="7"/>
  <c r="G97" i="7"/>
  <c r="D97" i="7"/>
  <c r="C97" i="7"/>
  <c r="B97" i="7"/>
  <c r="AT96" i="7"/>
  <c r="AR96" i="7"/>
  <c r="AO96" i="7"/>
  <c r="BA96" i="7"/>
  <c r="AZ96" i="7"/>
  <c r="AE96" i="7"/>
  <c r="AD96" i="7"/>
  <c r="L95" i="7"/>
  <c r="K96" i="7" s="1"/>
  <c r="I95" i="7"/>
  <c r="H95" i="7"/>
  <c r="E95" i="7"/>
  <c r="G95" i="7"/>
  <c r="D95" i="7"/>
  <c r="C95" i="7"/>
  <c r="B95" i="7"/>
  <c r="AT94" i="7"/>
  <c r="AR94" i="7"/>
  <c r="AO94" i="7"/>
  <c r="BA94" i="7"/>
  <c r="AZ94" i="7"/>
  <c r="AE94" i="7"/>
  <c r="AD94" i="7"/>
  <c r="L93" i="7"/>
  <c r="K94" i="7" s="1"/>
  <c r="I93" i="7"/>
  <c r="H93" i="7"/>
  <c r="E93" i="7"/>
  <c r="G93" i="7"/>
  <c r="D93" i="7"/>
  <c r="C93" i="7"/>
  <c r="B93" i="7"/>
  <c r="AW92" i="7"/>
  <c r="AT92" i="7"/>
  <c r="AO92" i="7"/>
  <c r="AE92" i="7"/>
  <c r="AD92" i="7"/>
  <c r="G91" i="7"/>
  <c r="E91" i="7"/>
  <c r="G90" i="7"/>
  <c r="E90" i="7"/>
  <c r="G87" i="7"/>
  <c r="E87" i="7"/>
  <c r="D87" i="7"/>
  <c r="C87" i="7"/>
  <c r="B87" i="7"/>
  <c r="L86" i="7"/>
  <c r="L85" i="7" s="1"/>
  <c r="J86" i="7"/>
  <c r="G86" i="7"/>
  <c r="E84" i="7"/>
  <c r="G84" i="7"/>
  <c r="D84" i="7"/>
  <c r="C84" i="7"/>
  <c r="AT83" i="7"/>
  <c r="AR83" i="7"/>
  <c r="AO83" i="7"/>
  <c r="BA83" i="7"/>
  <c r="AZ83" i="7"/>
  <c r="AE83" i="7"/>
  <c r="AD83" i="7"/>
  <c r="L82" i="7"/>
  <c r="I82" i="7"/>
  <c r="H82" i="7"/>
  <c r="E82" i="7"/>
  <c r="G82" i="7"/>
  <c r="D82" i="7"/>
  <c r="C82" i="7"/>
  <c r="B82" i="7"/>
  <c r="AW81" i="7"/>
  <c r="AE81" i="7"/>
  <c r="AD81" i="7"/>
  <c r="G80" i="7"/>
  <c r="E80" i="7"/>
  <c r="G79" i="7"/>
  <c r="E79" i="7"/>
  <c r="BA77" i="7"/>
  <c r="AZ77" i="7"/>
  <c r="AE77" i="7"/>
  <c r="AD77" i="7"/>
  <c r="E77" i="7"/>
  <c r="G77" i="7"/>
  <c r="D77" i="7"/>
  <c r="C77" i="7"/>
  <c r="B77" i="7"/>
  <c r="L75" i="7"/>
  <c r="L73" i="7" s="1"/>
  <c r="J75" i="7"/>
  <c r="E75" i="7"/>
  <c r="L74" i="7"/>
  <c r="J74" i="7"/>
  <c r="G74" i="7"/>
  <c r="L71" i="7"/>
  <c r="J71" i="7"/>
  <c r="G71" i="7"/>
  <c r="F71" i="7"/>
  <c r="L70" i="7"/>
  <c r="L69" i="7" s="1"/>
  <c r="J70" i="7"/>
  <c r="G70" i="7"/>
  <c r="F70" i="7"/>
  <c r="C68" i="7"/>
  <c r="B68" i="7"/>
  <c r="E67" i="7"/>
  <c r="G67" i="7"/>
  <c r="D67" i="7"/>
  <c r="AW66" i="7"/>
  <c r="AE66" i="7"/>
  <c r="AD66" i="7"/>
  <c r="G65" i="7"/>
  <c r="E65" i="7"/>
  <c r="G64" i="7"/>
  <c r="E64" i="7"/>
  <c r="L61" i="7"/>
  <c r="L59" i="7" s="1"/>
  <c r="J61" i="7"/>
  <c r="E61" i="7"/>
  <c r="G61" i="7" s="1"/>
  <c r="L60" i="7"/>
  <c r="I60" i="7"/>
  <c r="H60" i="7"/>
  <c r="G60" i="7"/>
  <c r="L57" i="7"/>
  <c r="L56" i="7" s="1"/>
  <c r="J57" i="7"/>
  <c r="G57" i="7"/>
  <c r="E55" i="7"/>
  <c r="G55" i="7"/>
  <c r="D55" i="7"/>
  <c r="C55" i="7"/>
  <c r="A25" i="7"/>
  <c r="CO6" i="7"/>
  <c r="F6" i="7"/>
  <c r="CO4" i="7"/>
  <c r="F4" i="7"/>
  <c r="A1" i="7"/>
  <c r="L216" i="7" l="1"/>
  <c r="L243" i="7"/>
  <c r="G75" i="7"/>
  <c r="AN94" i="7"/>
  <c r="AW94" i="7"/>
  <c r="J95" i="7"/>
  <c r="J60" i="7"/>
  <c r="I96" i="7"/>
  <c r="J97" i="7"/>
  <c r="I98" i="7"/>
  <c r="I100" i="7"/>
  <c r="G121" i="7"/>
  <c r="J124" i="7"/>
  <c r="J125" i="7"/>
  <c r="I136" i="7"/>
  <c r="J142" i="7"/>
  <c r="L141" i="7"/>
  <c r="AW152" i="7" s="1"/>
  <c r="J145" i="7"/>
  <c r="AN96" i="7"/>
  <c r="AW96" i="7"/>
  <c r="I134" i="7"/>
  <c r="J82" i="7"/>
  <c r="J93" i="7"/>
  <c r="I94" i="7"/>
  <c r="AN98" i="7"/>
  <c r="AW98" i="7"/>
  <c r="J99" i="7"/>
  <c r="AN100" i="7"/>
  <c r="AW100" i="7"/>
  <c r="L104" i="7"/>
  <c r="AO112" i="7" s="1"/>
  <c r="AN134" i="7"/>
  <c r="AW134" i="7"/>
  <c r="J135" i="7"/>
  <c r="AN136" i="7"/>
  <c r="AW136" i="7"/>
  <c r="J144" i="7"/>
  <c r="J146" i="7"/>
  <c r="J159" i="7"/>
  <c r="J160" i="7"/>
  <c r="L259" i="7"/>
  <c r="AR66" i="7"/>
  <c r="L58" i="7"/>
  <c r="AO66" i="7" s="1"/>
  <c r="AT66" i="7"/>
  <c r="AR81" i="7"/>
  <c r="AT81" i="7"/>
  <c r="L72" i="7"/>
  <c r="AO81" i="7" s="1"/>
  <c r="AW83" i="7"/>
  <c r="AN83" i="7"/>
  <c r="L214" i="7"/>
  <c r="K83" i="7"/>
  <c r="I83" i="7" s="1"/>
  <c r="AR92" i="7"/>
  <c r="L89" i="7" s="1"/>
  <c r="L88" i="7"/>
  <c r="J106" i="7"/>
  <c r="AR131" i="7"/>
  <c r="G119" i="7"/>
  <c r="L117" i="7"/>
  <c r="J123" i="7"/>
  <c r="L122" i="7"/>
  <c r="AW131" i="7" s="1"/>
  <c r="AR152" i="7"/>
  <c r="L149" i="7" s="1"/>
  <c r="L147" i="7"/>
  <c r="AR167" i="7"/>
  <c r="L164" i="7" s="1"/>
  <c r="J157" i="7"/>
  <c r="L156" i="7"/>
  <c r="J161" i="7"/>
  <c r="L186" i="7"/>
  <c r="L265" i="7"/>
  <c r="L293" i="7"/>
  <c r="A1" i="4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1" i="3"/>
  <c r="Y1" i="3"/>
  <c r="CY1" i="3"/>
  <c r="CZ1" i="3"/>
  <c r="DA1" i="3"/>
  <c r="DB1" i="3"/>
  <c r="DC1" i="3"/>
  <c r="A2" i="3"/>
  <c r="Y2" i="3"/>
  <c r="CY2" i="3"/>
  <c r="CZ2" i="3"/>
  <c r="DA2" i="3"/>
  <c r="DB2" i="3"/>
  <c r="DC2" i="3"/>
  <c r="A3" i="3"/>
  <c r="Y3" i="3"/>
  <c r="CY3" i="3"/>
  <c r="CZ3" i="3"/>
  <c r="DA3" i="3"/>
  <c r="DB3" i="3"/>
  <c r="DC3" i="3"/>
  <c r="A4" i="3"/>
  <c r="Y4" i="3"/>
  <c r="CY4" i="3"/>
  <c r="CZ4" i="3"/>
  <c r="DA4" i="3"/>
  <c r="DB4" i="3"/>
  <c r="DC4" i="3"/>
  <c r="A5" i="3"/>
  <c r="Y5" i="3"/>
  <c r="CY5" i="3"/>
  <c r="CZ5" i="3"/>
  <c r="DA5" i="3"/>
  <c r="DB5" i="3"/>
  <c r="DC5" i="3"/>
  <c r="A6" i="3"/>
  <c r="Y6" i="3"/>
  <c r="CY6" i="3"/>
  <c r="CZ6" i="3"/>
  <c r="DA6" i="3"/>
  <c r="DB6" i="3"/>
  <c r="DC6" i="3"/>
  <c r="A7" i="3"/>
  <c r="Y7" i="3"/>
  <c r="CY7" i="3"/>
  <c r="CZ7" i="3"/>
  <c r="DA7" i="3"/>
  <c r="DB7" i="3"/>
  <c r="DC7" i="3"/>
  <c r="A8" i="3"/>
  <c r="Y8" i="3"/>
  <c r="CY8" i="3"/>
  <c r="CZ8" i="3"/>
  <c r="DA8" i="3"/>
  <c r="DB8" i="3"/>
  <c r="DC8" i="3"/>
  <c r="A9" i="3"/>
  <c r="Y9" i="3"/>
  <c r="CY9" i="3"/>
  <c r="CZ9" i="3"/>
  <c r="DA9" i="3"/>
  <c r="DB9" i="3"/>
  <c r="DC9" i="3"/>
  <c r="A10" i="3"/>
  <c r="Y10" i="3"/>
  <c r="CY10" i="3"/>
  <c r="CZ10" i="3"/>
  <c r="DA10" i="3"/>
  <c r="DB10" i="3"/>
  <c r="DC10" i="3"/>
  <c r="A11" i="3"/>
  <c r="Y11" i="3"/>
  <c r="CY11" i="3"/>
  <c r="CZ11" i="3"/>
  <c r="DA11" i="3"/>
  <c r="DB11" i="3"/>
  <c r="DC11" i="3"/>
  <c r="A12" i="3"/>
  <c r="Y12" i="3"/>
  <c r="CY12" i="3"/>
  <c r="CZ12" i="3"/>
  <c r="DA12" i="3"/>
  <c r="DB12" i="3"/>
  <c r="DC12" i="3"/>
  <c r="A13" i="3"/>
  <c r="Y13" i="3"/>
  <c r="CY13" i="3"/>
  <c r="CZ13" i="3"/>
  <c r="DA13" i="3"/>
  <c r="DB13" i="3"/>
  <c r="DC13" i="3"/>
  <c r="A14" i="3"/>
  <c r="Y14" i="3"/>
  <c r="CY14" i="3"/>
  <c r="CZ14" i="3"/>
  <c r="DA14" i="3"/>
  <c r="DB14" i="3"/>
  <c r="DC14" i="3"/>
  <c r="A15" i="3"/>
  <c r="Y15" i="3"/>
  <c r="CY15" i="3"/>
  <c r="CZ15" i="3"/>
  <c r="DA15" i="3"/>
  <c r="DB15" i="3"/>
  <c r="DC15" i="3"/>
  <c r="A16" i="3"/>
  <c r="Y16" i="3"/>
  <c r="CY16" i="3"/>
  <c r="CZ16" i="3"/>
  <c r="DA16" i="3"/>
  <c r="DB16" i="3"/>
  <c r="DC16" i="3"/>
  <c r="A17" i="3"/>
  <c r="Y17" i="3"/>
  <c r="CY17" i="3"/>
  <c r="CZ17" i="3"/>
  <c r="DA17" i="3"/>
  <c r="DB17" i="3"/>
  <c r="DC17" i="3"/>
  <c r="A18" i="3"/>
  <c r="Y18" i="3"/>
  <c r="CY18" i="3"/>
  <c r="CZ18" i="3"/>
  <c r="DA18" i="3"/>
  <c r="DB18" i="3"/>
  <c r="DC18" i="3"/>
  <c r="A19" i="3"/>
  <c r="Y19" i="3"/>
  <c r="CY19" i="3"/>
  <c r="CZ19" i="3"/>
  <c r="DA19" i="3"/>
  <c r="DB19" i="3"/>
  <c r="DC19" i="3"/>
  <c r="A20" i="3"/>
  <c r="Y20" i="3"/>
  <c r="CY20" i="3"/>
  <c r="CZ20" i="3"/>
  <c r="DA20" i="3"/>
  <c r="DB20" i="3"/>
  <c r="DC20" i="3"/>
  <c r="A21" i="3"/>
  <c r="Y21" i="3"/>
  <c r="CY21" i="3"/>
  <c r="CZ21" i="3"/>
  <c r="DA21" i="3"/>
  <c r="DB21" i="3"/>
  <c r="DC21" i="3"/>
  <c r="A22" i="3"/>
  <c r="Y22" i="3"/>
  <c r="CY22" i="3"/>
  <c r="CZ22" i="3"/>
  <c r="DA22" i="3"/>
  <c r="DB22" i="3"/>
  <c r="DC22" i="3"/>
  <c r="A23" i="3"/>
  <c r="Y23" i="3"/>
  <c r="CY23" i="3"/>
  <c r="CZ23" i="3"/>
  <c r="DA23" i="3"/>
  <c r="DB23" i="3"/>
  <c r="DC23" i="3"/>
  <c r="A24" i="3"/>
  <c r="Y24" i="3"/>
  <c r="CY24" i="3"/>
  <c r="CZ24" i="3"/>
  <c r="DA24" i="3"/>
  <c r="DB24" i="3"/>
  <c r="DC24" i="3"/>
  <c r="A25" i="3"/>
  <c r="Y25" i="3"/>
  <c r="CY25" i="3"/>
  <c r="CZ25" i="3"/>
  <c r="DA25" i="3"/>
  <c r="DB25" i="3"/>
  <c r="DC25" i="3"/>
  <c r="A26" i="3"/>
  <c r="Y26" i="3"/>
  <c r="CY26" i="3"/>
  <c r="CZ26" i="3"/>
  <c r="DA26" i="3"/>
  <c r="DB26" i="3"/>
  <c r="DC26" i="3"/>
  <c r="A27" i="3"/>
  <c r="Y27" i="3"/>
  <c r="CY27" i="3"/>
  <c r="CZ27" i="3"/>
  <c r="DA27" i="3"/>
  <c r="DB27" i="3"/>
  <c r="DC27" i="3"/>
  <c r="A28" i="3"/>
  <c r="Y28" i="3"/>
  <c r="CY28" i="3"/>
  <c r="CZ28" i="3"/>
  <c r="DA28" i="3"/>
  <c r="DB28" i="3"/>
  <c r="DC28" i="3"/>
  <c r="A29" i="3"/>
  <c r="Y29" i="3"/>
  <c r="CY29" i="3"/>
  <c r="CZ29" i="3"/>
  <c r="DA29" i="3"/>
  <c r="DB29" i="3"/>
  <c r="DC29" i="3"/>
  <c r="A30" i="3"/>
  <c r="Y30" i="3"/>
  <c r="CY30" i="3"/>
  <c r="CZ30" i="3"/>
  <c r="DA30" i="3"/>
  <c r="DB30" i="3"/>
  <c r="DC30" i="3"/>
  <c r="A31" i="3"/>
  <c r="Y31" i="3"/>
  <c r="CY31" i="3"/>
  <c r="CZ31" i="3"/>
  <c r="DA31" i="3"/>
  <c r="DB31" i="3"/>
  <c r="DC31" i="3"/>
  <c r="A32" i="3"/>
  <c r="Y32" i="3"/>
  <c r="CY32" i="3"/>
  <c r="CZ32" i="3"/>
  <c r="DA32" i="3"/>
  <c r="DB32" i="3"/>
  <c r="DC32" i="3"/>
  <c r="A33" i="3"/>
  <c r="Y33" i="3"/>
  <c r="CY33" i="3"/>
  <c r="CZ33" i="3"/>
  <c r="DA33" i="3"/>
  <c r="DB33" i="3"/>
  <c r="DC33" i="3"/>
  <c r="A34" i="3"/>
  <c r="Y34" i="3"/>
  <c r="CY34" i="3"/>
  <c r="CZ34" i="3"/>
  <c r="DA34" i="3"/>
  <c r="DB34" i="3"/>
  <c r="DC34" i="3"/>
  <c r="D12" i="1"/>
  <c r="E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D20" i="1"/>
  <c r="E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D24" i="1"/>
  <c r="E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EE26" i="1"/>
  <c r="EF26" i="1"/>
  <c r="EG26" i="1"/>
  <c r="EH26" i="1"/>
  <c r="EI26" i="1"/>
  <c r="EJ26" i="1"/>
  <c r="EK26" i="1"/>
  <c r="EL26" i="1"/>
  <c r="EM26" i="1"/>
  <c r="EN26" i="1"/>
  <c r="EO26" i="1"/>
  <c r="EP26" i="1"/>
  <c r="EQ26" i="1"/>
  <c r="ER26" i="1"/>
  <c r="ES26" i="1"/>
  <c r="ET26" i="1"/>
  <c r="EU26" i="1"/>
  <c r="EV26" i="1"/>
  <c r="EW26" i="1"/>
  <c r="EX26" i="1"/>
  <c r="EY26" i="1"/>
  <c r="EZ26" i="1"/>
  <c r="FA26" i="1"/>
  <c r="FB26" i="1"/>
  <c r="FC26" i="1"/>
  <c r="FD26" i="1"/>
  <c r="FE26" i="1"/>
  <c r="FF26" i="1"/>
  <c r="FG26" i="1"/>
  <c r="FH26" i="1"/>
  <c r="FI26" i="1"/>
  <c r="FJ26" i="1"/>
  <c r="FK26" i="1"/>
  <c r="FL26" i="1"/>
  <c r="FM26" i="1"/>
  <c r="FN26" i="1"/>
  <c r="FO26" i="1"/>
  <c r="FP26" i="1"/>
  <c r="FQ26" i="1"/>
  <c r="FR26" i="1"/>
  <c r="FS26" i="1"/>
  <c r="FT26" i="1"/>
  <c r="FU26" i="1"/>
  <c r="FV26" i="1"/>
  <c r="FW26" i="1"/>
  <c r="FX26" i="1"/>
  <c r="FY26" i="1"/>
  <c r="FZ26" i="1"/>
  <c r="GA26" i="1"/>
  <c r="GB26" i="1"/>
  <c r="GC26" i="1"/>
  <c r="GD26" i="1"/>
  <c r="GE26" i="1"/>
  <c r="GF26" i="1"/>
  <c r="GG26" i="1"/>
  <c r="GH26" i="1"/>
  <c r="GI26" i="1"/>
  <c r="GJ26" i="1"/>
  <c r="GK26" i="1"/>
  <c r="GL26" i="1"/>
  <c r="GM26" i="1"/>
  <c r="GN26" i="1"/>
  <c r="GO26" i="1"/>
  <c r="GP26" i="1"/>
  <c r="GQ26" i="1"/>
  <c r="GR26" i="1"/>
  <c r="GS26" i="1"/>
  <c r="GT26" i="1"/>
  <c r="GU26" i="1"/>
  <c r="GV26" i="1"/>
  <c r="GW26" i="1"/>
  <c r="GX26" i="1"/>
  <c r="B28" i="1"/>
  <c r="B26" i="1" s="1"/>
  <c r="C28" i="1"/>
  <c r="C26" i="1" s="1"/>
  <c r="D28" i="1"/>
  <c r="D26" i="1" s="1"/>
  <c r="F28" i="1"/>
  <c r="F26" i="1" s="1"/>
  <c r="G28" i="1"/>
  <c r="G26" i="1" s="1"/>
  <c r="O28" i="1"/>
  <c r="O26" i="1" s="1"/>
  <c r="P28" i="1"/>
  <c r="P26" i="1" s="1"/>
  <c r="Q28" i="1"/>
  <c r="Q26" i="1" s="1"/>
  <c r="R28" i="1"/>
  <c r="R26" i="1" s="1"/>
  <c r="S28" i="1"/>
  <c r="S26" i="1" s="1"/>
  <c r="T28" i="1"/>
  <c r="T26" i="1" s="1"/>
  <c r="U28" i="1"/>
  <c r="U26" i="1" s="1"/>
  <c r="V28" i="1"/>
  <c r="V26" i="1" s="1"/>
  <c r="W28" i="1"/>
  <c r="W26" i="1" s="1"/>
  <c r="X28" i="1"/>
  <c r="X26" i="1" s="1"/>
  <c r="Y28" i="1"/>
  <c r="Y26" i="1" s="1"/>
  <c r="AO28" i="1"/>
  <c r="AO26" i="1" s="1"/>
  <c r="AP28" i="1"/>
  <c r="AP26" i="1" s="1"/>
  <c r="AQ28" i="1"/>
  <c r="AQ26" i="1" s="1"/>
  <c r="AR28" i="1"/>
  <c r="AR26" i="1" s="1"/>
  <c r="AS28" i="1"/>
  <c r="AS26" i="1" s="1"/>
  <c r="AT28" i="1"/>
  <c r="AT26" i="1" s="1"/>
  <c r="AU28" i="1"/>
  <c r="AU26" i="1" s="1"/>
  <c r="AV28" i="1"/>
  <c r="AV26" i="1" s="1"/>
  <c r="AW28" i="1"/>
  <c r="AW26" i="1" s="1"/>
  <c r="AX28" i="1"/>
  <c r="AX26" i="1" s="1"/>
  <c r="AY28" i="1"/>
  <c r="AY26" i="1" s="1"/>
  <c r="AZ28" i="1"/>
  <c r="AZ26" i="1" s="1"/>
  <c r="BA28" i="1"/>
  <c r="BA26" i="1" s="1"/>
  <c r="BB28" i="1"/>
  <c r="BB26" i="1" s="1"/>
  <c r="BC28" i="1"/>
  <c r="BC26" i="1" s="1"/>
  <c r="BD28" i="1"/>
  <c r="BD26" i="1" s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D58" i="1"/>
  <c r="E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BE60" i="1"/>
  <c r="BF60" i="1"/>
  <c r="BG60" i="1"/>
  <c r="BH60" i="1"/>
  <c r="BI60" i="1"/>
  <c r="BJ60" i="1"/>
  <c r="BK60" i="1"/>
  <c r="BL60" i="1"/>
  <c r="BM60" i="1"/>
  <c r="BN60" i="1"/>
  <c r="BO60" i="1"/>
  <c r="BP60" i="1"/>
  <c r="BQ60" i="1"/>
  <c r="BR60" i="1"/>
  <c r="BS60" i="1"/>
  <c r="BT60" i="1"/>
  <c r="BU60" i="1"/>
  <c r="BV60" i="1"/>
  <c r="BW60" i="1"/>
  <c r="BX60" i="1"/>
  <c r="BY60" i="1"/>
  <c r="BZ60" i="1"/>
  <c r="CA60" i="1"/>
  <c r="CB60" i="1"/>
  <c r="CC60" i="1"/>
  <c r="CD60" i="1"/>
  <c r="CE60" i="1"/>
  <c r="CF60" i="1"/>
  <c r="CG60" i="1"/>
  <c r="CH60" i="1"/>
  <c r="CI60" i="1"/>
  <c r="CJ60" i="1"/>
  <c r="CK60" i="1"/>
  <c r="CL60" i="1"/>
  <c r="CM60" i="1"/>
  <c r="CN60" i="1"/>
  <c r="CO60" i="1"/>
  <c r="CP60" i="1"/>
  <c r="CQ60" i="1"/>
  <c r="CR60" i="1"/>
  <c r="CS60" i="1"/>
  <c r="CT60" i="1"/>
  <c r="CU60" i="1"/>
  <c r="CV60" i="1"/>
  <c r="CW60" i="1"/>
  <c r="CX60" i="1"/>
  <c r="CY60" i="1"/>
  <c r="CZ60" i="1"/>
  <c r="DA60" i="1"/>
  <c r="DB60" i="1"/>
  <c r="DC60" i="1"/>
  <c r="DD60" i="1"/>
  <c r="DE60" i="1"/>
  <c r="DF60" i="1"/>
  <c r="DG60" i="1"/>
  <c r="DH60" i="1"/>
  <c r="DI60" i="1"/>
  <c r="DJ60" i="1"/>
  <c r="DK60" i="1"/>
  <c r="DL60" i="1"/>
  <c r="DM60" i="1"/>
  <c r="DN60" i="1"/>
  <c r="DO60" i="1"/>
  <c r="DP60" i="1"/>
  <c r="DQ60" i="1"/>
  <c r="DR60" i="1"/>
  <c r="DS60" i="1"/>
  <c r="DT60" i="1"/>
  <c r="DU60" i="1"/>
  <c r="DV60" i="1"/>
  <c r="DW60" i="1"/>
  <c r="DX60" i="1"/>
  <c r="DY60" i="1"/>
  <c r="DZ60" i="1"/>
  <c r="EA60" i="1"/>
  <c r="EB60" i="1"/>
  <c r="EC60" i="1"/>
  <c r="ED60" i="1"/>
  <c r="EE60" i="1"/>
  <c r="EF60" i="1"/>
  <c r="EG60" i="1"/>
  <c r="EH60" i="1"/>
  <c r="EI60" i="1"/>
  <c r="EJ60" i="1"/>
  <c r="EK60" i="1"/>
  <c r="EL60" i="1"/>
  <c r="EM60" i="1"/>
  <c r="EN60" i="1"/>
  <c r="EO60" i="1"/>
  <c r="EP60" i="1"/>
  <c r="EQ60" i="1"/>
  <c r="ER60" i="1"/>
  <c r="ES60" i="1"/>
  <c r="ET60" i="1"/>
  <c r="EU60" i="1"/>
  <c r="EV60" i="1"/>
  <c r="EW60" i="1"/>
  <c r="EX60" i="1"/>
  <c r="EY60" i="1"/>
  <c r="EZ60" i="1"/>
  <c r="FA60" i="1"/>
  <c r="FB60" i="1"/>
  <c r="FC60" i="1"/>
  <c r="FD60" i="1"/>
  <c r="FE60" i="1"/>
  <c r="FF60" i="1"/>
  <c r="FG60" i="1"/>
  <c r="FH60" i="1"/>
  <c r="FI60" i="1"/>
  <c r="FJ60" i="1"/>
  <c r="FK60" i="1"/>
  <c r="FL60" i="1"/>
  <c r="FM60" i="1"/>
  <c r="FN60" i="1"/>
  <c r="FO60" i="1"/>
  <c r="FP60" i="1"/>
  <c r="FQ60" i="1"/>
  <c r="FR60" i="1"/>
  <c r="FS60" i="1"/>
  <c r="FT60" i="1"/>
  <c r="FU60" i="1"/>
  <c r="FV60" i="1"/>
  <c r="FW60" i="1"/>
  <c r="FX60" i="1"/>
  <c r="FY60" i="1"/>
  <c r="FZ60" i="1"/>
  <c r="GA60" i="1"/>
  <c r="GB60" i="1"/>
  <c r="GC60" i="1"/>
  <c r="GD60" i="1"/>
  <c r="GE60" i="1"/>
  <c r="GF60" i="1"/>
  <c r="GG60" i="1"/>
  <c r="GH60" i="1"/>
  <c r="GI60" i="1"/>
  <c r="GJ60" i="1"/>
  <c r="GK60" i="1"/>
  <c r="GL60" i="1"/>
  <c r="GM60" i="1"/>
  <c r="GN60" i="1"/>
  <c r="GO60" i="1"/>
  <c r="GP60" i="1"/>
  <c r="GQ60" i="1"/>
  <c r="GR60" i="1"/>
  <c r="GS60" i="1"/>
  <c r="GT60" i="1"/>
  <c r="GU60" i="1"/>
  <c r="GV60" i="1"/>
  <c r="GW60" i="1"/>
  <c r="GX60" i="1"/>
  <c r="B62" i="1"/>
  <c r="B60" i="1" s="1"/>
  <c r="C62" i="1"/>
  <c r="C60" i="1" s="1"/>
  <c r="D62" i="1"/>
  <c r="D60" i="1" s="1"/>
  <c r="F62" i="1"/>
  <c r="F60" i="1" s="1"/>
  <c r="G62" i="1"/>
  <c r="G60" i="1" s="1"/>
  <c r="O62" i="1"/>
  <c r="O60" i="1" s="1"/>
  <c r="P62" i="1"/>
  <c r="P60" i="1" s="1"/>
  <c r="Q62" i="1"/>
  <c r="Q60" i="1" s="1"/>
  <c r="R62" i="1"/>
  <c r="R60" i="1" s="1"/>
  <c r="S62" i="1"/>
  <c r="S60" i="1" s="1"/>
  <c r="T62" i="1"/>
  <c r="T60" i="1" s="1"/>
  <c r="U62" i="1"/>
  <c r="U60" i="1" s="1"/>
  <c r="V62" i="1"/>
  <c r="V60" i="1" s="1"/>
  <c r="W62" i="1"/>
  <c r="W60" i="1" s="1"/>
  <c r="X62" i="1"/>
  <c r="X60" i="1" s="1"/>
  <c r="Y62" i="1"/>
  <c r="Y60" i="1" s="1"/>
  <c r="AO62" i="1"/>
  <c r="AO60" i="1" s="1"/>
  <c r="AP62" i="1"/>
  <c r="AP60" i="1" s="1"/>
  <c r="AQ62" i="1"/>
  <c r="AQ60" i="1" s="1"/>
  <c r="AR62" i="1"/>
  <c r="AR60" i="1" s="1"/>
  <c r="AS62" i="1"/>
  <c r="AS60" i="1" s="1"/>
  <c r="AT62" i="1"/>
  <c r="AT60" i="1" s="1"/>
  <c r="AU62" i="1"/>
  <c r="AU60" i="1" s="1"/>
  <c r="AV62" i="1"/>
  <c r="AV60" i="1" s="1"/>
  <c r="AW62" i="1"/>
  <c r="AW60" i="1" s="1"/>
  <c r="AX62" i="1"/>
  <c r="AX60" i="1" s="1"/>
  <c r="AY62" i="1"/>
  <c r="AY60" i="1" s="1"/>
  <c r="AZ62" i="1"/>
  <c r="AZ60" i="1" s="1"/>
  <c r="BA62" i="1"/>
  <c r="BA60" i="1" s="1"/>
  <c r="BB62" i="1"/>
  <c r="BB60" i="1" s="1"/>
  <c r="BC62" i="1"/>
  <c r="BC60" i="1" s="1"/>
  <c r="BD62" i="1"/>
  <c r="BD60" i="1" s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D92" i="1"/>
  <c r="E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BE94" i="1"/>
  <c r="BF94" i="1"/>
  <c r="BG94" i="1"/>
  <c r="BH94" i="1"/>
  <c r="BI94" i="1"/>
  <c r="BJ94" i="1"/>
  <c r="BK94" i="1"/>
  <c r="BL94" i="1"/>
  <c r="BM94" i="1"/>
  <c r="BN94" i="1"/>
  <c r="BO94" i="1"/>
  <c r="BP94" i="1"/>
  <c r="BQ94" i="1"/>
  <c r="BR94" i="1"/>
  <c r="BS94" i="1"/>
  <c r="BT94" i="1"/>
  <c r="BU94" i="1"/>
  <c r="BV94" i="1"/>
  <c r="BW94" i="1"/>
  <c r="BX94" i="1"/>
  <c r="BY94" i="1"/>
  <c r="BZ94" i="1"/>
  <c r="CA94" i="1"/>
  <c r="CB94" i="1"/>
  <c r="CC94" i="1"/>
  <c r="CD94" i="1"/>
  <c r="CE94" i="1"/>
  <c r="CF94" i="1"/>
  <c r="CG94" i="1"/>
  <c r="CH94" i="1"/>
  <c r="CI94" i="1"/>
  <c r="CJ94" i="1"/>
  <c r="CK94" i="1"/>
  <c r="CL94" i="1"/>
  <c r="CM94" i="1"/>
  <c r="CN94" i="1"/>
  <c r="CO94" i="1"/>
  <c r="CP94" i="1"/>
  <c r="CQ94" i="1"/>
  <c r="CR94" i="1"/>
  <c r="CS94" i="1"/>
  <c r="CT94" i="1"/>
  <c r="CU94" i="1"/>
  <c r="CV94" i="1"/>
  <c r="CW94" i="1"/>
  <c r="CX94" i="1"/>
  <c r="CY94" i="1"/>
  <c r="CZ94" i="1"/>
  <c r="DA94" i="1"/>
  <c r="DB94" i="1"/>
  <c r="DC94" i="1"/>
  <c r="DD94" i="1"/>
  <c r="DE94" i="1"/>
  <c r="DF94" i="1"/>
  <c r="DG94" i="1"/>
  <c r="DH94" i="1"/>
  <c r="DI94" i="1"/>
  <c r="DJ94" i="1"/>
  <c r="DK94" i="1"/>
  <c r="DL94" i="1"/>
  <c r="DM94" i="1"/>
  <c r="DN94" i="1"/>
  <c r="DO94" i="1"/>
  <c r="DP94" i="1"/>
  <c r="DQ94" i="1"/>
  <c r="DR94" i="1"/>
  <c r="DS94" i="1"/>
  <c r="DT94" i="1"/>
  <c r="DU94" i="1"/>
  <c r="DV94" i="1"/>
  <c r="DW94" i="1"/>
  <c r="DX94" i="1"/>
  <c r="DY94" i="1"/>
  <c r="DZ94" i="1"/>
  <c r="EA94" i="1"/>
  <c r="EB94" i="1"/>
  <c r="EC94" i="1"/>
  <c r="ED94" i="1"/>
  <c r="EE94" i="1"/>
  <c r="EF94" i="1"/>
  <c r="EG94" i="1"/>
  <c r="EH94" i="1"/>
  <c r="EI94" i="1"/>
  <c r="EJ94" i="1"/>
  <c r="EK94" i="1"/>
  <c r="EL94" i="1"/>
  <c r="EM94" i="1"/>
  <c r="EN94" i="1"/>
  <c r="EO94" i="1"/>
  <c r="EP94" i="1"/>
  <c r="EQ94" i="1"/>
  <c r="ER94" i="1"/>
  <c r="ES94" i="1"/>
  <c r="ET94" i="1"/>
  <c r="EU94" i="1"/>
  <c r="EV94" i="1"/>
  <c r="EW94" i="1"/>
  <c r="EX94" i="1"/>
  <c r="EY94" i="1"/>
  <c r="EZ94" i="1"/>
  <c r="FA94" i="1"/>
  <c r="FB94" i="1"/>
  <c r="FC94" i="1"/>
  <c r="FD94" i="1"/>
  <c r="FE94" i="1"/>
  <c r="FF94" i="1"/>
  <c r="FG94" i="1"/>
  <c r="FH94" i="1"/>
  <c r="FI94" i="1"/>
  <c r="FJ94" i="1"/>
  <c r="FK94" i="1"/>
  <c r="FL94" i="1"/>
  <c r="FM94" i="1"/>
  <c r="FN94" i="1"/>
  <c r="FO94" i="1"/>
  <c r="FP94" i="1"/>
  <c r="FQ94" i="1"/>
  <c r="FR94" i="1"/>
  <c r="FS94" i="1"/>
  <c r="FT94" i="1"/>
  <c r="FU94" i="1"/>
  <c r="FV94" i="1"/>
  <c r="FW94" i="1"/>
  <c r="FX94" i="1"/>
  <c r="FY94" i="1"/>
  <c r="FZ94" i="1"/>
  <c r="GA94" i="1"/>
  <c r="GB94" i="1"/>
  <c r="GC94" i="1"/>
  <c r="GD94" i="1"/>
  <c r="GE94" i="1"/>
  <c r="GF94" i="1"/>
  <c r="GG94" i="1"/>
  <c r="GH94" i="1"/>
  <c r="GI94" i="1"/>
  <c r="GJ94" i="1"/>
  <c r="GK94" i="1"/>
  <c r="GL94" i="1"/>
  <c r="GM94" i="1"/>
  <c r="GN94" i="1"/>
  <c r="GO94" i="1"/>
  <c r="GP94" i="1"/>
  <c r="GQ94" i="1"/>
  <c r="GR94" i="1"/>
  <c r="GS94" i="1"/>
  <c r="GT94" i="1"/>
  <c r="GU94" i="1"/>
  <c r="GV94" i="1"/>
  <c r="GW94" i="1"/>
  <c r="GX94" i="1"/>
  <c r="B96" i="1"/>
  <c r="B94" i="1" s="1"/>
  <c r="C96" i="1"/>
  <c r="C94" i="1" s="1"/>
  <c r="D96" i="1"/>
  <c r="D94" i="1" s="1"/>
  <c r="F96" i="1"/>
  <c r="F94" i="1" s="1"/>
  <c r="G96" i="1"/>
  <c r="G94" i="1" s="1"/>
  <c r="O96" i="1"/>
  <c r="O94" i="1" s="1"/>
  <c r="P96" i="1"/>
  <c r="P94" i="1" s="1"/>
  <c r="Q96" i="1"/>
  <c r="Q94" i="1" s="1"/>
  <c r="R96" i="1"/>
  <c r="R94" i="1" s="1"/>
  <c r="S96" i="1"/>
  <c r="S94" i="1" s="1"/>
  <c r="T96" i="1"/>
  <c r="T94" i="1" s="1"/>
  <c r="U96" i="1"/>
  <c r="U94" i="1" s="1"/>
  <c r="V96" i="1"/>
  <c r="V94" i="1" s="1"/>
  <c r="W96" i="1"/>
  <c r="W94" i="1" s="1"/>
  <c r="X96" i="1"/>
  <c r="X94" i="1" s="1"/>
  <c r="Y96" i="1"/>
  <c r="Y94" i="1" s="1"/>
  <c r="AO96" i="1"/>
  <c r="AO94" i="1" s="1"/>
  <c r="AP96" i="1"/>
  <c r="AP94" i="1" s="1"/>
  <c r="AQ96" i="1"/>
  <c r="AQ94" i="1" s="1"/>
  <c r="AR96" i="1"/>
  <c r="AR94" i="1" s="1"/>
  <c r="AS96" i="1"/>
  <c r="AS94" i="1" s="1"/>
  <c r="AT96" i="1"/>
  <c r="AT94" i="1" s="1"/>
  <c r="AU96" i="1"/>
  <c r="AU94" i="1" s="1"/>
  <c r="AV96" i="1"/>
  <c r="AV94" i="1" s="1"/>
  <c r="AW96" i="1"/>
  <c r="AW94" i="1" s="1"/>
  <c r="AX96" i="1"/>
  <c r="AX94" i="1" s="1"/>
  <c r="AY96" i="1"/>
  <c r="AY94" i="1" s="1"/>
  <c r="AZ96" i="1"/>
  <c r="AZ94" i="1" s="1"/>
  <c r="BA96" i="1"/>
  <c r="BA94" i="1" s="1"/>
  <c r="BB96" i="1"/>
  <c r="BB94" i="1" s="1"/>
  <c r="BC96" i="1"/>
  <c r="BC94" i="1" s="1"/>
  <c r="BD96" i="1"/>
  <c r="BD94" i="1" s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D126" i="1"/>
  <c r="E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BE128" i="1"/>
  <c r="BF128" i="1"/>
  <c r="BG128" i="1"/>
  <c r="BH128" i="1"/>
  <c r="BI128" i="1"/>
  <c r="BJ128" i="1"/>
  <c r="BK128" i="1"/>
  <c r="BL128" i="1"/>
  <c r="BM128" i="1"/>
  <c r="BN128" i="1"/>
  <c r="BO128" i="1"/>
  <c r="BP128" i="1"/>
  <c r="BQ128" i="1"/>
  <c r="BR128" i="1"/>
  <c r="BS128" i="1"/>
  <c r="BT128" i="1"/>
  <c r="BU128" i="1"/>
  <c r="BV128" i="1"/>
  <c r="BW128" i="1"/>
  <c r="BX128" i="1"/>
  <c r="BY128" i="1"/>
  <c r="BZ128" i="1"/>
  <c r="CA128" i="1"/>
  <c r="CB128" i="1"/>
  <c r="CC128" i="1"/>
  <c r="CD128" i="1"/>
  <c r="CE128" i="1"/>
  <c r="CF128" i="1"/>
  <c r="CG128" i="1"/>
  <c r="CH128" i="1"/>
  <c r="CI128" i="1"/>
  <c r="CJ128" i="1"/>
  <c r="CK128" i="1"/>
  <c r="CL128" i="1"/>
  <c r="CM128" i="1"/>
  <c r="CN128" i="1"/>
  <c r="CO128" i="1"/>
  <c r="CP128" i="1"/>
  <c r="CQ128" i="1"/>
  <c r="CR128" i="1"/>
  <c r="CS128" i="1"/>
  <c r="CT128" i="1"/>
  <c r="CU128" i="1"/>
  <c r="CV128" i="1"/>
  <c r="CW128" i="1"/>
  <c r="CX128" i="1"/>
  <c r="CY128" i="1"/>
  <c r="CZ128" i="1"/>
  <c r="DA128" i="1"/>
  <c r="DB128" i="1"/>
  <c r="DC128" i="1"/>
  <c r="DD128" i="1"/>
  <c r="DE128" i="1"/>
  <c r="DF128" i="1"/>
  <c r="DG128" i="1"/>
  <c r="DH128" i="1"/>
  <c r="DI128" i="1"/>
  <c r="DJ128" i="1"/>
  <c r="DK128" i="1"/>
  <c r="DL128" i="1"/>
  <c r="DM128" i="1"/>
  <c r="DN128" i="1"/>
  <c r="DO128" i="1"/>
  <c r="DP128" i="1"/>
  <c r="DQ128" i="1"/>
  <c r="DR128" i="1"/>
  <c r="DS128" i="1"/>
  <c r="DT128" i="1"/>
  <c r="DU128" i="1"/>
  <c r="DV128" i="1"/>
  <c r="DW128" i="1"/>
  <c r="DX128" i="1"/>
  <c r="DY128" i="1"/>
  <c r="DZ128" i="1"/>
  <c r="EA128" i="1"/>
  <c r="EB128" i="1"/>
  <c r="EC128" i="1"/>
  <c r="ED128" i="1"/>
  <c r="EE128" i="1"/>
  <c r="EF128" i="1"/>
  <c r="EG128" i="1"/>
  <c r="EH128" i="1"/>
  <c r="EI128" i="1"/>
  <c r="EJ128" i="1"/>
  <c r="EK128" i="1"/>
  <c r="EL128" i="1"/>
  <c r="EM128" i="1"/>
  <c r="EN128" i="1"/>
  <c r="EO128" i="1"/>
  <c r="EP128" i="1"/>
  <c r="EQ128" i="1"/>
  <c r="ER128" i="1"/>
  <c r="ES128" i="1"/>
  <c r="ET128" i="1"/>
  <c r="EU128" i="1"/>
  <c r="EV128" i="1"/>
  <c r="EW128" i="1"/>
  <c r="EX128" i="1"/>
  <c r="EY128" i="1"/>
  <c r="EZ128" i="1"/>
  <c r="FA128" i="1"/>
  <c r="FB128" i="1"/>
  <c r="FC128" i="1"/>
  <c r="FD128" i="1"/>
  <c r="FE128" i="1"/>
  <c r="FF128" i="1"/>
  <c r="FG128" i="1"/>
  <c r="FH128" i="1"/>
  <c r="FI128" i="1"/>
  <c r="FJ128" i="1"/>
  <c r="FK128" i="1"/>
  <c r="FL128" i="1"/>
  <c r="FM128" i="1"/>
  <c r="FN128" i="1"/>
  <c r="FO128" i="1"/>
  <c r="FP128" i="1"/>
  <c r="FQ128" i="1"/>
  <c r="FR128" i="1"/>
  <c r="FS128" i="1"/>
  <c r="FT128" i="1"/>
  <c r="FU128" i="1"/>
  <c r="FV128" i="1"/>
  <c r="FW128" i="1"/>
  <c r="FX128" i="1"/>
  <c r="FY128" i="1"/>
  <c r="FZ128" i="1"/>
  <c r="GA128" i="1"/>
  <c r="GB128" i="1"/>
  <c r="GC128" i="1"/>
  <c r="GD128" i="1"/>
  <c r="GE128" i="1"/>
  <c r="GF128" i="1"/>
  <c r="GG128" i="1"/>
  <c r="GH128" i="1"/>
  <c r="GI128" i="1"/>
  <c r="GJ128" i="1"/>
  <c r="GK128" i="1"/>
  <c r="GL128" i="1"/>
  <c r="GM128" i="1"/>
  <c r="GN128" i="1"/>
  <c r="GO128" i="1"/>
  <c r="GP128" i="1"/>
  <c r="GQ128" i="1"/>
  <c r="GR128" i="1"/>
  <c r="GS128" i="1"/>
  <c r="GT128" i="1"/>
  <c r="GU128" i="1"/>
  <c r="GV128" i="1"/>
  <c r="GW128" i="1"/>
  <c r="GX128" i="1"/>
  <c r="B130" i="1"/>
  <c r="B128" i="1" s="1"/>
  <c r="C130" i="1"/>
  <c r="C128" i="1" s="1"/>
  <c r="D130" i="1"/>
  <c r="D128" i="1" s="1"/>
  <c r="F130" i="1"/>
  <c r="F128" i="1" s="1"/>
  <c r="G130" i="1"/>
  <c r="G128" i="1" s="1"/>
  <c r="O130" i="1"/>
  <c r="O128" i="1" s="1"/>
  <c r="P130" i="1"/>
  <c r="P128" i="1" s="1"/>
  <c r="Q130" i="1"/>
  <c r="Q128" i="1" s="1"/>
  <c r="R130" i="1"/>
  <c r="R128" i="1" s="1"/>
  <c r="S130" i="1"/>
  <c r="S128" i="1" s="1"/>
  <c r="T130" i="1"/>
  <c r="T128" i="1" s="1"/>
  <c r="U130" i="1"/>
  <c r="U128" i="1" s="1"/>
  <c r="V130" i="1"/>
  <c r="V128" i="1" s="1"/>
  <c r="W130" i="1"/>
  <c r="W128" i="1" s="1"/>
  <c r="X130" i="1"/>
  <c r="X128" i="1" s="1"/>
  <c r="Y130" i="1"/>
  <c r="Y128" i="1" s="1"/>
  <c r="AO130" i="1"/>
  <c r="AO128" i="1" s="1"/>
  <c r="AP130" i="1"/>
  <c r="AP128" i="1" s="1"/>
  <c r="AQ130" i="1"/>
  <c r="AQ128" i="1" s="1"/>
  <c r="AR130" i="1"/>
  <c r="AR128" i="1" s="1"/>
  <c r="AS130" i="1"/>
  <c r="AS128" i="1" s="1"/>
  <c r="AT130" i="1"/>
  <c r="AT128" i="1" s="1"/>
  <c r="AU130" i="1"/>
  <c r="AU128" i="1" s="1"/>
  <c r="AV130" i="1"/>
  <c r="AV128" i="1" s="1"/>
  <c r="AW130" i="1"/>
  <c r="AW128" i="1" s="1"/>
  <c r="AX130" i="1"/>
  <c r="AX128" i="1" s="1"/>
  <c r="AY130" i="1"/>
  <c r="AY128" i="1" s="1"/>
  <c r="AZ130" i="1"/>
  <c r="AZ128" i="1" s="1"/>
  <c r="BA130" i="1"/>
  <c r="BA128" i="1" s="1"/>
  <c r="BB130" i="1"/>
  <c r="BB128" i="1" s="1"/>
  <c r="BC130" i="1"/>
  <c r="BC128" i="1" s="1"/>
  <c r="BD130" i="1"/>
  <c r="BD128" i="1" s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D160" i="1"/>
  <c r="E162" i="1"/>
  <c r="Z162" i="1"/>
  <c r="AA162" i="1"/>
  <c r="AB162" i="1"/>
  <c r="AC162" i="1"/>
  <c r="AD162" i="1"/>
  <c r="AE162" i="1"/>
  <c r="AF162" i="1"/>
  <c r="AG162" i="1"/>
  <c r="AH162" i="1"/>
  <c r="AI162" i="1"/>
  <c r="AJ162" i="1"/>
  <c r="AK162" i="1"/>
  <c r="AL162" i="1"/>
  <c r="AM162" i="1"/>
  <c r="AN162" i="1"/>
  <c r="BE162" i="1"/>
  <c r="BF162" i="1"/>
  <c r="BG162" i="1"/>
  <c r="BH162" i="1"/>
  <c r="BI162" i="1"/>
  <c r="BJ162" i="1"/>
  <c r="BK162" i="1"/>
  <c r="BL162" i="1"/>
  <c r="BM162" i="1"/>
  <c r="BN162" i="1"/>
  <c r="BO162" i="1"/>
  <c r="BP162" i="1"/>
  <c r="BQ162" i="1"/>
  <c r="BR162" i="1"/>
  <c r="BS162" i="1"/>
  <c r="BT162" i="1"/>
  <c r="BU162" i="1"/>
  <c r="BV162" i="1"/>
  <c r="BW162" i="1"/>
  <c r="BX162" i="1"/>
  <c r="BY162" i="1"/>
  <c r="BZ162" i="1"/>
  <c r="CA162" i="1"/>
  <c r="CB162" i="1"/>
  <c r="CC162" i="1"/>
  <c r="CD162" i="1"/>
  <c r="CE162" i="1"/>
  <c r="CF162" i="1"/>
  <c r="CG162" i="1"/>
  <c r="CH162" i="1"/>
  <c r="CI162" i="1"/>
  <c r="CJ162" i="1"/>
  <c r="CK162" i="1"/>
  <c r="CL162" i="1"/>
  <c r="CM162" i="1"/>
  <c r="CN162" i="1"/>
  <c r="CO162" i="1"/>
  <c r="CP162" i="1"/>
  <c r="CQ162" i="1"/>
  <c r="CR162" i="1"/>
  <c r="CS162" i="1"/>
  <c r="CT162" i="1"/>
  <c r="CU162" i="1"/>
  <c r="CV162" i="1"/>
  <c r="CW162" i="1"/>
  <c r="CX162" i="1"/>
  <c r="CY162" i="1"/>
  <c r="CZ162" i="1"/>
  <c r="DA162" i="1"/>
  <c r="DB162" i="1"/>
  <c r="DC162" i="1"/>
  <c r="DD162" i="1"/>
  <c r="DE162" i="1"/>
  <c r="DF162" i="1"/>
  <c r="DG162" i="1"/>
  <c r="DH162" i="1"/>
  <c r="DI162" i="1"/>
  <c r="DJ162" i="1"/>
  <c r="DK162" i="1"/>
  <c r="DL162" i="1"/>
  <c r="DM162" i="1"/>
  <c r="DN162" i="1"/>
  <c r="DO162" i="1"/>
  <c r="DP162" i="1"/>
  <c r="DQ162" i="1"/>
  <c r="DR162" i="1"/>
  <c r="DS162" i="1"/>
  <c r="DT162" i="1"/>
  <c r="DU162" i="1"/>
  <c r="DV162" i="1"/>
  <c r="DW162" i="1"/>
  <c r="DX162" i="1"/>
  <c r="DY162" i="1"/>
  <c r="DZ162" i="1"/>
  <c r="EA162" i="1"/>
  <c r="EB162" i="1"/>
  <c r="EC162" i="1"/>
  <c r="ED162" i="1"/>
  <c r="EE162" i="1"/>
  <c r="EF162" i="1"/>
  <c r="EG162" i="1"/>
  <c r="EH162" i="1"/>
  <c r="EI162" i="1"/>
  <c r="EJ162" i="1"/>
  <c r="EK162" i="1"/>
  <c r="EL162" i="1"/>
  <c r="EM162" i="1"/>
  <c r="EN162" i="1"/>
  <c r="EO162" i="1"/>
  <c r="EP162" i="1"/>
  <c r="EQ162" i="1"/>
  <c r="ER162" i="1"/>
  <c r="ES162" i="1"/>
  <c r="ET162" i="1"/>
  <c r="EU162" i="1"/>
  <c r="EV162" i="1"/>
  <c r="EW162" i="1"/>
  <c r="EX162" i="1"/>
  <c r="EY162" i="1"/>
  <c r="EZ162" i="1"/>
  <c r="FA162" i="1"/>
  <c r="FB162" i="1"/>
  <c r="FC162" i="1"/>
  <c r="FD162" i="1"/>
  <c r="FE162" i="1"/>
  <c r="FF162" i="1"/>
  <c r="FG162" i="1"/>
  <c r="FH162" i="1"/>
  <c r="FI162" i="1"/>
  <c r="FJ162" i="1"/>
  <c r="FK162" i="1"/>
  <c r="FL162" i="1"/>
  <c r="FM162" i="1"/>
  <c r="FN162" i="1"/>
  <c r="FO162" i="1"/>
  <c r="FP162" i="1"/>
  <c r="FQ162" i="1"/>
  <c r="FR162" i="1"/>
  <c r="FS162" i="1"/>
  <c r="FT162" i="1"/>
  <c r="FU162" i="1"/>
  <c r="FV162" i="1"/>
  <c r="FW162" i="1"/>
  <c r="FX162" i="1"/>
  <c r="FY162" i="1"/>
  <c r="FZ162" i="1"/>
  <c r="GA162" i="1"/>
  <c r="GB162" i="1"/>
  <c r="GC162" i="1"/>
  <c r="GD162" i="1"/>
  <c r="GE162" i="1"/>
  <c r="GF162" i="1"/>
  <c r="GG162" i="1"/>
  <c r="GH162" i="1"/>
  <c r="GI162" i="1"/>
  <c r="GJ162" i="1"/>
  <c r="GK162" i="1"/>
  <c r="GL162" i="1"/>
  <c r="GM162" i="1"/>
  <c r="GN162" i="1"/>
  <c r="GO162" i="1"/>
  <c r="GP162" i="1"/>
  <c r="GQ162" i="1"/>
  <c r="GR162" i="1"/>
  <c r="GS162" i="1"/>
  <c r="GT162" i="1"/>
  <c r="GU162" i="1"/>
  <c r="GV162" i="1"/>
  <c r="GW162" i="1"/>
  <c r="GX162" i="1"/>
  <c r="B164" i="1"/>
  <c r="B162" i="1" s="1"/>
  <c r="C164" i="1"/>
  <c r="C162" i="1" s="1"/>
  <c r="D164" i="1"/>
  <c r="D162" i="1" s="1"/>
  <c r="F164" i="1"/>
  <c r="F162" i="1" s="1"/>
  <c r="G164" i="1"/>
  <c r="G162" i="1" s="1"/>
  <c r="O164" i="1"/>
  <c r="O162" i="1" s="1"/>
  <c r="P164" i="1"/>
  <c r="P162" i="1" s="1"/>
  <c r="Q164" i="1"/>
  <c r="Q162" i="1" s="1"/>
  <c r="R164" i="1"/>
  <c r="R162" i="1" s="1"/>
  <c r="S164" i="1"/>
  <c r="S162" i="1" s="1"/>
  <c r="T164" i="1"/>
  <c r="T162" i="1" s="1"/>
  <c r="U164" i="1"/>
  <c r="U162" i="1" s="1"/>
  <c r="V164" i="1"/>
  <c r="V162" i="1" s="1"/>
  <c r="W164" i="1"/>
  <c r="W162" i="1" s="1"/>
  <c r="X164" i="1"/>
  <c r="X162" i="1" s="1"/>
  <c r="Y164" i="1"/>
  <c r="Y162" i="1" s="1"/>
  <c r="AO164" i="1"/>
  <c r="AO162" i="1" s="1"/>
  <c r="AP164" i="1"/>
  <c r="AP162" i="1" s="1"/>
  <c r="AQ164" i="1"/>
  <c r="AQ162" i="1" s="1"/>
  <c r="AR164" i="1"/>
  <c r="AR162" i="1" s="1"/>
  <c r="AS164" i="1"/>
  <c r="AS162" i="1" s="1"/>
  <c r="AT164" i="1"/>
  <c r="AT162" i="1" s="1"/>
  <c r="AU164" i="1"/>
  <c r="AU162" i="1" s="1"/>
  <c r="AV164" i="1"/>
  <c r="AV162" i="1" s="1"/>
  <c r="AW164" i="1"/>
  <c r="AW162" i="1" s="1"/>
  <c r="AX164" i="1"/>
  <c r="AX162" i="1" s="1"/>
  <c r="AY164" i="1"/>
  <c r="AY162" i="1" s="1"/>
  <c r="AZ164" i="1"/>
  <c r="AZ162" i="1" s="1"/>
  <c r="BA164" i="1"/>
  <c r="BA162" i="1" s="1"/>
  <c r="BB164" i="1"/>
  <c r="BB162" i="1" s="1"/>
  <c r="BC164" i="1"/>
  <c r="BC162" i="1" s="1"/>
  <c r="BD164" i="1"/>
  <c r="BD162" i="1" s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D194" i="1"/>
  <c r="E196" i="1"/>
  <c r="Z196" i="1"/>
  <c r="AA196" i="1"/>
  <c r="AB196" i="1"/>
  <c r="AC196" i="1"/>
  <c r="AD196" i="1"/>
  <c r="AE196" i="1"/>
  <c r="AF196" i="1"/>
  <c r="AG196" i="1"/>
  <c r="AH196" i="1"/>
  <c r="AI196" i="1"/>
  <c r="AJ196" i="1"/>
  <c r="AK196" i="1"/>
  <c r="AL196" i="1"/>
  <c r="AM196" i="1"/>
  <c r="AN196" i="1"/>
  <c r="BE196" i="1"/>
  <c r="BF196" i="1"/>
  <c r="BG196" i="1"/>
  <c r="BH196" i="1"/>
  <c r="BI196" i="1"/>
  <c r="BJ196" i="1"/>
  <c r="BK196" i="1"/>
  <c r="BL196" i="1"/>
  <c r="BM196" i="1"/>
  <c r="BN196" i="1"/>
  <c r="BO196" i="1"/>
  <c r="BP196" i="1"/>
  <c r="BQ196" i="1"/>
  <c r="BR196" i="1"/>
  <c r="BS196" i="1"/>
  <c r="BT196" i="1"/>
  <c r="BU196" i="1"/>
  <c r="BV196" i="1"/>
  <c r="BW196" i="1"/>
  <c r="BX196" i="1"/>
  <c r="BY196" i="1"/>
  <c r="BZ196" i="1"/>
  <c r="CA196" i="1"/>
  <c r="CB196" i="1"/>
  <c r="CC196" i="1"/>
  <c r="CD196" i="1"/>
  <c r="CE196" i="1"/>
  <c r="CF196" i="1"/>
  <c r="CG196" i="1"/>
  <c r="CH196" i="1"/>
  <c r="CI196" i="1"/>
  <c r="CJ196" i="1"/>
  <c r="CK196" i="1"/>
  <c r="CL196" i="1"/>
  <c r="CM196" i="1"/>
  <c r="CN196" i="1"/>
  <c r="CO196" i="1"/>
  <c r="CP196" i="1"/>
  <c r="CQ196" i="1"/>
  <c r="CR196" i="1"/>
  <c r="CS196" i="1"/>
  <c r="CT196" i="1"/>
  <c r="CU196" i="1"/>
  <c r="CV196" i="1"/>
  <c r="CW196" i="1"/>
  <c r="CX196" i="1"/>
  <c r="CY196" i="1"/>
  <c r="CZ196" i="1"/>
  <c r="DA196" i="1"/>
  <c r="DB196" i="1"/>
  <c r="DC196" i="1"/>
  <c r="DD196" i="1"/>
  <c r="DE196" i="1"/>
  <c r="DF196" i="1"/>
  <c r="DG196" i="1"/>
  <c r="DH196" i="1"/>
  <c r="DI196" i="1"/>
  <c r="DJ196" i="1"/>
  <c r="DK196" i="1"/>
  <c r="DL196" i="1"/>
  <c r="DM196" i="1"/>
  <c r="DN196" i="1"/>
  <c r="DO196" i="1"/>
  <c r="DP196" i="1"/>
  <c r="DQ196" i="1"/>
  <c r="DR196" i="1"/>
  <c r="DS196" i="1"/>
  <c r="DT196" i="1"/>
  <c r="DU196" i="1"/>
  <c r="DV196" i="1"/>
  <c r="DW196" i="1"/>
  <c r="DX196" i="1"/>
  <c r="DY196" i="1"/>
  <c r="DZ196" i="1"/>
  <c r="EA196" i="1"/>
  <c r="EB196" i="1"/>
  <c r="EC196" i="1"/>
  <c r="ED196" i="1"/>
  <c r="EE196" i="1"/>
  <c r="EF196" i="1"/>
  <c r="EG196" i="1"/>
  <c r="EH196" i="1"/>
  <c r="EI196" i="1"/>
  <c r="EJ196" i="1"/>
  <c r="EK196" i="1"/>
  <c r="EL196" i="1"/>
  <c r="EM196" i="1"/>
  <c r="EN196" i="1"/>
  <c r="EO196" i="1"/>
  <c r="EP196" i="1"/>
  <c r="EQ196" i="1"/>
  <c r="ER196" i="1"/>
  <c r="ES196" i="1"/>
  <c r="ET196" i="1"/>
  <c r="EU196" i="1"/>
  <c r="EV196" i="1"/>
  <c r="EW196" i="1"/>
  <c r="EX196" i="1"/>
  <c r="EY196" i="1"/>
  <c r="EZ196" i="1"/>
  <c r="FA196" i="1"/>
  <c r="FB196" i="1"/>
  <c r="FC196" i="1"/>
  <c r="FD196" i="1"/>
  <c r="FE196" i="1"/>
  <c r="FF196" i="1"/>
  <c r="FG196" i="1"/>
  <c r="FH196" i="1"/>
  <c r="FI196" i="1"/>
  <c r="FJ196" i="1"/>
  <c r="FK196" i="1"/>
  <c r="FL196" i="1"/>
  <c r="FM196" i="1"/>
  <c r="FN196" i="1"/>
  <c r="FO196" i="1"/>
  <c r="FP196" i="1"/>
  <c r="FQ196" i="1"/>
  <c r="FR196" i="1"/>
  <c r="FS196" i="1"/>
  <c r="FT196" i="1"/>
  <c r="FU196" i="1"/>
  <c r="FV196" i="1"/>
  <c r="FW196" i="1"/>
  <c r="FX196" i="1"/>
  <c r="FY196" i="1"/>
  <c r="FZ196" i="1"/>
  <c r="GA196" i="1"/>
  <c r="GB196" i="1"/>
  <c r="GC196" i="1"/>
  <c r="GD196" i="1"/>
  <c r="GE196" i="1"/>
  <c r="GF196" i="1"/>
  <c r="GG196" i="1"/>
  <c r="GH196" i="1"/>
  <c r="GI196" i="1"/>
  <c r="GJ196" i="1"/>
  <c r="GK196" i="1"/>
  <c r="GL196" i="1"/>
  <c r="GM196" i="1"/>
  <c r="GN196" i="1"/>
  <c r="GO196" i="1"/>
  <c r="GP196" i="1"/>
  <c r="GQ196" i="1"/>
  <c r="GR196" i="1"/>
  <c r="GS196" i="1"/>
  <c r="GT196" i="1"/>
  <c r="GU196" i="1"/>
  <c r="GV196" i="1"/>
  <c r="GW196" i="1"/>
  <c r="GX196" i="1"/>
  <c r="B198" i="1"/>
  <c r="B196" i="1" s="1"/>
  <c r="C198" i="1"/>
  <c r="C196" i="1" s="1"/>
  <c r="D198" i="1"/>
  <c r="D196" i="1" s="1"/>
  <c r="F198" i="1"/>
  <c r="F196" i="1" s="1"/>
  <c r="G198" i="1"/>
  <c r="G196" i="1" s="1"/>
  <c r="O198" i="1"/>
  <c r="O196" i="1" s="1"/>
  <c r="P198" i="1"/>
  <c r="P196" i="1" s="1"/>
  <c r="Q198" i="1"/>
  <c r="Q196" i="1" s="1"/>
  <c r="R198" i="1"/>
  <c r="R196" i="1" s="1"/>
  <c r="S198" i="1"/>
  <c r="S196" i="1" s="1"/>
  <c r="T198" i="1"/>
  <c r="T196" i="1" s="1"/>
  <c r="U198" i="1"/>
  <c r="U196" i="1" s="1"/>
  <c r="V198" i="1"/>
  <c r="V196" i="1" s="1"/>
  <c r="W198" i="1"/>
  <c r="W196" i="1" s="1"/>
  <c r="X198" i="1"/>
  <c r="X196" i="1" s="1"/>
  <c r="Y198" i="1"/>
  <c r="Y196" i="1" s="1"/>
  <c r="AO198" i="1"/>
  <c r="AO196" i="1" s="1"/>
  <c r="AP198" i="1"/>
  <c r="AP196" i="1" s="1"/>
  <c r="AQ198" i="1"/>
  <c r="AQ196" i="1" s="1"/>
  <c r="AR198" i="1"/>
  <c r="AR196" i="1" s="1"/>
  <c r="AS198" i="1"/>
  <c r="AS196" i="1" s="1"/>
  <c r="AT198" i="1"/>
  <c r="AT196" i="1" s="1"/>
  <c r="AU198" i="1"/>
  <c r="AU196" i="1" s="1"/>
  <c r="AV198" i="1"/>
  <c r="AV196" i="1" s="1"/>
  <c r="AW198" i="1"/>
  <c r="AW196" i="1" s="1"/>
  <c r="AX198" i="1"/>
  <c r="AX196" i="1" s="1"/>
  <c r="AY198" i="1"/>
  <c r="AY196" i="1" s="1"/>
  <c r="AZ198" i="1"/>
  <c r="AZ196" i="1" s="1"/>
  <c r="BA198" i="1"/>
  <c r="BA196" i="1" s="1"/>
  <c r="BB198" i="1"/>
  <c r="BB196" i="1" s="1"/>
  <c r="BC198" i="1"/>
  <c r="BC196" i="1" s="1"/>
  <c r="BD198" i="1"/>
  <c r="BD196" i="1" s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D228" i="1"/>
  <c r="E230" i="1"/>
  <c r="Z230" i="1"/>
  <c r="AA230" i="1"/>
  <c r="AM230" i="1"/>
  <c r="AN230" i="1"/>
  <c r="BE230" i="1"/>
  <c r="BF230" i="1"/>
  <c r="BG230" i="1"/>
  <c r="BH230" i="1"/>
  <c r="BI230" i="1"/>
  <c r="BJ230" i="1"/>
  <c r="BK230" i="1"/>
  <c r="BL230" i="1"/>
  <c r="BM230" i="1"/>
  <c r="BN230" i="1"/>
  <c r="BO230" i="1"/>
  <c r="BP230" i="1"/>
  <c r="BQ230" i="1"/>
  <c r="BR230" i="1"/>
  <c r="BS230" i="1"/>
  <c r="BT230" i="1"/>
  <c r="BU230" i="1"/>
  <c r="BV230" i="1"/>
  <c r="BW230" i="1"/>
  <c r="CN230" i="1"/>
  <c r="CO230" i="1"/>
  <c r="CP230" i="1"/>
  <c r="CQ230" i="1"/>
  <c r="CR230" i="1"/>
  <c r="CS230" i="1"/>
  <c r="CT230" i="1"/>
  <c r="CU230" i="1"/>
  <c r="CV230" i="1"/>
  <c r="CW230" i="1"/>
  <c r="CX230" i="1"/>
  <c r="CY230" i="1"/>
  <c r="CZ230" i="1"/>
  <c r="DA230" i="1"/>
  <c r="DB230" i="1"/>
  <c r="DC230" i="1"/>
  <c r="DD230" i="1"/>
  <c r="DE230" i="1"/>
  <c r="DF230" i="1"/>
  <c r="DG230" i="1"/>
  <c r="DH230" i="1"/>
  <c r="DI230" i="1"/>
  <c r="DJ230" i="1"/>
  <c r="DK230" i="1"/>
  <c r="DL230" i="1"/>
  <c r="DM230" i="1"/>
  <c r="DN230" i="1"/>
  <c r="DO230" i="1"/>
  <c r="DP230" i="1"/>
  <c r="DQ230" i="1"/>
  <c r="DR230" i="1"/>
  <c r="DS230" i="1"/>
  <c r="DT230" i="1"/>
  <c r="DU230" i="1"/>
  <c r="DV230" i="1"/>
  <c r="DW230" i="1"/>
  <c r="DX230" i="1"/>
  <c r="DY230" i="1"/>
  <c r="DZ230" i="1"/>
  <c r="EA230" i="1"/>
  <c r="EB230" i="1"/>
  <c r="EC230" i="1"/>
  <c r="ED230" i="1"/>
  <c r="EE230" i="1"/>
  <c r="EF230" i="1"/>
  <c r="EG230" i="1"/>
  <c r="EH230" i="1"/>
  <c r="EI230" i="1"/>
  <c r="EJ230" i="1"/>
  <c r="EK230" i="1"/>
  <c r="EL230" i="1"/>
  <c r="EM230" i="1"/>
  <c r="EN230" i="1"/>
  <c r="EO230" i="1"/>
  <c r="EP230" i="1"/>
  <c r="EQ230" i="1"/>
  <c r="ER230" i="1"/>
  <c r="ES230" i="1"/>
  <c r="ET230" i="1"/>
  <c r="EU230" i="1"/>
  <c r="EV230" i="1"/>
  <c r="EW230" i="1"/>
  <c r="EX230" i="1"/>
  <c r="EY230" i="1"/>
  <c r="EZ230" i="1"/>
  <c r="FA230" i="1"/>
  <c r="FB230" i="1"/>
  <c r="FC230" i="1"/>
  <c r="FD230" i="1"/>
  <c r="FE230" i="1"/>
  <c r="FF230" i="1"/>
  <c r="FG230" i="1"/>
  <c r="FH230" i="1"/>
  <c r="FI230" i="1"/>
  <c r="FJ230" i="1"/>
  <c r="FK230" i="1"/>
  <c r="FL230" i="1"/>
  <c r="FM230" i="1"/>
  <c r="FN230" i="1"/>
  <c r="FO230" i="1"/>
  <c r="FP230" i="1"/>
  <c r="FQ230" i="1"/>
  <c r="FR230" i="1"/>
  <c r="FS230" i="1"/>
  <c r="FT230" i="1"/>
  <c r="FU230" i="1"/>
  <c r="FV230" i="1"/>
  <c r="FW230" i="1"/>
  <c r="FX230" i="1"/>
  <c r="FY230" i="1"/>
  <c r="FZ230" i="1"/>
  <c r="GA230" i="1"/>
  <c r="GB230" i="1"/>
  <c r="GC230" i="1"/>
  <c r="GD230" i="1"/>
  <c r="GE230" i="1"/>
  <c r="GF230" i="1"/>
  <c r="GG230" i="1"/>
  <c r="GH230" i="1"/>
  <c r="GI230" i="1"/>
  <c r="GJ230" i="1"/>
  <c r="GK230" i="1"/>
  <c r="GL230" i="1"/>
  <c r="GM230" i="1"/>
  <c r="GN230" i="1"/>
  <c r="GO230" i="1"/>
  <c r="GP230" i="1"/>
  <c r="GQ230" i="1"/>
  <c r="GR230" i="1"/>
  <c r="GS230" i="1"/>
  <c r="GT230" i="1"/>
  <c r="GU230" i="1"/>
  <c r="GV230" i="1"/>
  <c r="GW230" i="1"/>
  <c r="GX230" i="1"/>
  <c r="C232" i="1"/>
  <c r="D232" i="1"/>
  <c r="I232" i="1"/>
  <c r="K232" i="1"/>
  <c r="AC232" i="1"/>
  <c r="AE232" i="1"/>
  <c r="AD232" i="1" s="1"/>
  <c r="AF232" i="1"/>
  <c r="AG232" i="1"/>
  <c r="AH232" i="1"/>
  <c r="AI232" i="1"/>
  <c r="AJ232" i="1"/>
  <c r="CQ232" i="1"/>
  <c r="CR232" i="1"/>
  <c r="CS232" i="1"/>
  <c r="CT232" i="1"/>
  <c r="CU232" i="1"/>
  <c r="T232" i="1" s="1"/>
  <c r="CV232" i="1"/>
  <c r="CW232" i="1"/>
  <c r="CX232" i="1"/>
  <c r="W232" i="1" s="1"/>
  <c r="GL232" i="1"/>
  <c r="GO232" i="1"/>
  <c r="GP232" i="1"/>
  <c r="GV232" i="1"/>
  <c r="GX232" i="1"/>
  <c r="HC232" i="1"/>
  <c r="C233" i="1"/>
  <c r="D233" i="1"/>
  <c r="I233" i="1"/>
  <c r="K233" i="1"/>
  <c r="AC233" i="1"/>
  <c r="AE233" i="1"/>
  <c r="AD233" i="1" s="1"/>
  <c r="AF233" i="1"/>
  <c r="AG233" i="1"/>
  <c r="CU233" i="1" s="1"/>
  <c r="T233" i="1" s="1"/>
  <c r="AH233" i="1"/>
  <c r="AI233" i="1"/>
  <c r="AJ233" i="1"/>
  <c r="CQ233" i="1"/>
  <c r="CR233" i="1"/>
  <c r="CS233" i="1"/>
  <c r="CT233" i="1"/>
  <c r="CV233" i="1"/>
  <c r="CW233" i="1"/>
  <c r="CX233" i="1"/>
  <c r="W233" i="1" s="1"/>
  <c r="GL233" i="1"/>
  <c r="GN233" i="1"/>
  <c r="GP233" i="1"/>
  <c r="GV233" i="1"/>
  <c r="HC233" i="1"/>
  <c r="GX233" i="1" s="1"/>
  <c r="I234" i="1"/>
  <c r="S234" i="1"/>
  <c r="AC234" i="1"/>
  <c r="AD234" i="1"/>
  <c r="AB234" i="1" s="1"/>
  <c r="AE234" i="1"/>
  <c r="AF234" i="1"/>
  <c r="AG234" i="1"/>
  <c r="AH234" i="1"/>
  <c r="AI234" i="1"/>
  <c r="AJ234" i="1"/>
  <c r="CP234" i="1"/>
  <c r="CQ234" i="1"/>
  <c r="CR234" i="1"/>
  <c r="Q234" i="1" s="1"/>
  <c r="CS234" i="1"/>
  <c r="R234" i="1" s="1"/>
  <c r="CT234" i="1"/>
  <c r="CU234" i="1"/>
  <c r="T234" i="1" s="1"/>
  <c r="CV234" i="1"/>
  <c r="U234" i="1" s="1"/>
  <c r="CW234" i="1"/>
  <c r="V234" i="1" s="1"/>
  <c r="CX234" i="1"/>
  <c r="W234" i="1" s="1"/>
  <c r="CY234" i="1"/>
  <c r="X234" i="1" s="1"/>
  <c r="CZ234" i="1"/>
  <c r="Y234" i="1" s="1"/>
  <c r="GL234" i="1"/>
  <c r="GN234" i="1"/>
  <c r="GP234" i="1"/>
  <c r="GV234" i="1"/>
  <c r="GX234" i="1"/>
  <c r="HC234" i="1"/>
  <c r="I235" i="1"/>
  <c r="K235" i="1"/>
  <c r="AC235" i="1"/>
  <c r="AE235" i="1"/>
  <c r="AD235" i="1" s="1"/>
  <c r="AF235" i="1"/>
  <c r="AG235" i="1"/>
  <c r="CU235" i="1" s="1"/>
  <c r="T235" i="1" s="1"/>
  <c r="AH235" i="1"/>
  <c r="AI235" i="1"/>
  <c r="CW235" i="1" s="1"/>
  <c r="V235" i="1" s="1"/>
  <c r="AJ235" i="1"/>
  <c r="CQ235" i="1"/>
  <c r="P235" i="1" s="1"/>
  <c r="CR235" i="1"/>
  <c r="Q235" i="1" s="1"/>
  <c r="CS235" i="1"/>
  <c r="R235" i="1" s="1"/>
  <c r="CT235" i="1"/>
  <c r="S235" i="1" s="1"/>
  <c r="CV235" i="1"/>
  <c r="U235" i="1" s="1"/>
  <c r="CX235" i="1"/>
  <c r="W235" i="1" s="1"/>
  <c r="CY235" i="1"/>
  <c r="X235" i="1" s="1"/>
  <c r="CZ235" i="1"/>
  <c r="Y235" i="1" s="1"/>
  <c r="GL235" i="1"/>
  <c r="GN235" i="1"/>
  <c r="GP235" i="1"/>
  <c r="GV235" i="1"/>
  <c r="HC235" i="1"/>
  <c r="GX235" i="1" s="1"/>
  <c r="C236" i="1"/>
  <c r="D236" i="1"/>
  <c r="I236" i="1"/>
  <c r="CU9" i="3" s="1"/>
  <c r="K236" i="1"/>
  <c r="V236" i="1"/>
  <c r="AC236" i="1"/>
  <c r="AD236" i="1"/>
  <c r="AE236" i="1"/>
  <c r="AF236" i="1"/>
  <c r="AG236" i="1"/>
  <c r="AH236" i="1"/>
  <c r="AI236" i="1"/>
  <c r="AJ236" i="1"/>
  <c r="CX236" i="1" s="1"/>
  <c r="W236" i="1" s="1"/>
  <c r="CQ236" i="1"/>
  <c r="CR236" i="1"/>
  <c r="CS236" i="1"/>
  <c r="CT236" i="1"/>
  <c r="CU236" i="1"/>
  <c r="T236" i="1" s="1"/>
  <c r="CV236" i="1"/>
  <c r="CW236" i="1"/>
  <c r="GL236" i="1"/>
  <c r="GO236" i="1"/>
  <c r="GP236" i="1"/>
  <c r="GV236" i="1"/>
  <c r="GX236" i="1"/>
  <c r="HC236" i="1"/>
  <c r="I237" i="1"/>
  <c r="K237" i="1"/>
  <c r="AC237" i="1"/>
  <c r="AE237" i="1"/>
  <c r="AD237" i="1" s="1"/>
  <c r="AF237" i="1"/>
  <c r="AG237" i="1"/>
  <c r="CU237" i="1" s="1"/>
  <c r="T237" i="1" s="1"/>
  <c r="AH237" i="1"/>
  <c r="AI237" i="1"/>
  <c r="CW237" i="1" s="1"/>
  <c r="V237" i="1" s="1"/>
  <c r="AJ237" i="1"/>
  <c r="CQ237" i="1"/>
  <c r="P237" i="1" s="1"/>
  <c r="CR237" i="1"/>
  <c r="Q237" i="1" s="1"/>
  <c r="CS237" i="1"/>
  <c r="R237" i="1" s="1"/>
  <c r="CT237" i="1"/>
  <c r="S237" i="1" s="1"/>
  <c r="CV237" i="1"/>
  <c r="U237" i="1" s="1"/>
  <c r="CX237" i="1"/>
  <c r="W237" i="1" s="1"/>
  <c r="CY237" i="1"/>
  <c r="X237" i="1" s="1"/>
  <c r="CZ237" i="1"/>
  <c r="Y237" i="1" s="1"/>
  <c r="GL237" i="1"/>
  <c r="GN237" i="1"/>
  <c r="GP237" i="1"/>
  <c r="GV237" i="1"/>
  <c r="HC237" i="1"/>
  <c r="GX237" i="1" s="1"/>
  <c r="I238" i="1"/>
  <c r="K238" i="1"/>
  <c r="AC238" i="1"/>
  <c r="AD238" i="1"/>
  <c r="AB238" i="1" s="1"/>
  <c r="AE238" i="1"/>
  <c r="AF238" i="1"/>
  <c r="AG238" i="1"/>
  <c r="AH238" i="1"/>
  <c r="CV238" i="1" s="1"/>
  <c r="U238" i="1" s="1"/>
  <c r="AI238" i="1"/>
  <c r="AJ238" i="1"/>
  <c r="CX238" i="1" s="1"/>
  <c r="W238" i="1" s="1"/>
  <c r="CQ238" i="1"/>
  <c r="P238" i="1" s="1"/>
  <c r="CR238" i="1"/>
  <c r="Q238" i="1" s="1"/>
  <c r="CS238" i="1"/>
  <c r="R238" i="1" s="1"/>
  <c r="CT238" i="1"/>
  <c r="S238" i="1" s="1"/>
  <c r="CU238" i="1"/>
  <c r="T238" i="1" s="1"/>
  <c r="CW238" i="1"/>
  <c r="V238" i="1" s="1"/>
  <c r="CY238" i="1"/>
  <c r="X238" i="1" s="1"/>
  <c r="CZ238" i="1"/>
  <c r="Y238" i="1" s="1"/>
  <c r="GL238" i="1"/>
  <c r="GN238" i="1"/>
  <c r="GP238" i="1"/>
  <c r="GV238" i="1"/>
  <c r="GX238" i="1"/>
  <c r="HC238" i="1"/>
  <c r="I239" i="1"/>
  <c r="K239" i="1"/>
  <c r="AC239" i="1"/>
  <c r="AE239" i="1"/>
  <c r="AD239" i="1" s="1"/>
  <c r="AF239" i="1"/>
  <c r="AG239" i="1"/>
  <c r="CU239" i="1" s="1"/>
  <c r="T239" i="1" s="1"/>
  <c r="AH239" i="1"/>
  <c r="AI239" i="1"/>
  <c r="CW239" i="1" s="1"/>
  <c r="V239" i="1" s="1"/>
  <c r="AJ239" i="1"/>
  <c r="CQ239" i="1"/>
  <c r="P239" i="1" s="1"/>
  <c r="CR239" i="1"/>
  <c r="Q239" i="1" s="1"/>
  <c r="CS239" i="1"/>
  <c r="R239" i="1" s="1"/>
  <c r="CT239" i="1"/>
  <c r="S239" i="1" s="1"/>
  <c r="CV239" i="1"/>
  <c r="U239" i="1" s="1"/>
  <c r="CX239" i="1"/>
  <c r="W239" i="1" s="1"/>
  <c r="CY239" i="1"/>
  <c r="X239" i="1" s="1"/>
  <c r="CZ239" i="1"/>
  <c r="Y239" i="1" s="1"/>
  <c r="GL239" i="1"/>
  <c r="GN239" i="1"/>
  <c r="GP239" i="1"/>
  <c r="GV239" i="1"/>
  <c r="HC239" i="1"/>
  <c r="GX239" i="1" s="1"/>
  <c r="I240" i="1"/>
  <c r="K240" i="1"/>
  <c r="AC240" i="1"/>
  <c r="AD240" i="1"/>
  <c r="AB240" i="1" s="1"/>
  <c r="AE240" i="1"/>
  <c r="AF240" i="1"/>
  <c r="AG240" i="1"/>
  <c r="AH240" i="1"/>
  <c r="CV240" i="1" s="1"/>
  <c r="U240" i="1" s="1"/>
  <c r="AI240" i="1"/>
  <c r="AJ240" i="1"/>
  <c r="CX240" i="1" s="1"/>
  <c r="W240" i="1" s="1"/>
  <c r="CQ240" i="1"/>
  <c r="P240" i="1" s="1"/>
  <c r="CR240" i="1"/>
  <c r="Q240" i="1" s="1"/>
  <c r="CS240" i="1"/>
  <c r="R240" i="1" s="1"/>
  <c r="CT240" i="1"/>
  <c r="S240" i="1" s="1"/>
  <c r="CU240" i="1"/>
  <c r="T240" i="1" s="1"/>
  <c r="CW240" i="1"/>
  <c r="V240" i="1" s="1"/>
  <c r="CY240" i="1"/>
  <c r="X240" i="1" s="1"/>
  <c r="CZ240" i="1"/>
  <c r="Y240" i="1" s="1"/>
  <c r="GL240" i="1"/>
  <c r="GN240" i="1"/>
  <c r="GP240" i="1"/>
  <c r="GV240" i="1"/>
  <c r="GX240" i="1"/>
  <c r="HC240" i="1"/>
  <c r="C241" i="1"/>
  <c r="D241" i="1"/>
  <c r="I241" i="1"/>
  <c r="K241" i="1"/>
  <c r="AC241" i="1"/>
  <c r="AE241" i="1"/>
  <c r="AD241" i="1" s="1"/>
  <c r="AF241" i="1"/>
  <c r="AG241" i="1"/>
  <c r="CU241" i="1" s="1"/>
  <c r="T241" i="1" s="1"/>
  <c r="AH241" i="1"/>
  <c r="AI241" i="1"/>
  <c r="AJ241" i="1"/>
  <c r="CQ241" i="1"/>
  <c r="CR241" i="1"/>
  <c r="CS241" i="1"/>
  <c r="CT241" i="1"/>
  <c r="CV241" i="1"/>
  <c r="CW241" i="1"/>
  <c r="CX241" i="1"/>
  <c r="W241" i="1" s="1"/>
  <c r="GL241" i="1"/>
  <c r="GO241" i="1"/>
  <c r="GP241" i="1"/>
  <c r="GV241" i="1"/>
  <c r="HC241" i="1"/>
  <c r="GX241" i="1" s="1"/>
  <c r="C242" i="1"/>
  <c r="D242" i="1"/>
  <c r="I242" i="1"/>
  <c r="K242" i="1"/>
  <c r="AC242" i="1"/>
  <c r="AE242" i="1"/>
  <c r="AD242" i="1" s="1"/>
  <c r="AF242" i="1"/>
  <c r="AG242" i="1"/>
  <c r="AH242" i="1"/>
  <c r="AI242" i="1"/>
  <c r="AJ242" i="1"/>
  <c r="CQ242" i="1"/>
  <c r="CR242" i="1"/>
  <c r="CS242" i="1"/>
  <c r="CT242" i="1"/>
  <c r="CU242" i="1"/>
  <c r="T242" i="1" s="1"/>
  <c r="CV242" i="1"/>
  <c r="CW242" i="1"/>
  <c r="CX242" i="1"/>
  <c r="W242" i="1" s="1"/>
  <c r="GL242" i="1"/>
  <c r="GN242" i="1"/>
  <c r="GP242" i="1"/>
  <c r="GV242" i="1"/>
  <c r="GX242" i="1"/>
  <c r="HC242" i="1"/>
  <c r="I243" i="1"/>
  <c r="AC243" i="1"/>
  <c r="AD243" i="1"/>
  <c r="AB243" i="1" s="1"/>
  <c r="AE243" i="1"/>
  <c r="AF243" i="1"/>
  <c r="AG243" i="1"/>
  <c r="AH243" i="1"/>
  <c r="AI243" i="1"/>
  <c r="AJ243" i="1"/>
  <c r="CP243" i="1"/>
  <c r="CQ243" i="1"/>
  <c r="CR243" i="1"/>
  <c r="Q243" i="1" s="1"/>
  <c r="CS243" i="1"/>
  <c r="R243" i="1" s="1"/>
  <c r="CT243" i="1"/>
  <c r="S243" i="1" s="1"/>
  <c r="CU243" i="1"/>
  <c r="T243" i="1" s="1"/>
  <c r="CV243" i="1"/>
  <c r="U243" i="1" s="1"/>
  <c r="CW243" i="1"/>
  <c r="V243" i="1" s="1"/>
  <c r="CX243" i="1"/>
  <c r="W243" i="1" s="1"/>
  <c r="CY243" i="1"/>
  <c r="X243" i="1" s="1"/>
  <c r="CZ243" i="1"/>
  <c r="Y243" i="1" s="1"/>
  <c r="GL243" i="1"/>
  <c r="GN243" i="1"/>
  <c r="GP243" i="1"/>
  <c r="GV243" i="1"/>
  <c r="GX243" i="1"/>
  <c r="HC243" i="1"/>
  <c r="I244" i="1"/>
  <c r="K244" i="1"/>
  <c r="AC244" i="1"/>
  <c r="AB244" i="1" s="1"/>
  <c r="AE244" i="1"/>
  <c r="AD244" i="1" s="1"/>
  <c r="AF244" i="1"/>
  <c r="AG244" i="1"/>
  <c r="CU244" i="1" s="1"/>
  <c r="T244" i="1" s="1"/>
  <c r="AH244" i="1"/>
  <c r="AI244" i="1"/>
  <c r="CW244" i="1" s="1"/>
  <c r="V244" i="1" s="1"/>
  <c r="AJ244" i="1"/>
  <c r="CQ244" i="1"/>
  <c r="P244" i="1" s="1"/>
  <c r="CR244" i="1"/>
  <c r="Q244" i="1" s="1"/>
  <c r="CS244" i="1"/>
  <c r="R244" i="1" s="1"/>
  <c r="CT244" i="1"/>
  <c r="S244" i="1" s="1"/>
  <c r="CV244" i="1"/>
  <c r="U244" i="1" s="1"/>
  <c r="CX244" i="1"/>
  <c r="W244" i="1" s="1"/>
  <c r="CY244" i="1"/>
  <c r="X244" i="1" s="1"/>
  <c r="CZ244" i="1"/>
  <c r="Y244" i="1" s="1"/>
  <c r="GL244" i="1"/>
  <c r="GN244" i="1"/>
  <c r="GP244" i="1"/>
  <c r="GV244" i="1"/>
  <c r="HC244" i="1"/>
  <c r="GX244" i="1" s="1"/>
  <c r="I245" i="1"/>
  <c r="K245" i="1"/>
  <c r="AC245" i="1"/>
  <c r="AD245" i="1"/>
  <c r="AB245" i="1" s="1"/>
  <c r="AE245" i="1"/>
  <c r="AF245" i="1"/>
  <c r="AG245" i="1"/>
  <c r="AH245" i="1"/>
  <c r="CV245" i="1" s="1"/>
  <c r="U245" i="1" s="1"/>
  <c r="AI245" i="1"/>
  <c r="AJ245" i="1"/>
  <c r="CX245" i="1" s="1"/>
  <c r="W245" i="1" s="1"/>
  <c r="CQ245" i="1"/>
  <c r="P245" i="1" s="1"/>
  <c r="CR245" i="1"/>
  <c r="Q245" i="1" s="1"/>
  <c r="CS245" i="1"/>
  <c r="R245" i="1" s="1"/>
  <c r="CT245" i="1"/>
  <c r="S245" i="1" s="1"/>
  <c r="CU245" i="1"/>
  <c r="T245" i="1" s="1"/>
  <c r="CW245" i="1"/>
  <c r="V245" i="1" s="1"/>
  <c r="CY245" i="1"/>
  <c r="X245" i="1" s="1"/>
  <c r="CZ245" i="1"/>
  <c r="Y245" i="1" s="1"/>
  <c r="GL245" i="1"/>
  <c r="GN245" i="1"/>
  <c r="GP245" i="1"/>
  <c r="GV245" i="1"/>
  <c r="GX245" i="1"/>
  <c r="HC245" i="1"/>
  <c r="C246" i="1"/>
  <c r="D246" i="1"/>
  <c r="I246" i="1"/>
  <c r="K246" i="1"/>
  <c r="V246" i="1"/>
  <c r="AC246" i="1"/>
  <c r="AE246" i="1"/>
  <c r="AD246" i="1" s="1"/>
  <c r="AF246" i="1"/>
  <c r="AG246" i="1"/>
  <c r="AH246" i="1"/>
  <c r="AI246" i="1"/>
  <c r="AJ246" i="1"/>
  <c r="CQ246" i="1"/>
  <c r="CR246" i="1"/>
  <c r="CS246" i="1"/>
  <c r="CT246" i="1"/>
  <c r="CU246" i="1"/>
  <c r="T246" i="1" s="1"/>
  <c r="CV246" i="1"/>
  <c r="CW246" i="1"/>
  <c r="CX246" i="1"/>
  <c r="W246" i="1" s="1"/>
  <c r="GL246" i="1"/>
  <c r="GN246" i="1"/>
  <c r="GP246" i="1"/>
  <c r="GV246" i="1"/>
  <c r="HC246" i="1"/>
  <c r="GX246" i="1" s="1"/>
  <c r="I247" i="1"/>
  <c r="AC247" i="1"/>
  <c r="AB247" i="1" s="1"/>
  <c r="AE247" i="1"/>
  <c r="AD247" i="1" s="1"/>
  <c r="AF247" i="1"/>
  <c r="AG247" i="1"/>
  <c r="AH247" i="1"/>
  <c r="AI247" i="1"/>
  <c r="AJ247" i="1"/>
  <c r="CP247" i="1"/>
  <c r="CQ247" i="1"/>
  <c r="CR247" i="1"/>
  <c r="Q247" i="1" s="1"/>
  <c r="CS247" i="1"/>
  <c r="R247" i="1" s="1"/>
  <c r="CT247" i="1"/>
  <c r="S247" i="1" s="1"/>
  <c r="CU247" i="1"/>
  <c r="T247" i="1" s="1"/>
  <c r="CV247" i="1"/>
  <c r="U247" i="1" s="1"/>
  <c r="CW247" i="1"/>
  <c r="V247" i="1" s="1"/>
  <c r="CX247" i="1"/>
  <c r="W247" i="1" s="1"/>
  <c r="CY247" i="1"/>
  <c r="X247" i="1" s="1"/>
  <c r="CZ247" i="1"/>
  <c r="Y247" i="1" s="1"/>
  <c r="GL247" i="1"/>
  <c r="GN247" i="1"/>
  <c r="GP247" i="1"/>
  <c r="GV247" i="1"/>
  <c r="HC247" i="1"/>
  <c r="GX247" i="1" s="1"/>
  <c r="C248" i="1"/>
  <c r="D248" i="1"/>
  <c r="I248" i="1"/>
  <c r="K248" i="1"/>
  <c r="V248" i="1"/>
  <c r="AC248" i="1"/>
  <c r="AE248" i="1"/>
  <c r="AD248" i="1" s="1"/>
  <c r="AF248" i="1"/>
  <c r="AG248" i="1"/>
  <c r="AH248" i="1"/>
  <c r="AI248" i="1"/>
  <c r="AJ248" i="1"/>
  <c r="CQ248" i="1"/>
  <c r="CR248" i="1"/>
  <c r="CS248" i="1"/>
  <c r="CT248" i="1"/>
  <c r="CU248" i="1"/>
  <c r="T248" i="1" s="1"/>
  <c r="CV248" i="1"/>
  <c r="CW248" i="1"/>
  <c r="CX248" i="1"/>
  <c r="W248" i="1" s="1"/>
  <c r="GL248" i="1"/>
  <c r="GN248" i="1"/>
  <c r="GP248" i="1"/>
  <c r="GV248" i="1"/>
  <c r="GX248" i="1"/>
  <c r="HC248" i="1"/>
  <c r="I249" i="1"/>
  <c r="AC249" i="1"/>
  <c r="AD249" i="1"/>
  <c r="AB249" i="1" s="1"/>
  <c r="AE249" i="1"/>
  <c r="AF249" i="1"/>
  <c r="AG249" i="1"/>
  <c r="AH249" i="1"/>
  <c r="AI249" i="1"/>
  <c r="AJ249" i="1"/>
  <c r="CP249" i="1"/>
  <c r="CQ249" i="1"/>
  <c r="CR249" i="1"/>
  <c r="Q249" i="1" s="1"/>
  <c r="CS249" i="1"/>
  <c r="R249" i="1" s="1"/>
  <c r="CT249" i="1"/>
  <c r="S249" i="1" s="1"/>
  <c r="CU249" i="1"/>
  <c r="T249" i="1" s="1"/>
  <c r="CV249" i="1"/>
  <c r="U249" i="1" s="1"/>
  <c r="CW249" i="1"/>
  <c r="V249" i="1" s="1"/>
  <c r="CX249" i="1"/>
  <c r="W249" i="1" s="1"/>
  <c r="CY249" i="1"/>
  <c r="X249" i="1" s="1"/>
  <c r="CZ249" i="1"/>
  <c r="Y249" i="1" s="1"/>
  <c r="GL249" i="1"/>
  <c r="GN249" i="1"/>
  <c r="GP249" i="1"/>
  <c r="GV249" i="1"/>
  <c r="GX249" i="1"/>
  <c r="HC249" i="1"/>
  <c r="B251" i="1"/>
  <c r="B230" i="1" s="1"/>
  <c r="C251" i="1"/>
  <c r="C230" i="1" s="1"/>
  <c r="D251" i="1"/>
  <c r="D230" i="1" s="1"/>
  <c r="F251" i="1"/>
  <c r="F230" i="1" s="1"/>
  <c r="G251" i="1"/>
  <c r="G230" i="1" s="1"/>
  <c r="BX251" i="1"/>
  <c r="BX230" i="1" s="1"/>
  <c r="BY251" i="1"/>
  <c r="BY230" i="1" s="1"/>
  <c r="CK251" i="1"/>
  <c r="CK230" i="1" s="1"/>
  <c r="CL251" i="1"/>
  <c r="CL230" i="1" s="1"/>
  <c r="CM251" i="1"/>
  <c r="CM230" i="1" s="1"/>
  <c r="B281" i="1"/>
  <c r="B22" i="1" s="1"/>
  <c r="C281" i="1"/>
  <c r="C22" i="1" s="1"/>
  <c r="D281" i="1"/>
  <c r="D22" i="1" s="1"/>
  <c r="F281" i="1"/>
  <c r="F22" i="1" s="1"/>
  <c r="G281" i="1"/>
  <c r="G22" i="1" s="1"/>
  <c r="D311" i="1"/>
  <c r="F311" i="1"/>
  <c r="B311" i="1" s="1"/>
  <c r="B313" i="1"/>
  <c r="B18" i="1" s="1"/>
  <c r="C313" i="1"/>
  <c r="C18" i="1" s="1"/>
  <c r="D313" i="1"/>
  <c r="D18" i="1" s="1"/>
  <c r="F313" i="1"/>
  <c r="F18" i="1" s="1"/>
  <c r="G313" i="1"/>
  <c r="G18" i="1" s="1"/>
  <c r="F12" i="6"/>
  <c r="G12" i="6"/>
  <c r="CD251" i="1" l="1"/>
  <c r="CD230" i="1" s="1"/>
  <c r="L256" i="7"/>
  <c r="L248" i="7" s="1"/>
  <c r="L297" i="7" s="1"/>
  <c r="L108" i="7"/>
  <c r="BZ251" i="1"/>
  <c r="BZ230" i="1" s="1"/>
  <c r="AW167" i="7"/>
  <c r="L162" i="7"/>
  <c r="L210" i="7"/>
  <c r="L278" i="7"/>
  <c r="L219" i="7"/>
  <c r="L171" i="7"/>
  <c r="K39" i="7"/>
  <c r="L207" i="7"/>
  <c r="L63" i="7"/>
  <c r="L116" i="7"/>
  <c r="AT131" i="7"/>
  <c r="L232" i="7" s="1"/>
  <c r="L76" i="7"/>
  <c r="L239" i="7"/>
  <c r="L78" i="7"/>
  <c r="L227" i="7"/>
  <c r="L212" i="7"/>
  <c r="L62" i="7"/>
  <c r="AB242" i="1"/>
  <c r="AB232" i="1"/>
  <c r="AB248" i="1"/>
  <c r="AB236" i="1"/>
  <c r="CP245" i="1"/>
  <c r="O245" i="1" s="1"/>
  <c r="GM245" i="1" s="1"/>
  <c r="GO245" i="1" s="1"/>
  <c r="CP239" i="1"/>
  <c r="O239" i="1" s="1"/>
  <c r="GM239" i="1" s="1"/>
  <c r="GO239" i="1" s="1"/>
  <c r="CP237" i="1"/>
  <c r="O237" i="1" s="1"/>
  <c r="GM237" i="1" s="1"/>
  <c r="GO237" i="1" s="1"/>
  <c r="CJ251" i="1"/>
  <c r="CP235" i="1"/>
  <c r="O235" i="1" s="1"/>
  <c r="GM235" i="1" s="1"/>
  <c r="GO235" i="1" s="1"/>
  <c r="AG251" i="1"/>
  <c r="AJ251" i="1"/>
  <c r="AB246" i="1"/>
  <c r="CP244" i="1"/>
  <c r="O244" i="1" s="1"/>
  <c r="GM244" i="1" s="1"/>
  <c r="GO244" i="1" s="1"/>
  <c r="AB241" i="1"/>
  <c r="CP240" i="1"/>
  <c r="O240" i="1" s="1"/>
  <c r="GM240" i="1" s="1"/>
  <c r="GO240" i="1" s="1"/>
  <c r="AB239" i="1"/>
  <c r="CP238" i="1"/>
  <c r="O238" i="1" s="1"/>
  <c r="GM238" i="1" s="1"/>
  <c r="GO238" i="1" s="1"/>
  <c r="AB237" i="1"/>
  <c r="AB235" i="1"/>
  <c r="BD251" i="1"/>
  <c r="BB251" i="1"/>
  <c r="AP251" i="1"/>
  <c r="CU21" i="3"/>
  <c r="P247" i="1" s="1"/>
  <c r="CX22" i="3"/>
  <c r="CX24" i="3"/>
  <c r="CX26" i="3"/>
  <c r="CX27" i="3"/>
  <c r="CV10" i="3"/>
  <c r="U241" i="1" s="1"/>
  <c r="G102" i="7" s="1"/>
  <c r="CX10" i="3"/>
  <c r="CX12" i="3"/>
  <c r="CU10" i="3"/>
  <c r="BC251" i="1"/>
  <c r="AU251" i="1"/>
  <c r="AO251" i="1"/>
  <c r="CV28" i="3"/>
  <c r="U248" i="1" s="1"/>
  <c r="G154" i="7" s="1"/>
  <c r="CX29" i="3"/>
  <c r="CX31" i="3"/>
  <c r="CX33" i="3"/>
  <c r="CU28" i="3"/>
  <c r="P249" i="1" s="1"/>
  <c r="CU13" i="3"/>
  <c r="P243" i="1" s="1"/>
  <c r="CX15" i="3"/>
  <c r="CX14" i="3"/>
  <c r="CX18" i="3"/>
  <c r="CX20" i="3"/>
  <c r="AB233" i="1"/>
  <c r="CV4" i="3"/>
  <c r="CU5" i="3"/>
  <c r="CU4" i="3"/>
  <c r="P234" i="1" s="1"/>
  <c r="CX4" i="3"/>
  <c r="CV5" i="3"/>
  <c r="CX6" i="3"/>
  <c r="CX7" i="3"/>
  <c r="CX8" i="3"/>
  <c r="CX34" i="3"/>
  <c r="CX32" i="3"/>
  <c r="CX30" i="3"/>
  <c r="CX28" i="3"/>
  <c r="CX16" i="3"/>
  <c r="CV1" i="3"/>
  <c r="U232" i="1" s="1"/>
  <c r="G56" i="7" s="1"/>
  <c r="CX3" i="3"/>
  <c r="CU1" i="3"/>
  <c r="CX1" i="3"/>
  <c r="CW3" i="3"/>
  <c r="V232" i="1" s="1"/>
  <c r="G59" i="7" s="1"/>
  <c r="CV13" i="3"/>
  <c r="U242" i="1" s="1"/>
  <c r="G114" i="7" s="1"/>
  <c r="CX11" i="3"/>
  <c r="CV9" i="3"/>
  <c r="U236" i="1" s="1"/>
  <c r="G85" i="7" s="1"/>
  <c r="CX21" i="3"/>
  <c r="CX19" i="3"/>
  <c r="CX17" i="3"/>
  <c r="CW15" i="3"/>
  <c r="CW12" i="3"/>
  <c r="CX2" i="3"/>
  <c r="CX25" i="3"/>
  <c r="CX23" i="3"/>
  <c r="CV21" i="3"/>
  <c r="U246" i="1" s="1"/>
  <c r="G139" i="7" s="1"/>
  <c r="CW16" i="3"/>
  <c r="CX13" i="3"/>
  <c r="CW11" i="3"/>
  <c r="V241" i="1" s="1"/>
  <c r="G105" i="7" s="1"/>
  <c r="CX9" i="3"/>
  <c r="CW7" i="3"/>
  <c r="V233" i="1" s="1"/>
  <c r="G73" i="7" s="1"/>
  <c r="CX5" i="3"/>
  <c r="CG251" i="1" l="1"/>
  <c r="CG230" i="1" s="1"/>
  <c r="AQ251" i="1"/>
  <c r="AQ230" i="1" s="1"/>
  <c r="CI251" i="1"/>
  <c r="L254" i="7"/>
  <c r="O234" i="1"/>
  <c r="GM234" i="1" s="1"/>
  <c r="GO234" i="1" s="1"/>
  <c r="L77" i="7"/>
  <c r="O243" i="1"/>
  <c r="GM243" i="1" s="1"/>
  <c r="GO243" i="1" s="1"/>
  <c r="L127" i="7"/>
  <c r="O247" i="1"/>
  <c r="GM247" i="1" s="1"/>
  <c r="GO247" i="1" s="1"/>
  <c r="L148" i="7"/>
  <c r="O249" i="1"/>
  <c r="GM249" i="1" s="1"/>
  <c r="GO249" i="1" s="1"/>
  <c r="L163" i="7"/>
  <c r="L283" i="7"/>
  <c r="L183" i="7"/>
  <c r="L128" i="7"/>
  <c r="L176" i="7"/>
  <c r="K40" i="7"/>
  <c r="AO131" i="7"/>
  <c r="L126" i="7"/>
  <c r="L290" i="7"/>
  <c r="L208" i="7"/>
  <c r="L205" i="7" s="1"/>
  <c r="AX251" i="1"/>
  <c r="AX230" i="1" s="1"/>
  <c r="DF23" i="3"/>
  <c r="DJ23" i="3" s="1"/>
  <c r="DH23" i="3"/>
  <c r="DG23" i="3"/>
  <c r="DI23" i="3"/>
  <c r="DF2" i="3"/>
  <c r="DH2" i="3"/>
  <c r="DG2" i="3"/>
  <c r="DI2" i="3"/>
  <c r="DJ2" i="3" s="1"/>
  <c r="DF19" i="3"/>
  <c r="DJ19" i="3" s="1"/>
  <c r="DH19" i="3"/>
  <c r="DI19" i="3"/>
  <c r="DG19" i="3"/>
  <c r="DG1" i="3"/>
  <c r="DI1" i="3"/>
  <c r="DF1" i="3"/>
  <c r="DH1" i="3"/>
  <c r="DG16" i="3"/>
  <c r="DI16" i="3"/>
  <c r="DH16" i="3"/>
  <c r="DF16" i="3"/>
  <c r="DG30" i="3"/>
  <c r="DI30" i="3"/>
  <c r="DF30" i="3"/>
  <c r="DJ30" i="3" s="1"/>
  <c r="DH30" i="3"/>
  <c r="DG34" i="3"/>
  <c r="DI34" i="3"/>
  <c r="DF34" i="3"/>
  <c r="DJ34" i="3" s="1"/>
  <c r="DH34" i="3"/>
  <c r="DG7" i="3"/>
  <c r="DJ7" i="3" s="1"/>
  <c r="DI7" i="3"/>
  <c r="DF7" i="3"/>
  <c r="DH7" i="3"/>
  <c r="DF5" i="3"/>
  <c r="DH5" i="3"/>
  <c r="DG5" i="3"/>
  <c r="DI5" i="3"/>
  <c r="DJ5" i="3" s="1"/>
  <c r="DF9" i="3"/>
  <c r="P236" i="1" s="1"/>
  <c r="DH9" i="3"/>
  <c r="R236" i="1" s="1"/>
  <c r="DI9" i="3"/>
  <c r="DG9" i="3"/>
  <c r="Q236" i="1" s="1"/>
  <c r="DF13" i="3"/>
  <c r="DH13" i="3"/>
  <c r="DI13" i="3"/>
  <c r="DG13" i="3"/>
  <c r="DF25" i="3"/>
  <c r="DJ25" i="3" s="1"/>
  <c r="DH25" i="3"/>
  <c r="DG25" i="3"/>
  <c r="DI25" i="3"/>
  <c r="DF17" i="3"/>
  <c r="DJ17" i="3" s="1"/>
  <c r="DH17" i="3"/>
  <c r="DI17" i="3"/>
  <c r="DG17" i="3"/>
  <c r="DF21" i="3"/>
  <c r="DH21" i="3"/>
  <c r="DG21" i="3"/>
  <c r="DI21" i="3"/>
  <c r="DG11" i="3"/>
  <c r="DI11" i="3"/>
  <c r="DH11" i="3"/>
  <c r="DF11" i="3"/>
  <c r="DG28" i="3"/>
  <c r="DI28" i="3"/>
  <c r="DF28" i="3"/>
  <c r="DH28" i="3"/>
  <c r="DG32" i="3"/>
  <c r="DI32" i="3"/>
  <c r="DF32" i="3"/>
  <c r="DJ32" i="3" s="1"/>
  <c r="DH32" i="3"/>
  <c r="DG8" i="3"/>
  <c r="DI8" i="3"/>
  <c r="DF8" i="3"/>
  <c r="DJ8" i="3" s="1"/>
  <c r="DH8" i="3"/>
  <c r="DG6" i="3"/>
  <c r="DI6" i="3"/>
  <c r="DJ6" i="3" s="1"/>
  <c r="DF6" i="3"/>
  <c r="DH6" i="3"/>
  <c r="DG4" i="3"/>
  <c r="Q233" i="1" s="1"/>
  <c r="DI4" i="3"/>
  <c r="DF4" i="3"/>
  <c r="P233" i="1" s="1"/>
  <c r="DH4" i="3"/>
  <c r="R233" i="1" s="1"/>
  <c r="DG18" i="3"/>
  <c r="DI18" i="3"/>
  <c r="DH18" i="3"/>
  <c r="DF18" i="3"/>
  <c r="DJ18" i="3" s="1"/>
  <c r="DG15" i="3"/>
  <c r="DJ15" i="3" s="1"/>
  <c r="DI15" i="3"/>
  <c r="DF15" i="3"/>
  <c r="DH15" i="3"/>
  <c r="DF31" i="3"/>
  <c r="DJ31" i="3" s="1"/>
  <c r="DH31" i="3"/>
  <c r="DG31" i="3"/>
  <c r="DI31" i="3"/>
  <c r="F261" i="1"/>
  <c r="BC230" i="1"/>
  <c r="F267" i="1"/>
  <c r="BC281" i="1"/>
  <c r="DG12" i="3"/>
  <c r="DJ12" i="3" s="1"/>
  <c r="DI12" i="3"/>
  <c r="DF12" i="3"/>
  <c r="DH12" i="3"/>
  <c r="DG26" i="3"/>
  <c r="DF26" i="3"/>
  <c r="DJ26" i="3" s="1"/>
  <c r="DI26" i="3"/>
  <c r="DH26" i="3"/>
  <c r="DG22" i="3"/>
  <c r="DI22" i="3"/>
  <c r="DF22" i="3"/>
  <c r="DJ22" i="3" s="1"/>
  <c r="DH22" i="3"/>
  <c r="AP230" i="1"/>
  <c r="AP281" i="1"/>
  <c r="F260" i="1"/>
  <c r="BD230" i="1"/>
  <c r="BD281" i="1"/>
  <c r="F276" i="1"/>
  <c r="AG230" i="1"/>
  <c r="T251" i="1"/>
  <c r="CJ230" i="1"/>
  <c r="BA251" i="1"/>
  <c r="V242" i="1"/>
  <c r="DF3" i="3"/>
  <c r="DH3" i="3"/>
  <c r="DG3" i="3"/>
  <c r="DJ3" i="3" s="1"/>
  <c r="DI3" i="3"/>
  <c r="U233" i="1"/>
  <c r="DG20" i="3"/>
  <c r="DI20" i="3"/>
  <c r="DH20" i="3"/>
  <c r="DF20" i="3"/>
  <c r="DJ20" i="3" s="1"/>
  <c r="DG14" i="3"/>
  <c r="DI14" i="3"/>
  <c r="DJ14" i="3" s="1"/>
  <c r="DH14" i="3"/>
  <c r="DF14" i="3"/>
  <c r="DF33" i="3"/>
  <c r="DJ33" i="3" s="1"/>
  <c r="DH33" i="3"/>
  <c r="DG33" i="3"/>
  <c r="DI33" i="3"/>
  <c r="DF29" i="3"/>
  <c r="DJ29" i="3" s="1"/>
  <c r="DH29" i="3"/>
  <c r="DG29" i="3"/>
  <c r="DI29" i="3"/>
  <c r="AO230" i="1"/>
  <c r="F255" i="1"/>
  <c r="AO281" i="1"/>
  <c r="AU230" i="1"/>
  <c r="F270" i="1"/>
  <c r="AU281" i="1"/>
  <c r="DG10" i="3"/>
  <c r="Q241" i="1" s="1"/>
  <c r="DI10" i="3"/>
  <c r="DF10" i="3"/>
  <c r="P241" i="1" s="1"/>
  <c r="DH10" i="3"/>
  <c r="R241" i="1" s="1"/>
  <c r="DF27" i="3"/>
  <c r="DJ27" i="3" s="1"/>
  <c r="DH27" i="3"/>
  <c r="DG27" i="3"/>
  <c r="DI27" i="3"/>
  <c r="DG24" i="3"/>
  <c r="DI24" i="3"/>
  <c r="DF24" i="3"/>
  <c r="DJ24" i="3" s="1"/>
  <c r="DH24" i="3"/>
  <c r="AX281" i="1"/>
  <c r="BB230" i="1"/>
  <c r="BB281" i="1"/>
  <c r="F264" i="1"/>
  <c r="AJ230" i="1"/>
  <c r="W251" i="1"/>
  <c r="F258" i="1" l="1"/>
  <c r="AQ281" i="1"/>
  <c r="CI230" i="1"/>
  <c r="AZ251" i="1"/>
  <c r="AH251" i="1"/>
  <c r="G69" i="7"/>
  <c r="AN163" i="7"/>
  <c r="AW163" i="7"/>
  <c r="AN148" i="7"/>
  <c r="AW148" i="7"/>
  <c r="AN127" i="7"/>
  <c r="AW127" i="7"/>
  <c r="AN77" i="7"/>
  <c r="AW77" i="7"/>
  <c r="AI251" i="1"/>
  <c r="G117" i="7"/>
  <c r="L174" i="7"/>
  <c r="L172" i="7" s="1"/>
  <c r="L281" i="7"/>
  <c r="L279" i="7" s="1"/>
  <c r="L230" i="7"/>
  <c r="L228" i="7" s="1"/>
  <c r="AH230" i="1"/>
  <c r="U251" i="1"/>
  <c r="AI230" i="1"/>
  <c r="V251" i="1"/>
  <c r="AX22" i="1"/>
  <c r="F288" i="1"/>
  <c r="AX313" i="1"/>
  <c r="AU22" i="1"/>
  <c r="F300" i="1"/>
  <c r="C44" i="7" s="1"/>
  <c r="AU313" i="1"/>
  <c r="BB22" i="1"/>
  <c r="F294" i="1"/>
  <c r="BB313" i="1"/>
  <c r="AO22" i="1"/>
  <c r="F285" i="1"/>
  <c r="AO313" i="1"/>
  <c r="BD22" i="1"/>
  <c r="F306" i="1"/>
  <c r="BD313" i="1"/>
  <c r="AP22" i="1"/>
  <c r="F290" i="1"/>
  <c r="G16" i="2" s="1"/>
  <c r="AP313" i="1"/>
  <c r="BC22" i="1"/>
  <c r="F297" i="1"/>
  <c r="BC313" i="1"/>
  <c r="DJ4" i="3"/>
  <c r="S233" i="1"/>
  <c r="CP233" i="1" s="1"/>
  <c r="O233" i="1" s="1"/>
  <c r="R248" i="1"/>
  <c r="DJ28" i="3"/>
  <c r="S248" i="1"/>
  <c r="DJ21" i="3"/>
  <c r="S246" i="1"/>
  <c r="R246" i="1"/>
  <c r="Q242" i="1"/>
  <c r="R242" i="1"/>
  <c r="R232" i="1"/>
  <c r="DJ1" i="3"/>
  <c r="S232" i="1"/>
  <c r="W230" i="1"/>
  <c r="F275" i="1"/>
  <c r="W281" i="1"/>
  <c r="DJ10" i="3"/>
  <c r="S241" i="1"/>
  <c r="BA230" i="1"/>
  <c r="F271" i="1"/>
  <c r="BA281" i="1"/>
  <c r="T230" i="1"/>
  <c r="F272" i="1"/>
  <c r="T281" i="1"/>
  <c r="AQ22" i="1"/>
  <c r="AQ313" i="1"/>
  <c r="F291" i="1"/>
  <c r="P248" i="1"/>
  <c r="Q248" i="1"/>
  <c r="DJ11" i="3"/>
  <c r="Q246" i="1"/>
  <c r="P246" i="1"/>
  <c r="DJ13" i="3"/>
  <c r="S242" i="1"/>
  <c r="P242" i="1"/>
  <c r="DJ9" i="3"/>
  <c r="S236" i="1"/>
  <c r="DJ16" i="3"/>
  <c r="P232" i="1"/>
  <c r="Q232" i="1"/>
  <c r="AZ230" i="1" l="1"/>
  <c r="F262" i="1"/>
  <c r="AZ281" i="1"/>
  <c r="CP242" i="1"/>
  <c r="O242" i="1" s="1"/>
  <c r="AE251" i="1"/>
  <c r="L287" i="7"/>
  <c r="L285" i="7" s="1"/>
  <c r="L276" i="7" s="1"/>
  <c r="L236" i="7"/>
  <c r="L234" i="7" s="1"/>
  <c r="L225" i="7" s="1"/>
  <c r="L180" i="7"/>
  <c r="L178" i="7" s="1"/>
  <c r="L169" i="7" s="1"/>
  <c r="AD251" i="1"/>
  <c r="AD230" i="1" s="1"/>
  <c r="Q251" i="1"/>
  <c r="CZ236" i="1"/>
  <c r="Y236" i="1" s="1"/>
  <c r="BA92" i="7" s="1"/>
  <c r="L91" i="7" s="1"/>
  <c r="CY236" i="1"/>
  <c r="X236" i="1" s="1"/>
  <c r="AZ92" i="7" s="1"/>
  <c r="L90" i="7" s="1"/>
  <c r="CP232" i="1"/>
  <c r="O232" i="1" s="1"/>
  <c r="AC251" i="1"/>
  <c r="CP236" i="1"/>
  <c r="O236" i="1" s="1"/>
  <c r="CZ242" i="1"/>
  <c r="Y242" i="1" s="1"/>
  <c r="CY242" i="1"/>
  <c r="X242" i="1" s="1"/>
  <c r="AZ131" i="7" s="1"/>
  <c r="L129" i="7" s="1"/>
  <c r="CP246" i="1"/>
  <c r="O246" i="1" s="1"/>
  <c r="CP248" i="1"/>
  <c r="O248" i="1" s="1"/>
  <c r="T22" i="1"/>
  <c r="F302" i="1"/>
  <c r="T313" i="1"/>
  <c r="CY241" i="1"/>
  <c r="X241" i="1" s="1"/>
  <c r="AZ112" i="7" s="1"/>
  <c r="L110" i="7" s="1"/>
  <c r="CZ241" i="1"/>
  <c r="Y241" i="1" s="1"/>
  <c r="BA112" i="7" s="1"/>
  <c r="L111" i="7" s="1"/>
  <c r="W22" i="1"/>
  <c r="F305" i="1"/>
  <c r="W313" i="1"/>
  <c r="CY233" i="1"/>
  <c r="X233" i="1" s="1"/>
  <c r="AZ81" i="7" s="1"/>
  <c r="CZ233" i="1"/>
  <c r="Y233" i="1" s="1"/>
  <c r="BA81" i="7" s="1"/>
  <c r="BC18" i="1"/>
  <c r="F329" i="1"/>
  <c r="BD18" i="1"/>
  <c r="F338" i="1"/>
  <c r="CP241" i="1"/>
  <c r="O241" i="1" s="1"/>
  <c r="GM241" i="1" s="1"/>
  <c r="GN241" i="1" s="1"/>
  <c r="AU18" i="1"/>
  <c r="F332" i="1"/>
  <c r="V230" i="1"/>
  <c r="F274" i="1"/>
  <c r="G198" i="7" s="1"/>
  <c r="V281" i="1"/>
  <c r="U230" i="1"/>
  <c r="F273" i="1"/>
  <c r="G197" i="7" s="1"/>
  <c r="U281" i="1"/>
  <c r="AQ18" i="1"/>
  <c r="F323" i="1"/>
  <c r="BA22" i="1"/>
  <c r="F301" i="1"/>
  <c r="H16" i="2" s="1"/>
  <c r="BA313" i="1"/>
  <c r="CZ232" i="1"/>
  <c r="Y232" i="1" s="1"/>
  <c r="BA66" i="7" s="1"/>
  <c r="CY232" i="1"/>
  <c r="X232" i="1" s="1"/>
  <c r="AZ66" i="7" s="1"/>
  <c r="AF251" i="1"/>
  <c r="AE230" i="1"/>
  <c r="R251" i="1"/>
  <c r="CY246" i="1"/>
  <c r="X246" i="1" s="1"/>
  <c r="AZ152" i="7" s="1"/>
  <c r="L150" i="7" s="1"/>
  <c r="CZ246" i="1"/>
  <c r="Y246" i="1" s="1"/>
  <c r="BA152" i="7" s="1"/>
  <c r="L151" i="7" s="1"/>
  <c r="CZ248" i="1"/>
  <c r="Y248" i="1" s="1"/>
  <c r="BA167" i="7" s="1"/>
  <c r="L166" i="7" s="1"/>
  <c r="CY248" i="1"/>
  <c r="X248" i="1" s="1"/>
  <c r="AZ167" i="7" s="1"/>
  <c r="L165" i="7" s="1"/>
  <c r="AP18" i="1"/>
  <c r="F322" i="1"/>
  <c r="AO18" i="1"/>
  <c r="F317" i="1"/>
  <c r="BB18" i="1"/>
  <c r="F326" i="1"/>
  <c r="AX18" i="1"/>
  <c r="F320" i="1"/>
  <c r="AZ22" i="1" l="1"/>
  <c r="AZ313" i="1"/>
  <c r="F292" i="1"/>
  <c r="AN152" i="7"/>
  <c r="K152" i="7"/>
  <c r="I152" i="7" s="1"/>
  <c r="K92" i="7"/>
  <c r="I92" i="7" s="1"/>
  <c r="AN92" i="7"/>
  <c r="L220" i="7"/>
  <c r="L184" i="7"/>
  <c r="L64" i="7"/>
  <c r="L291" i="7"/>
  <c r="L79" i="7"/>
  <c r="L240" i="7"/>
  <c r="GM242" i="1"/>
  <c r="GO242" i="1" s="1"/>
  <c r="BA131" i="7"/>
  <c r="L130" i="7" s="1"/>
  <c r="K131" i="7" s="1"/>
  <c r="I131" i="7" s="1"/>
  <c r="K167" i="7"/>
  <c r="I167" i="7" s="1"/>
  <c r="AN167" i="7"/>
  <c r="L221" i="7"/>
  <c r="L292" i="7"/>
  <c r="L65" i="7"/>
  <c r="L185" i="7"/>
  <c r="GM233" i="1"/>
  <c r="GO233" i="1" s="1"/>
  <c r="L241" i="7"/>
  <c r="L80" i="7"/>
  <c r="AN112" i="7"/>
  <c r="K112" i="7"/>
  <c r="I112" i="7" s="1"/>
  <c r="AN131" i="7"/>
  <c r="R230" i="1"/>
  <c r="F265" i="1"/>
  <c r="R281" i="1"/>
  <c r="AF230" i="1"/>
  <c r="S251" i="1"/>
  <c r="U22" i="1"/>
  <c r="F303" i="1"/>
  <c r="U313" i="1"/>
  <c r="T18" i="1"/>
  <c r="F334" i="1"/>
  <c r="GM246" i="1"/>
  <c r="GO246" i="1" s="1"/>
  <c r="AC230" i="1"/>
  <c r="CF251" i="1"/>
  <c r="CH251" i="1"/>
  <c r="P251" i="1"/>
  <c r="CE251" i="1"/>
  <c r="Q230" i="1"/>
  <c r="F263" i="1"/>
  <c r="Q281" i="1"/>
  <c r="AL251" i="1"/>
  <c r="AK251" i="1"/>
  <c r="BA18" i="1"/>
  <c r="F333" i="1"/>
  <c r="V22" i="1"/>
  <c r="F304" i="1"/>
  <c r="V313" i="1"/>
  <c r="W18" i="1"/>
  <c r="F337" i="1"/>
  <c r="GM248" i="1"/>
  <c r="GO248" i="1" s="1"/>
  <c r="GM236" i="1"/>
  <c r="GN236" i="1" s="1"/>
  <c r="GM232" i="1"/>
  <c r="AB251" i="1"/>
  <c r="AZ18" i="1" l="1"/>
  <c r="F324" i="1"/>
  <c r="L223" i="7"/>
  <c r="L193" i="7"/>
  <c r="K42" i="7"/>
  <c r="G308" i="7"/>
  <c r="K41" i="7"/>
  <c r="G307" i="7"/>
  <c r="K81" i="7"/>
  <c r="I81" i="7" s="1"/>
  <c r="AN81" i="7"/>
  <c r="K66" i="7"/>
  <c r="I66" i="7" s="1"/>
  <c r="AN66" i="7"/>
  <c r="L203" i="7"/>
  <c r="L274" i="7" s="1"/>
  <c r="CC251" i="1"/>
  <c r="CC230" i="1" s="1"/>
  <c r="GN232" i="1"/>
  <c r="CB251" i="1" s="1"/>
  <c r="CA251" i="1"/>
  <c r="AK230" i="1"/>
  <c r="X251" i="1"/>
  <c r="Q22" i="1"/>
  <c r="F293" i="1"/>
  <c r="Q313" i="1"/>
  <c r="P230" i="1"/>
  <c r="F254" i="1"/>
  <c r="P281" i="1"/>
  <c r="CF230" i="1"/>
  <c r="AW251" i="1"/>
  <c r="AB230" i="1"/>
  <c r="O251" i="1"/>
  <c r="V18" i="1"/>
  <c r="F336" i="1"/>
  <c r="AL230" i="1"/>
  <c r="Y251" i="1"/>
  <c r="CE230" i="1"/>
  <c r="AV251" i="1"/>
  <c r="CH230" i="1"/>
  <c r="AY251" i="1"/>
  <c r="U18" i="1"/>
  <c r="F335" i="1"/>
  <c r="S230" i="1"/>
  <c r="S281" i="1"/>
  <c r="F266" i="1"/>
  <c r="R22" i="1"/>
  <c r="R313" i="1"/>
  <c r="F295" i="1"/>
  <c r="AT251" i="1" l="1"/>
  <c r="S22" i="1"/>
  <c r="F296" i="1"/>
  <c r="J16" i="2" s="1"/>
  <c r="S313" i="1"/>
  <c r="AY230" i="1"/>
  <c r="F259" i="1"/>
  <c r="AY281" i="1"/>
  <c r="Y230" i="1"/>
  <c r="Y281" i="1"/>
  <c r="F278" i="1"/>
  <c r="P22" i="1"/>
  <c r="F284" i="1"/>
  <c r="P313" i="1"/>
  <c r="X230" i="1"/>
  <c r="F277" i="1"/>
  <c r="X281" i="1"/>
  <c r="CA230" i="1"/>
  <c r="AR251" i="1"/>
  <c r="AT230" i="1"/>
  <c r="F269" i="1"/>
  <c r="AT281" i="1"/>
  <c r="AV230" i="1"/>
  <c r="AV281" i="1"/>
  <c r="F256" i="1"/>
  <c r="O230" i="1"/>
  <c r="F253" i="1"/>
  <c r="O281" i="1"/>
  <c r="AW230" i="1"/>
  <c r="F257" i="1"/>
  <c r="AW281" i="1"/>
  <c r="R18" i="1"/>
  <c r="F327" i="1"/>
  <c r="Q18" i="1"/>
  <c r="F325" i="1"/>
  <c r="CB230" i="1"/>
  <c r="AS251" i="1"/>
  <c r="AV22" i="1" l="1"/>
  <c r="F286" i="1"/>
  <c r="AV313" i="1"/>
  <c r="P18" i="1"/>
  <c r="F316" i="1"/>
  <c r="Y22" i="1"/>
  <c r="F308" i="1"/>
  <c r="Y313" i="1"/>
  <c r="AY22" i="1"/>
  <c r="F289" i="1"/>
  <c r="AY313" i="1"/>
  <c r="O22" i="1"/>
  <c r="F283" i="1"/>
  <c r="O313" i="1"/>
  <c r="AT22" i="1"/>
  <c r="F299" i="1"/>
  <c r="AT313" i="1"/>
  <c r="AS230" i="1"/>
  <c r="F268" i="1"/>
  <c r="AS281" i="1"/>
  <c r="AW22" i="1"/>
  <c r="F287" i="1"/>
  <c r="AW313" i="1"/>
  <c r="AR230" i="1"/>
  <c r="F279" i="1"/>
  <c r="AR281" i="1"/>
  <c r="X22" i="1"/>
  <c r="X313" i="1"/>
  <c r="F307" i="1"/>
  <c r="S18" i="1"/>
  <c r="F328" i="1"/>
  <c r="F16" i="2" l="1"/>
  <c r="C42" i="7"/>
  <c r="AR22" i="1"/>
  <c r="F309" i="1"/>
  <c r="AR313" i="1"/>
  <c r="O18" i="1"/>
  <c r="F315" i="1"/>
  <c r="Y18" i="1"/>
  <c r="F340" i="1"/>
  <c r="X18" i="1"/>
  <c r="F339" i="1"/>
  <c r="AS22" i="1"/>
  <c r="F298" i="1"/>
  <c r="AS313" i="1"/>
  <c r="AW18" i="1"/>
  <c r="F319" i="1"/>
  <c r="AT18" i="1"/>
  <c r="F331" i="1"/>
  <c r="AY18" i="1"/>
  <c r="F321" i="1"/>
  <c r="AV18" i="1"/>
  <c r="F318" i="1"/>
  <c r="E16" i="2" l="1"/>
  <c r="I16" i="2" s="1"/>
  <c r="N16" i="2" s="1"/>
  <c r="C41" i="7"/>
  <c r="C38" i="7" s="1"/>
  <c r="AS18" i="1"/>
  <c r="F330" i="1"/>
  <c r="AR18" i="1"/>
  <c r="F341" i="1"/>
</calcChain>
</file>

<file path=xl/sharedStrings.xml><?xml version="1.0" encoding="utf-8"?>
<sst xmlns="http://schemas.openxmlformats.org/spreadsheetml/2006/main" count="3179" uniqueCount="452">
  <si>
    <t>Smeta.RU  (495) 974-1589</t>
  </si>
  <si>
    <t>_PS_</t>
  </si>
  <si>
    <t>Smeta.RU</t>
  </si>
  <si>
    <t>Федеральное государственное бюджетное образовательное учреждение высшего образования "Орловский государственный институт культуры"  Доп. раб. место  FStS-0042245</t>
  </si>
  <si>
    <t>ЛСР02-01-06_(Копия)</t>
  </si>
  <si>
    <t>02-01-06 Электрика костюм.</t>
  </si>
  <si>
    <t/>
  </si>
  <si>
    <t>Н.В.Александриа</t>
  </si>
  <si>
    <t>О.В. Захарова</t>
  </si>
  <si>
    <t>Сметные нормы списания</t>
  </si>
  <si>
    <t>Коды ценников</t>
  </si>
  <si>
    <t>ГЭСН-2022 года (421пр+557пр+55пр Ресурсно-индексный метод) Ремонт жилых и общ. зданий</t>
  </si>
  <si>
    <t>Версия 1.13.0 для ФСНБ-2022 И14</t>
  </si>
  <si>
    <t>ГЭСН-2022 с Изм.14 от 2025.05.19 (2 квартал 2025 г.)</t>
  </si>
  <si>
    <t>Поправки для базы ФСНБ-2022 И14 от 2025.05.23 (55/пр) Ремонт жилых и общественных зданий</t>
  </si>
  <si>
    <t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t>
  </si>
  <si>
    <t>ГСН</t>
  </si>
  <si>
    <t>ЛСР02-01-06</t>
  </si>
  <si>
    <t>02-01-06 Электрика.</t>
  </si>
  <si>
    <t>Электромонтажные работы</t>
  </si>
  <si>
    <t>7</t>
  </si>
  <si>
    <t>БЛОК САНУЗЛОВ 1 (2-ой ЭТАЖ)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</si>
  <si>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</si>
  <si>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</si>
  <si>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</si>
  <si>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</si>
  <si>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</si>
  <si>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</si>
  <si>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</si>
  <si>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</si>
  <si>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</si>
  <si>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</si>
  <si>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</si>
  <si>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</si>
  <si>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</si>
  <si>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</si>
  <si>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</si>
  <si>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</si>
  <si>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</si>
  <si>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</si>
  <si>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</si>
  <si>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</si>
  <si>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</si>
  <si>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</si>
  <si>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</si>
  <si>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</si>
  <si>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</si>
  <si>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</si>
  <si>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</si>
  <si>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</si>
  <si>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</si>
  <si>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</si>
  <si>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</si>
  <si>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</si>
  <si>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</si>
  <si>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</si>
  <si>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</si>
  <si>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</si>
  <si>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</si>
  <si>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</si>
  <si>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</si>
  <si>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</si>
  <si>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</si>
  <si>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</si>
  <si>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</si>
  <si>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</si>
  <si>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</si>
  <si>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</si>
  <si>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</si>
  <si>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</si>
  <si>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</si>
  <si>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</si>
  <si>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</si>
  <si>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</si>
  <si>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</si>
  <si>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</si>
  <si>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8</t>
  </si>
  <si>
    <t>БЛОК САНУЗЛОВ 2 (2-ой ЭТАЖ)</t>
  </si>
  <si>
    <t>15</t>
  </si>
  <si>
    <t>БЛОК САНУЗЛОВ 3 (2-ой ЭТАЖ)</t>
  </si>
  <si>
    <t>10</t>
  </si>
  <si>
    <t>БЛОК САНУЗЛОВ 4 (2-ой ЭТАЖ)</t>
  </si>
  <si>
    <t>11</t>
  </si>
  <si>
    <t>БЛОК САНУЗЛОВ 5 (3-ий ЭТАЖ)</t>
  </si>
  <si>
    <t>12</t>
  </si>
  <si>
    <t>БЛОК САНУЗЛОВ 6 (3-ий ЭТАЖ)</t>
  </si>
  <si>
    <t>16</t>
  </si>
  <si>
    <t>Помещения 74-78 (3 этаж)</t>
  </si>
  <si>
    <t>1</t>
  </si>
  <si>
    <t>67-01-004-03</t>
  </si>
  <si>
    <t>Демонтаж: светильников с лампами накаливания</t>
  </si>
  <si>
    <t>100 ШТ</t>
  </si>
  <si>
    <t>ГЭСНр-2022, 67-01-004-03, приказ Минстроя России от 18.05.2022 г. № 378/пр</t>
  </si>
  <si>
    <t>Ремонтно-строительные работы</t>
  </si>
  <si>
    <t>рФЕР-67</t>
  </si>
  <si>
    <t>Пр/812-101.0-1</t>
  </si>
  <si>
    <t>Пр/774-101.0</t>
  </si>
  <si>
    <t>2</t>
  </si>
  <si>
    <t>м08-03-608-02</t>
  </si>
  <si>
    <t>Светильник светодиодный панельный, встраиваемый в подвесной потолок плитно-ячеистый, с подключением: к клеммной колодке светильника</t>
  </si>
  <si>
    <t>ГЭСНм-2022 доп.12, м08-03-608-02, приказ Минстроя России от 07.11.2024 г. № 747/пр</t>
  </si>
  <si>
    <t>Поправка:При производстве работ на высоте св. 2 до 8 м</t>
  </si>
  <si>
    <t>*1,05</t>
  </si>
  <si>
    <t>Монтажные работы</t>
  </si>
  <si>
    <t>Электротехнические установки: на других объектах</t>
  </si>
  <si>
    <t>мФЕР-08</t>
  </si>
  <si>
    <t>Попр.ОП п.1.8.3</t>
  </si>
  <si>
    <t>Пр/812-049.3-1</t>
  </si>
  <si>
    <t>Пр/774-049.3</t>
  </si>
  <si>
    <t>2,1</t>
  </si>
  <si>
    <t>421/пр_2020_п.75_пп.а</t>
  </si>
  <si>
    <t>Сметная стоимость вспомогательных ненормируемых материальных ресурсов, не учтенная в сметной норме, 2%</t>
  </si>
  <si>
    <t>%</t>
  </si>
  <si>
    <t>Материалы монтажные</t>
  </si>
  <si>
    <t>Материалы и конструкции ( монтажные )  по ценникам и каталогам</t>
  </si>
  <si>
    <t>ФССЦм</t>
  </si>
  <si>
    <t>3</t>
  </si>
  <si>
    <t>20.3.03.07-0096</t>
  </si>
  <si>
    <t>ШТ</t>
  </si>
  <si>
    <t>ФСБЦ-2022 доп.14, 20.3.03.07-0096, приказ Минстроя России от 19.05.2025 г. № 299/пр</t>
  </si>
  <si>
    <t>4</t>
  </si>
  <si>
    <t>67-01-009-01</t>
  </si>
  <si>
    <t>Смена: выключателей</t>
  </si>
  <si>
    <t>ГЭСНр-2022, 67-01-009-01, приказ Минстроя России от 18.05.2022 г. № 378/пр</t>
  </si>
  <si>
    <t>5</t>
  </si>
  <si>
    <t>20.4.01.02-1028</t>
  </si>
  <si>
    <t>Выключатель скрытого монтажа, двухклавишный, с индикатором 10 А, цвет белый, IP20</t>
  </si>
  <si>
    <t>ФСБЦ-2022, 20.4.01.02-1028, приказ Минстроя России от 18.05.2022 г. № 378/пр</t>
  </si>
  <si>
    <t>6</t>
  </si>
  <si>
    <t>20.4.01.02-1025</t>
  </si>
  <si>
    <t>Выключатель скрытого монтажа, одноклавишный, с индикатором, 10 А, цвет белый, IP20</t>
  </si>
  <si>
    <t>ФСБЦ-2022, 20.4.01.02-1025, приказ Минстроя России от 18.05.2022 г. № 378/пр</t>
  </si>
  <si>
    <t>20.4.03.02-0011</t>
  </si>
  <si>
    <t>Рамки из термопласта, 1 пост</t>
  </si>
  <si>
    <t>ФСБЦ-2022, 20.4.03.02-0011, приказ Минстроя России от 18.05.2022 г. № 378/пр</t>
  </si>
  <si>
    <t>20.5.02.11-0001</t>
  </si>
  <si>
    <t>Коробки для установки розеток и выключателей скрытой проводки</t>
  </si>
  <si>
    <t>1000 ШТ</t>
  </si>
  <si>
    <t>ФСБЦ-2022, 20.5.02.11-0001, приказ Минстроя России от 18.05.2022 г. № 378/пр</t>
  </si>
  <si>
    <t>9</t>
  </si>
  <si>
    <t>46-03-011-01</t>
  </si>
  <si>
    <t>Пробивка в кирпичных стенах борозд площадью сечения: до 20 см2</t>
  </si>
  <si>
    <t>100 м</t>
  </si>
  <si>
    <t>ГЭСН-2022 доп.4, 46-03-011-01, приказ Минстроя России от 27.12.2022 г. № 1133/пр</t>
  </si>
  <si>
    <t>Общестроительные работы</t>
  </si>
  <si>
    <t>Работы по реконструкции зданий и сооружений</t>
  </si>
  <si>
    <t>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</si>
  <si>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ФЕР-46</t>
  </si>
  <si>
    <t>Пр/812-040.1-1</t>
  </si>
  <si>
    <t>Пр/774-040.1</t>
  </si>
  <si>
    <t>м08-02-403-03</t>
  </si>
  <si>
    <t>Провод групповой в защитной оболочке или кабель трех-пятижильный: под штукатурку по стенам или в бороздах</t>
  </si>
  <si>
    <t>ГЭСНм-2022 доп.11, м08-02-403-03, приказ Минстроя России от 09.08.2024 г. № 524/пр</t>
  </si>
  <si>
    <t>10,1</t>
  </si>
  <si>
    <t>21.1.06.09-0151</t>
  </si>
  <si>
    <t>Кабель силовой с медными жилами ВВГнг(A)-LS 3х1,5ок(N, PE)-660</t>
  </si>
  <si>
    <t>1000 м</t>
  </si>
  <si>
    <t>ФСБЦ-2022, 21.1.06.09-0151, приказ Минстроя России от 18.05.2022 г. № 378/пр</t>
  </si>
  <si>
    <t>Поправка:норма отхода 2%</t>
  </si>
  <si>
    <t>1000 М</t>
  </si>
  <si>
    <t>Попр.ТЧ прил.8.4</t>
  </si>
  <si>
    <t>20.5.02.07-0003</t>
  </si>
  <si>
    <t>Коробка распаечная, размеры 70х70х40 мм</t>
  </si>
  <si>
    <t>ФСБЦ-2022, 20.5.02.07-0003, приказ Минстроя России от 18.05.2022 г. № 378/пр</t>
  </si>
  <si>
    <t>13</t>
  </si>
  <si>
    <t>м10-08-002-02</t>
  </si>
  <si>
    <t>Извещатель ПС автоматический: дымовой, фотоэлектрический, радиоизотопный, световой в нормальном исполнении</t>
  </si>
  <si>
    <t>ГЭСНм-2022 доп.14, м10-08-002-02, приказ Минстроя России от 19.05.2025 г. № 299/пр</t>
  </si>
  <si>
    <t>Поправка:Демонтаж оборудования, пригодного для дальнейшего использования, со снятием с места установки, необходимой (частичной) разборкой без хранения (перемещается на другое место установки и тому подобное)</t>
  </si>
  <si>
    <t>*0</t>
  </si>
  <si>
    <t>*0,6</t>
  </si>
  <si>
    <t>Оборудование связи: прокладка и монтаж сетей связи</t>
  </si>
  <si>
    <t>мФЕР-10</t>
  </si>
  <si>
    <t>Попр.571/пр_2022_п.84_т.3_стр.2_стб.3</t>
  </si>
  <si>
    <t>Пр/812-051.1-1</t>
  </si>
  <si>
    <t>Пр/774-051.1</t>
  </si>
  <si>
    <t>13,1</t>
  </si>
  <si>
    <t>14</t>
  </si>
  <si>
    <t>14,1</t>
  </si>
  <si>
    <t>пл</t>
  </si>
  <si>
    <t>площадь кровли</t>
  </si>
  <si>
    <t>СТР_РЕК</t>
  </si>
  <si>
    <t>СТРОИТЕЛЬСТВО и РЕКОНСТРУКЦИЯ  зданий и сооружений всех назначений</t>
  </si>
  <si>
    <t>Строительство и реконструкция</t>
  </si>
  <si>
    <t>РЕМ_ЖИЛ</t>
  </si>
  <si>
    <t>КАП. РЕМ. ЖИЛЫХ И ОБЩЕСТВЕННЫХ ЗДАНИЙ</t>
  </si>
  <si>
    <t>Капитальный ремонт жилых и общественных зданий</t>
  </si>
  <si>
    <t>РЕМ_ПР</t>
  </si>
  <si>
    <t>КАП. РЕМ. ПРОИЗВОДСТВЕННЫХ ЗД. и СООРУЖЕНИЙ,  НАРУЖНЫХ ИНЖЕНЕРНЫХ СЕТЕЙ, УЛИЦ И ДОРОГ МЕСТНОГО ЗНАЧЕНИЯ, ИНЖ,СООРУЖЕНИЙ ( ГИДРОТЕХ,СООРУЖ, МОСТОВ И ПУТЕПРОВОДОВ И Т.П.)</t>
  </si>
  <si>
    <t>Капитальный ремонт прозводственных зданий</t>
  </si>
  <si>
    <t>Территория</t>
  </si>
  <si>
    <t>для территории Российской Федерации, не относящейся к районам Крайнего Севера и приравненным к ним местностям</t>
  </si>
  <si>
    <t>МПРКС</t>
  </si>
  <si>
    <t>для территории Российской Федерации, относящейся к местностям, приравненным к районам Крайнего Севера</t>
  </si>
  <si>
    <t>РКС</t>
  </si>
  <si>
    <t>для территории Российской Федерации, относящейся к районам Крайнего Севера</t>
  </si>
  <si>
    <t>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</si>
  <si>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АЭС.</t>
  </si>
  <si>
    <t>Для сборников ФЕР ( при производстве работ на технически сложных объектах ):  ·  { СЛЖ } - (вкл.)    - работа на сложных объектах  (к=1,2 к НР)           ·  { СЛЖ } - (выкл.) - работа на обычных объектах</t>
  </si>
  <si>
    <t>Сложные объекты</t>
  </si>
  <si>
    <t>СТНДРТ</t>
  </si>
  <si>
    <t>При определении сметной стоимости строительства объектов капитального строительства (за исключением АЭС).</t>
  </si>
  <si>
    <t>АЭС_ПНР</t>
  </si>
  <si>
    <t>При определении сметной стоимости строительства объектов капитального строительства АЭС. Пусконаладочные работы (за исключением технологического оборудования АЭС).</t>
  </si>
  <si>
    <t>АЭС</t>
  </si>
  <si>
    <t>АЭС_ПНР_ТЕХ</t>
  </si>
  <si>
    <t>При определении сметной стоимости строительства объектов капитального строительства АЭС. Пусконаладочные работы технологического оборудования АЭС.</t>
  </si>
  <si>
    <t>Для сборника ФЕРм -39  и ФЕРМ-08  ( при работах по контролю сварных соединений) :    {мАЭС} - ( вкл.)  -     при выполнении работ по на АЭС  (HР=101%; СП= 68%;             {мАЭС} - (выкл.) -  при выполнении работ  на обычных объектах</t>
  </si>
  <si>
    <t>АЭС, ПНР технологического оборудования АЭС.</t>
  </si>
  <si>
    <t>ОПТ/В</t>
  </si>
  <si>
    <t>{вкл}    - Прокладка  МЕЖДУГОРОДНЫХ  ВОЛОКОННО-ОПТИЧЕСКИХ ЛИНИЙ (для ФЕРм10, отд. 6 разд.3)  {выкл} - Прокладка  ГОРОДСКИХ               ВОЛОКОННО-ОПТИЧЕСКИХ ЛИНИЙ  (для ФЕРм10, отд. 6 разд.3)</t>
  </si>
  <si>
    <t>Для сборников ФЕРм-10  ( волоконно-оптические линии связи ): ·  {М_ГОР_опт} -  ( вкл.)  - междугородные сети связи ( НР=120% , СП=70% )           ·  {М_ГОР_опт} - ( выкл.) - городские сети связи  ( НР=100%; СП=65%)</t>
  </si>
  <si>
    <t>Прокладка междугородных в/опт. кабелей</t>
  </si>
  <si>
    <t>АВИ</t>
  </si>
  <si>
    <t>(вкл)   -  При работах по ДИСПЕТЧЕРИЗАЦИИ управления движением АВИАТРАНСПОРТОМ {вкл}  (монтажные работы )</t>
  </si>
  <si>
    <t>Для сборников ФЕРм 08;10;11 :    · {мАВИА} -  (вкл.)     -  производство монтажных  работы по диспетчеризации управления  движением авиатранспортном (НР=95%, СП=55%) ;    ·            {мАВИА} -  (выкл. ) -  при производстве работ на прочих объектах , кром</t>
  </si>
  <si>
    <t>Диспетчеризация авиатранспорта</t>
  </si>
  <si>
    <t>ЗАКР</t>
  </si>
  <si>
    <t>{вкл}   -  Обслуживающие и сопутствующие работы в тоннелях при  производстве работ ЗАКРЫТЫМ СПОСОБОМ   {выкл} - Обслуживающие и сопутствующие работы в тоннелях при  производстве работ  ОТКРЫТЫМ</t>
  </si>
  <si>
    <t>Для сборника ФЕР -29 ( сопутствующие работы в тоннелях и метро. ): ·  {ЗАКР} - (вкл.)     -  при выполнении работ в тоннелях  и метро закрытым способом  (НР=145% , СП=75%); ·                {ЗАКР} - (выкл.) -   при выполнении работ в тоннелях и метро  отк</t>
  </si>
  <si>
    <t>Производство работ закрытым способом (обслуживающие процессы)</t>
  </si>
  <si>
    <t>АВТО_ДРГ</t>
  </si>
  <si>
    <t>{вкл} - НР и СП по п.021.0 "Автомобильные дороги" (раздел 2 нормы 27-02-010-01:07)  {выкл} - НР и СП по п.021.1 Устройство покрытий дорожек, тротуаров, мостовых и площадок и прочее (раздел 2 нормы 27-02-010-01:07)</t>
  </si>
  <si>
    <t>ГОР</t>
  </si>
  <si>
    <t>(вкл) - ФЕРм-08, выполнение работ на горнорудных объектах  (выкл) - ФЕРм-08, выполнение работ на других объектах</t>
  </si>
  <si>
    <t>Выполнение работ на горнорудных объектах</t>
  </si>
  <si>
    <t>ОБ_ПР</t>
  </si>
  <si>
    <t>Объект производственного назначения</t>
  </si>
  <si>
    <t>ОБ_НПР</t>
  </si>
  <si>
    <t>Объект непроизводственного назначения</t>
  </si>
  <si>
    <t>К_НР_РЕМ</t>
  </si>
  <si>
    <t>при ремонте жилых и общественных зданий если  ( если {РЕМ_ЖИЛ}= [вкл.]</t>
  </si>
  <si>
    <t>Для сборников  ФЕР и  ФЕРмр :  · Значение {_МДСрем_НР}= 0,90 -  при ремонте зданий жилого и гражданского назначений ( 0,90 к НР) ;  · Значение {_МДСрем_НР}= 1,00  - при строительстве  и реконструкции  объектов всех назначений</t>
  </si>
  <si>
    <t>п.25</t>
  </si>
  <si>
    <t>К_СП_РЕМ</t>
  </si>
  <si>
    <t>к нормам СП при капитальном ремонте зданий и сооружений всех назначений ( если или {РЕМ_ЖИЛ}=[вкл] , или (РЕМ_ПР}=[вкл] )</t>
  </si>
  <si>
    <t>Для сборников  ФЕР и  ФЕРмр :   · Значение {_МДСрем_СП} = 0.85  -  при ремонте зданий всех назначений ( 0,85 к СП);   · Значение {_МДСрем_СП} = 1,00 -  при строительстве  и реконструкции  объектов всех назначений</t>
  </si>
  <si>
    <t>п.16</t>
  </si>
  <si>
    <t>К_НР_СЛЖ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</si>
  <si>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объектов атомных электрических станций.  ( если {СЛЖ} = [вкл] )</t>
  </si>
  <si>
    <t>п.27 СЛОЖН</t>
  </si>
  <si>
    <t>К_НР_АЭС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</si>
  <si>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Для объектов атомных электрических станций.  ( если {АЭС} = [вкл] )</t>
  </si>
  <si>
    <t>п.27 АЭС</t>
  </si>
  <si>
    <t>Р_ОКР</t>
  </si>
  <si>
    <t>Разрядность округления результата расчета НР и СП  (с 05.04.2020 - до семи знаков после запятой)</t>
  </si>
  <si>
    <t>Лист_НРиСП</t>
  </si>
  <si>
    <t>Текущий уровень цен</t>
  </si>
  <si>
    <t>Сборник индексов</t>
  </si>
  <si>
    <t>ФГИС ЦС к ФСНБ-2022 Орловская область</t>
  </si>
  <si>
    <t>Письмо Минстроя России  «О размещении индексов изменения сметной стоимости строительства по группам однородных строительных ресурсов на II квартал 2025 года»</t>
  </si>
  <si>
    <t>Справочная информация</t>
  </si>
  <si>
    <t>Письмо Минстроя России от 23.05.2025 № 30038-ИФ/09</t>
  </si>
  <si>
    <t>Постановление Правительства Орловской области</t>
  </si>
  <si>
    <t>Постановление Правительства Орловской области от 06.03.2025 г. № 133</t>
  </si>
  <si>
    <t>Вид цен</t>
  </si>
  <si>
    <t>Орловская область, КТЦ к ФСНБ-2022, 2 квартал 2025 г</t>
  </si>
  <si>
    <t>_OBSM_</t>
  </si>
  <si>
    <t>1-100-20</t>
  </si>
  <si>
    <t>Средний разряд работы 2,0</t>
  </si>
  <si>
    <t>чел.-ч.</t>
  </si>
  <si>
    <t>4-100-00</t>
  </si>
  <si>
    <t>Затраты труда машинистов</t>
  </si>
  <si>
    <t>91.06.06-048</t>
  </si>
  <si>
    <t>ФСЭМ-2022, 91.06.06-048, приказ Минстроя России от 18.05.2022 г. № 378/пр</t>
  </si>
  <si>
    <t>Подъемники одномачтовые, грузоподъемность до 500 кг, высота подъема 45 м</t>
  </si>
  <si>
    <t>маш.-ч</t>
  </si>
  <si>
    <t>4-100-030</t>
  </si>
  <si>
    <t>2-100-01</t>
  </si>
  <si>
    <t>Рабочий 1 разряда</t>
  </si>
  <si>
    <t>чел.-ч</t>
  </si>
  <si>
    <t>2-100-04</t>
  </si>
  <si>
    <t>Рабочий 4 разряда</t>
  </si>
  <si>
    <t>91.14.02-001</t>
  </si>
  <si>
    <t>ФСЭМ-2022 доп.7, 91.14.02-001, приказ Минстроя России от 02.08.2023 г. № 551/пр</t>
  </si>
  <si>
    <t>Автомобили бортовые, грузоподъемность до 5 т</t>
  </si>
  <si>
    <t>4-100-040</t>
  </si>
  <si>
    <t>1-100-35</t>
  </si>
  <si>
    <t>Средний разряд работы 3,5</t>
  </si>
  <si>
    <t>1-100-36</t>
  </si>
  <si>
    <t>Средний разряд работы 3,6</t>
  </si>
  <si>
    <t>91.18.01-508</t>
  </si>
  <si>
    <t>ФСЭМ-2022 доп.3, 91.18.01-508, приказ Минстроя России от 26.10.2022 г. № 905/пр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</si>
  <si>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</si>
  <si>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</si>
  <si>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ФСЭМ-2022, 91.21.10-002, приказ Минстроя России от 18.05.2022 г. № 378/пр</t>
  </si>
  <si>
    <t>Молотки отбойные пневматические при работе от передвижных компрессоров</t>
  </si>
  <si>
    <t>1-100-38</t>
  </si>
  <si>
    <t>Средний разряд работы 3,8</t>
  </si>
  <si>
    <t>91.05.05-015</t>
  </si>
  <si>
    <t>ФСЭМ-2022, 91.05.05-015, приказ Минстроя России от 18.05.2022 г. № 378/пр</t>
  </si>
  <si>
    <t>Краны на автомобильном ходу, грузоподъемность 16 т</t>
  </si>
  <si>
    <t>4-100-060</t>
  </si>
  <si>
    <t>03.1.01.01-0002</t>
  </si>
  <si>
    <t>ФСБЦ-2022, 03.1.01.01-0002, приказ Минстроя России от 18.05.2022 г. № 378/пр</t>
  </si>
  <si>
    <t>Гипс строительный Г-3</t>
  </si>
  <si>
    <t>т</t>
  </si>
  <si>
    <t>14.4.02.04-0142</t>
  </si>
  <si>
    <t>ФСБЦ-2022, 14.4.02.04-0142, приказ Минстроя России от 18.05.2022 г. № 378/пр</t>
  </si>
  <si>
    <t>Краска масляная МА-0115, мумия, сурик железный</t>
  </si>
  <si>
    <t>кг</t>
  </si>
  <si>
    <t>21.2.03.02-1200</t>
  </si>
  <si>
    <t>ФСБЦ-2022 доп.11, 21.2.03.02-1200, приказ Минстроя России от 09.08.2024 г. № 524/пр</t>
  </si>
  <si>
    <t>Трубки из поливинилхлоридного пластиката ТВ-40, высший и первый сорт, внутренний диаметр 0,50-9,00 мм</t>
  </si>
  <si>
    <t>1-100-40</t>
  </si>
  <si>
    <t>Средний разряд работы 4,0</t>
  </si>
  <si>
    <t>01.3.05.17-0002</t>
  </si>
  <si>
    <t>ФСБЦ-2022, 01.3.05.17-0002, приказ Минстроя России от 18.05.2022 г. № 378/пр</t>
  </si>
  <si>
    <t>Канифоль сосновая</t>
  </si>
  <si>
    <t>)*0</t>
  </si>
  <si>
    <t>01.7.03.04-0001</t>
  </si>
  <si>
    <t>ФСБЦ-2022, 01.7.03.04-0001, приказ Минстроя России от 18.05.2022 г. № 378/пр</t>
  </si>
  <si>
    <t>Электроэнергия</t>
  </si>
  <si>
    <t>КВТ-Ч</t>
  </si>
  <si>
    <t>01.7.15.07-0012</t>
  </si>
  <si>
    <t>ФСБЦ-2022, 01.7.15.07-0012, приказ Минстроя России от 18.05.2022 г. № 378/пр</t>
  </si>
  <si>
    <t>Дюбели пластмассовые с шурупами, диаметр 12 мм, длина 70 мм, диаметр шурупа 8 мм, длина шурупа 70 мм</t>
  </si>
  <si>
    <t>10.3.02.03-0012</t>
  </si>
  <si>
    <t>ФСБЦ-2022, 10.3.02.03-0012, приказ Минстроя России от 18.05.2022 г. № 378/пр</t>
  </si>
  <si>
    <t>Припои оловянно-свинцовые бессурьмянистые, марка ПОС40</t>
  </si>
  <si>
    <t>20.4.01.02</t>
  </si>
  <si>
    <t>Выключатели</t>
  </si>
  <si>
    <t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07.07.2022 г. № 557/пр;  Приказ Минстроя России от 30.01.2024 г. № 55/пр; Приказ Минстроя России от 23.01.2025 г. № 30/пр; Приказ Минстроя России от 02.09.2021 г. № 636/пр;  Приказ Минстроя России от 26.07.2022 г. № 611/пр; Приказ Минстроя России от 22.04.2022 г. № 317/пр</t>
  </si>
  <si>
    <t>Светильник светодиодный потолочный накладной для общественных зданий, IP54, УХЛ4, рассеиватель полистирол, корпус алюминиевый с порошковой окраской, кривая силы света косинусная, световой поток 5900-6500 лм, цветовая температура 3000-5000 К, размеры светильника 595х595 мм, мощность 45 Вт</t>
  </si>
  <si>
    <t>Наименование программного продукта</t>
  </si>
  <si>
    <t>Наименование редакции сметных нормативов</t>
  </si>
  <si>
    <t>Реквизиты приказа Минстроя России об утверждении дополнений и изменений к сметным нормативам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</si>
  <si>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N 326/пр 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</si>
  <si>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N 1452</t>
  </si>
  <si>
    <t>Обоснование принятых текущих цен на строительные ресурсы</t>
  </si>
  <si>
    <t>Наименование субъекта Российской Федерации</t>
  </si>
  <si>
    <t>Наименование зоны субъекта Российской Федерации</t>
  </si>
  <si>
    <t>(наименование стройки)</t>
  </si>
  <si>
    <t>(наименование объекта капитального строительства)</t>
  </si>
  <si>
    <t>(наименование работ и затрат)</t>
  </si>
  <si>
    <t>Составлен</t>
  </si>
  <si>
    <t>методом</t>
  </si>
  <si>
    <t>Основание</t>
  </si>
  <si>
    <t>(проектная и (или) иная техническая документация)</t>
  </si>
  <si>
    <t>Сметная стоимость</t>
  </si>
  <si>
    <t>тыс. руб.</t>
  </si>
  <si>
    <t>Средства на оплату труда рабочих</t>
  </si>
  <si>
    <t>в том числе:</t>
  </si>
  <si>
    <t>Средства на оплату труда машинистов</t>
  </si>
  <si>
    <t>строительных работ</t>
  </si>
  <si>
    <t xml:space="preserve">Нормативные затраты труда рабочих 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</si>
  <si>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</si>
  <si>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</si>
  <si>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</si>
  <si>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</si>
  <si>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</si>
  <si>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</si>
  <si>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</si>
  <si>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</si>
  <si>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</si>
  <si>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</si>
  <si>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</si>
  <si>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</si>
  <si>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</si>
  <si>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</si>
  <si>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</si>
  <si>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</si>
  <si>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</si>
  <si>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Программа для ЭВМ «Программа: «Smeta.RU» версия 12»</t>
  </si>
  <si>
    <t>ФГИС ЦС, конъюнктурный анализ</t>
  </si>
  <si>
    <t>Ресурсно-индексным</t>
  </si>
  <si>
    <t>Составлен(а) в текущем уровне цен на II квартал 2025 года</t>
  </si>
  <si>
    <t>в том числе</t>
  </si>
  <si>
    <t xml:space="preserve">  оплата труда</t>
  </si>
  <si>
    <t xml:space="preserve">  эксплуатация машин и механизмов</t>
  </si>
  <si>
    <t xml:space="preserve">  в том числе</t>
  </si>
  <si>
    <t xml:space="preserve">    в том числе</t>
  </si>
  <si>
    <t xml:space="preserve">    доплаты к оплате труда машинистов</t>
  </si>
  <si>
    <t xml:space="preserve">  материальные ресурсы</t>
  </si>
  <si>
    <t xml:space="preserve">    материальные ресурсы без учета дополнительной перевозки</t>
  </si>
  <si>
    <t xml:space="preserve">    дополнительная перевозка материальных ресурсов</t>
  </si>
  <si>
    <t xml:space="preserve">  перевозка</t>
  </si>
  <si>
    <t>Всего ФОТ (справочно)</t>
  </si>
  <si>
    <t>Всего накладные расходы</t>
  </si>
  <si>
    <t>Всего сметная прибыль</t>
  </si>
  <si>
    <t>Итого оборудование</t>
  </si>
  <si>
    <t xml:space="preserve">  оборудование без учета дополнительной перевозки</t>
  </si>
  <si>
    <t xml:space="preserve">  дополнительная перевозка оборудования</t>
  </si>
  <si>
    <t>Итого прочие затраты</t>
  </si>
  <si>
    <t>Итого хозяйственный инвентарь</t>
  </si>
  <si>
    <t>Итого по разделу</t>
  </si>
  <si>
    <t>Справочно</t>
  </si>
  <si>
    <t xml:space="preserve">  материальные ресурсы, отсутствующие в ФРСН</t>
  </si>
  <si>
    <t xml:space="preserve">  оборудование, отсутствующие в ФРСН</t>
  </si>
  <si>
    <t xml:space="preserve">  затраты труда рабочих</t>
  </si>
  <si>
    <t xml:space="preserve">  затраты труда машинистов</t>
  </si>
  <si>
    <t xml:space="preserve">  оплата труда машинистов (ОТм)</t>
  </si>
  <si>
    <t>ГЭСНр 67-01-004-03</t>
  </si>
  <si>
    <t>ОТ (ЗТ)</t>
  </si>
  <si>
    <t>ЭМ</t>
  </si>
  <si>
    <t>ОТм(ЗТм) Средний разряд машинистов 3</t>
  </si>
  <si>
    <t>ОТм(ЗТм)</t>
  </si>
  <si>
    <t>Итого прямые затраты</t>
  </si>
  <si>
    <t>ФОТ</t>
  </si>
  <si>
    <t>НР Электромонтажные работы</t>
  </si>
  <si>
    <t>СП Электромонтажные работы</t>
  </si>
  <si>
    <t>Всего по позиции</t>
  </si>
  <si>
    <t>=</t>
  </si>
  <si>
    <t>ГЭСНм 08-03-608-02</t>
  </si>
  <si>
    <r>
      <t>Светильник светодиодный панельный, встраиваемый в подвесной потолок плитно-ячеистый, с подключением: к клеммной колодке светильника</t>
    </r>
    <r>
      <rPr>
        <i/>
        <sz val="10"/>
        <rFont val="Arial"/>
        <family val="2"/>
        <charset val="204"/>
      </rPr>
      <t xml:space="preserve">
Поправки к: 
ЗТ *1,05</t>
    </r>
  </si>
  <si>
    <t>ОТм(ЗТм) Средний разряд машинистов 4</t>
  </si>
  <si>
    <t>2.1</t>
  </si>
  <si>
    <t>НР Электротехнические установки: на других объектах</t>
  </si>
  <si>
    <t>СП Электротехнические установки: на других объектах</t>
  </si>
  <si>
    <t>ГЭСНр 67-01-009-01</t>
  </si>
  <si>
    <t>ГЭСН 46-03-011-01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</si>
  <si>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</si>
  <si>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</si>
  <si>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ГЭСНм 08-02-403-03</t>
  </si>
  <si>
    <t>ОТм(ЗТм) Средний разряд машинистов 6</t>
  </si>
  <si>
    <t>М</t>
  </si>
  <si>
    <t>10.1</t>
  </si>
  <si>
    <t>ГЭСНм 10-08-002-02</t>
  </si>
  <si>
    <r>
      <t>Извещатель ПС автоматический: дымовой, фотоэлектрический, радиоизотопный, световой в нормальном исполнении</t>
    </r>
    <r>
      <rPr>
        <i/>
        <sz val="10"/>
        <rFont val="Arial"/>
        <family val="2"/>
        <charset val="204"/>
      </rPr>
      <t xml:space="preserve">
Поправки к: 
М *0;   
ЭМ *0,6;   
ЗТ *0,6;   
ЗТм *0,6</t>
    </r>
  </si>
  <si>
    <t>13.1</t>
  </si>
  <si>
    <t>НР Оборудование связи: прокладка и монтаж сетей связи</t>
  </si>
  <si>
    <t>СП Оборудование связи: прокладка и монтаж сетей связи</t>
  </si>
  <si>
    <t>14.1</t>
  </si>
  <si>
    <t>ИТОГИ ПО СМЕТЕ</t>
  </si>
  <si>
    <t>ВСЕГО строительные работы</t>
  </si>
  <si>
    <t>Всего прямые затраты</t>
  </si>
  <si>
    <t xml:space="preserve">  оплата труда (ОТ)</t>
  </si>
  <si>
    <t>ФОТ (справочно)</t>
  </si>
  <si>
    <t>накладные расходы</t>
  </si>
  <si>
    <t>сметная прибыль</t>
  </si>
  <si>
    <t>ВСЕГО монтажные работы</t>
  </si>
  <si>
    <t>ВСЕГО оборудование</t>
  </si>
  <si>
    <t>ВСЕГО прочие затраты</t>
  </si>
  <si>
    <t xml:space="preserve">   прочие затраты</t>
  </si>
  <si>
    <t xml:space="preserve">   прочие перевозки</t>
  </si>
  <si>
    <t xml:space="preserve">   Хозяйственный инвентарь</t>
  </si>
  <si>
    <t>Пусконаладочные работы</t>
  </si>
  <si>
    <t>Всего оборудование</t>
  </si>
  <si>
    <t>Всего прочие затраты</t>
  </si>
  <si>
    <t xml:space="preserve">Составил   </t>
  </si>
  <si>
    <t>[должность,подпись(инициалы,фамилия)]</t>
  </si>
  <si>
    <t xml:space="preserve">Проверил   </t>
  </si>
  <si>
    <t>Раздел 1. Помещения 74-78 (3 этаж)</t>
  </si>
  <si>
    <t>Итого прямые затраты по разделу 1</t>
  </si>
  <si>
    <t>Капитальный ремонт учебного корпуса Федерального государственного бюджетного образовательного учреждения высшего образования "Орловский государственный институт культуры", расположенного по адресу: г. Орел, ул. Лескова, д. 15 (3-ий этап)</t>
  </si>
  <si>
    <t>ВСЕГО</t>
  </si>
  <si>
    <t>ВСЕГО по смете:</t>
  </si>
  <si>
    <t>НДС 22%</t>
  </si>
  <si>
    <t>Итого с индексом фактической инфляции 1,0645</t>
  </si>
  <si>
    <t>Итого с индексом прогнозной инфляции 1,0045</t>
  </si>
  <si>
    <t>57. Орловская область</t>
  </si>
  <si>
    <t>Орловская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</si>
</sst>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#,##0.00;[Red]\-\ #,##0.00"/>
    <numFmt numFmtId="166" formatCode="#,##0.00#####;[Red]\-\ #,##0.00#####"/>
  </numFmts>
  <fonts count="26" x14ac:knownFonts="1">
    <font>
      <sz val="10"/>
      <name val="Arial"/>
      <charset val="204"/>
    </font>
    <font>
      <b/>
      <sz val="10"/>
      <color indexed="12"/>
      <name val="Arial"/>
      <family val="2"/>
      <charset val="204"/>
    </font>
    <font>
      <b/>
      <sz val="10"/>
      <color indexed="16"/>
      <name val="Arial"/>
      <family val="2"/>
      <charset val="204"/>
    </font>
    <font>
      <b/>
      <sz val="10"/>
      <color indexed="20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14"/>
      <name val="Arial"/>
      <family val="2"/>
      <charset val="204"/>
    </font>
    <font>
      <sz val="10"/>
      <color indexed="17"/>
      <name val="Arial"/>
      <family val="2"/>
      <charset val="204"/>
    </font>
    <font>
      <sz val="10"/>
      <color indexed="12"/>
      <name val="Arial"/>
      <family val="2"/>
      <charset val="204"/>
    </font>
    <font>
      <sz val="10"/>
      <color indexed="14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/>
    <xf numFmtId="0" fontId="5" fillId="0" borderId="0" xfId="0" applyFont="1"/>
    <xf numFmtId="0" fontId="6" fillId="0" borderId="0" xfId="0" applyFont="1"/>
    <xf numFmtId="0" fontId="1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6" fillId="0" borderId="0" xfId="0" applyFont="1" applyAlignment="1"/>
    <xf numFmtId="0" fontId="10" fillId="0" borderId="0" xfId="0" applyFont="1"/>
    <xf numFmtId="0" fontId="11" fillId="0" borderId="0" xfId="0" applyNumberFormat="1" applyFont="1" applyAlignment="1"/>
    <xf numFmtId="0" fontId="11" fillId="0" borderId="0" xfId="0" applyNumberFormat="1" applyFont="1" applyAlignment="1">
      <alignment vertical="top" wrapText="1"/>
    </xf>
    <xf numFmtId="0" fontId="11" fillId="0" borderId="2" xfId="0" applyNumberFormat="1" applyFont="1" applyBorder="1" applyAlignment="1">
      <alignment vertical="top"/>
    </xf>
    <xf numFmtId="0" fontId="11" fillId="0" borderId="0" xfId="0" applyNumberFormat="1" applyFont="1" applyAlignment="1">
      <alignment horizontal="left" vertical="top" wrapText="1"/>
    </xf>
    <xf numFmtId="0" fontId="11" fillId="0" borderId="2" xfId="0" applyNumberFormat="1" applyFont="1" applyBorder="1" applyAlignment="1">
      <alignment horizontal="left" vertical="top" wrapText="1"/>
    </xf>
    <xf numFmtId="0" fontId="12" fillId="0" borderId="0" xfId="0" applyNumberFormat="1" applyFont="1" applyAlignment="1"/>
    <xf numFmtId="0" fontId="12" fillId="0" borderId="2" xfId="0" applyNumberFormat="1" applyFont="1" applyBorder="1" applyAlignment="1"/>
    <xf numFmtId="0" fontId="18" fillId="0" borderId="0" xfId="0" applyNumberFormat="1" applyFont="1" applyAlignment="1"/>
    <xf numFmtId="0" fontId="18" fillId="0" borderId="0" xfId="0" applyNumberFormat="1" applyFont="1" applyAlignment="1">
      <alignment wrapText="1"/>
    </xf>
    <xf numFmtId="0" fontId="19" fillId="0" borderId="0" xfId="0" applyNumberFormat="1" applyFont="1" applyAlignment="1">
      <alignment vertical="center" wrapText="1"/>
    </xf>
    <xf numFmtId="0" fontId="19" fillId="0" borderId="0" xfId="0" applyNumberFormat="1" applyFont="1" applyAlignment="1">
      <alignment horizontal="center" wrapText="1"/>
    </xf>
    <xf numFmtId="0" fontId="11" fillId="0" borderId="0" xfId="0" applyNumberFormat="1" applyFont="1" applyAlignment="1">
      <alignment horizontal="center"/>
    </xf>
    <xf numFmtId="0" fontId="11" fillId="0" borderId="1" xfId="0" applyNumberFormat="1" applyFont="1" applyBorder="1" applyAlignment="1">
      <alignment horizontal="center"/>
    </xf>
    <xf numFmtId="0" fontId="11" fillId="0" borderId="2" xfId="0" applyNumberFormat="1" applyFont="1" applyBorder="1" applyAlignment="1"/>
    <xf numFmtId="0" fontId="11" fillId="0" borderId="0" xfId="0" applyNumberFormat="1" applyFont="1" applyAlignment="1">
      <alignment horizontal="left" wrapText="1"/>
    </xf>
    <xf numFmtId="0" fontId="11" fillId="0" borderId="0" xfId="0" applyNumberFormat="1" applyFont="1" applyAlignment="1">
      <alignment wrapText="1"/>
    </xf>
    <xf numFmtId="0" fontId="14" fillId="0" borderId="0" xfId="0" applyNumberFormat="1" applyFont="1" applyAlignment="1"/>
    <xf numFmtId="14" fontId="18" fillId="0" borderId="0" xfId="0" applyNumberFormat="1" applyFont="1" applyAlignment="1"/>
    <xf numFmtId="0" fontId="11" fillId="0" borderId="0" xfId="0" applyNumberFormat="1" applyFont="1" applyAlignment="1">
      <alignment horizontal="right"/>
    </xf>
    <xf numFmtId="0" fontId="16" fillId="0" borderId="0" xfId="0" applyNumberFormat="1" applyFont="1" applyAlignment="1"/>
    <xf numFmtId="164" fontId="11" fillId="0" borderId="0" xfId="0" applyNumberFormat="1" applyFont="1" applyAlignment="1">
      <alignment horizontal="right"/>
    </xf>
    <xf numFmtId="0" fontId="18" fillId="0" borderId="1" xfId="0" applyNumberFormat="1" applyFont="1" applyBorder="1" applyAlignment="1"/>
    <xf numFmtId="0" fontId="11" fillId="0" borderId="7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/>
    </xf>
    <xf numFmtId="0" fontId="18" fillId="0" borderId="0" xfId="0" applyNumberFormat="1" applyFont="1" applyAlignment="1">
      <alignment horizontal="center"/>
    </xf>
    <xf numFmtId="0" fontId="18" fillId="0" borderId="7" xfId="0" applyNumberFormat="1" applyFont="1" applyBorder="1" applyAlignment="1">
      <alignment horizontal="center"/>
    </xf>
    <xf numFmtId="0" fontId="11" fillId="0" borderId="1" xfId="0" applyNumberFormat="1" applyFont="1" applyBorder="1" applyAlignment="1">
      <alignment horizontal="left" vertical="top" wrapText="1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/>
    </xf>
    <xf numFmtId="165" fontId="21" fillId="0" borderId="0" xfId="0" applyNumberFormat="1" applyFont="1" applyAlignment="1">
      <alignment horizontal="right" vertical="top"/>
    </xf>
    <xf numFmtId="0" fontId="22" fillId="0" borderId="0" xfId="0" applyFont="1" applyAlignment="1">
      <alignment vertical="top"/>
    </xf>
    <xf numFmtId="0" fontId="13" fillId="0" borderId="0" xfId="0" applyFont="1" applyAlignment="1">
      <alignment horizontal="left" vertical="top" wrapText="1"/>
    </xf>
    <xf numFmtId="165" fontId="22" fillId="0" borderId="0" xfId="0" applyNumberFormat="1" applyFont="1" applyAlignment="1">
      <alignment horizontal="right" vertical="top"/>
    </xf>
    <xf numFmtId="0" fontId="22" fillId="0" borderId="0" xfId="0" applyFont="1" applyAlignment="1">
      <alignment horizontal="right" vertical="top"/>
    </xf>
    <xf numFmtId="165" fontId="0" fillId="0" borderId="0" xfId="0" applyNumberFormat="1"/>
    <xf numFmtId="166" fontId="21" fillId="0" borderId="0" xfId="0" applyNumberFormat="1" applyFont="1" applyAlignment="1">
      <alignment horizontal="right" vertical="top"/>
    </xf>
    <xf numFmtId="0" fontId="21" fillId="0" borderId="0" xfId="0" quotePrefix="1" applyFont="1" applyAlignment="1">
      <alignment horizontal="left" vertical="top" wrapText="1"/>
    </xf>
    <xf numFmtId="0" fontId="23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right" vertical="top" wrapText="1"/>
    </xf>
    <xf numFmtId="0" fontId="21" fillId="0" borderId="1" xfId="0" applyFont="1" applyBorder="1" applyAlignment="1">
      <alignment horizontal="right" vertical="top"/>
    </xf>
    <xf numFmtId="165" fontId="21" fillId="0" borderId="1" xfId="0" applyNumberFormat="1" applyFont="1" applyBorder="1" applyAlignment="1">
      <alignment horizontal="right" vertical="top"/>
    </xf>
    <xf numFmtId="0" fontId="21" fillId="0" borderId="1" xfId="0" applyFont="1" applyBorder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0" fontId="24" fillId="0" borderId="0" xfId="0" applyFont="1" applyAlignment="1">
      <alignment vertical="top" wrapText="1"/>
    </xf>
    <xf numFmtId="0" fontId="21" fillId="0" borderId="1" xfId="0" quotePrefix="1" applyFont="1" applyBorder="1" applyAlignment="1">
      <alignment horizontal="left" vertical="top" wrapText="1"/>
    </xf>
    <xf numFmtId="0" fontId="0" fillId="0" borderId="1" xfId="0" applyBorder="1"/>
    <xf numFmtId="0" fontId="24" fillId="0" borderId="1" xfId="0" applyFont="1" applyBorder="1" applyAlignment="1">
      <alignment vertical="top" wrapText="1"/>
    </xf>
    <xf numFmtId="0" fontId="22" fillId="0" borderId="2" xfId="0" applyFont="1" applyBorder="1" applyAlignment="1">
      <alignment vertical="top"/>
    </xf>
    <xf numFmtId="0" fontId="13" fillId="0" borderId="2" xfId="0" applyFont="1" applyBorder="1" applyAlignment="1">
      <alignment horizontal="left" vertical="top" wrapText="1"/>
    </xf>
    <xf numFmtId="165" fontId="22" fillId="0" borderId="2" xfId="0" applyNumberFormat="1" applyFont="1" applyBorder="1" applyAlignment="1">
      <alignment horizontal="right" vertical="top"/>
    </xf>
    <xf numFmtId="0" fontId="22" fillId="0" borderId="2" xfId="0" applyFont="1" applyBorder="1" applyAlignment="1">
      <alignment horizontal="right" vertical="top"/>
    </xf>
    <xf numFmtId="165" fontId="11" fillId="0" borderId="0" xfId="0" applyNumberFormat="1" applyFont="1" applyAlignment="1">
      <alignment horizontal="right"/>
    </xf>
    <xf numFmtId="165" fontId="11" fillId="0" borderId="0" xfId="0" applyNumberFormat="1" applyFont="1" applyAlignment="1"/>
    <xf numFmtId="165" fontId="12" fillId="0" borderId="0" xfId="0" applyNumberFormat="1" applyFont="1" applyAlignment="1"/>
    <xf numFmtId="166" fontId="12" fillId="0" borderId="0" xfId="0" applyNumberFormat="1" applyFont="1" applyAlignment="1"/>
    <xf numFmtId="0" fontId="12" fillId="0" borderId="0" xfId="0" applyNumberFormat="1" applyFont="1" applyAlignment="1">
      <alignment horizontal="right"/>
    </xf>
    <xf numFmtId="0" fontId="11" fillId="0" borderId="0" xfId="0" applyNumberFormat="1" applyFont="1" applyAlignment="1">
      <alignment horizontal="right" vertical="center"/>
    </xf>
    <xf numFmtId="0" fontId="18" fillId="0" borderId="0" xfId="0" applyNumberFormat="1" applyFont="1" applyAlignment="1">
      <alignment horizontal="left"/>
    </xf>
    <xf numFmtId="0" fontId="18" fillId="0" borderId="1" xfId="0" applyNumberFormat="1" applyFont="1" applyBorder="1" applyAlignment="1">
      <alignment horizontal="left"/>
    </xf>
    <xf numFmtId="0" fontId="18" fillId="0" borderId="0" xfId="0" applyNumberFormat="1" applyFont="1" applyAlignment="1">
      <alignment horizontal="right"/>
    </xf>
    <xf numFmtId="49" fontId="21" fillId="0" borderId="0" xfId="0" applyNumberFormat="1" applyFont="1" applyAlignment="1">
      <alignment vertical="top" wrapText="1"/>
    </xf>
    <xf numFmtId="49" fontId="22" fillId="0" borderId="0" xfId="0" applyNumberFormat="1" applyFont="1" applyAlignment="1">
      <alignment vertical="top" wrapText="1"/>
    </xf>
    <xf numFmtId="4" fontId="21" fillId="0" borderId="0" xfId="0" applyNumberFormat="1" applyFont="1" applyAlignment="1">
      <alignment vertical="top" wrapText="1"/>
    </xf>
    <xf numFmtId="4" fontId="22" fillId="0" borderId="0" xfId="0" applyNumberFormat="1" applyFont="1" applyAlignment="1">
      <alignment vertical="top" wrapText="1"/>
    </xf>
    <xf numFmtId="4" fontId="21" fillId="0" borderId="0" xfId="0" applyNumberFormat="1" applyFont="1" applyAlignment="1">
      <alignment horizontal="right" vertical="top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5" fillId="0" borderId="2" xfId="0" applyNumberFormat="1" applyFont="1" applyBorder="1" applyAlignment="1">
      <alignment horizontal="center"/>
    </xf>
    <xf numFmtId="0" fontId="22" fillId="0" borderId="0" xfId="0" applyFont="1" applyAlignment="1">
      <alignment horizontal="left" vertical="top" wrapText="1"/>
    </xf>
    <xf numFmtId="0" fontId="21" fillId="0" borderId="0" xfId="0" applyFont="1" applyAlignment="1">
      <alignment horizontal="center" vertical="top" wrapText="1"/>
    </xf>
    <xf numFmtId="0" fontId="23" fillId="0" borderId="0" xfId="0" applyFont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165" fontId="22" fillId="0" borderId="0" xfId="0" applyNumberFormat="1" applyFont="1" applyAlignment="1">
      <alignment horizontal="left" vertical="top"/>
    </xf>
    <xf numFmtId="165" fontId="22" fillId="0" borderId="2" xfId="0" applyNumberFormat="1" applyFont="1" applyBorder="1" applyAlignment="1">
      <alignment horizontal="right" vertical="top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12" xfId="0" applyNumberFormat="1" applyFont="1" applyBorder="1" applyAlignment="1">
      <alignment horizontal="center" vertical="center" wrapText="1"/>
    </xf>
    <xf numFmtId="165" fontId="11" fillId="0" borderId="0" xfId="0" applyNumberFormat="1" applyFont="1" applyAlignment="1">
      <alignment horizontal="right"/>
    </xf>
    <xf numFmtId="0" fontId="11" fillId="0" borderId="0" xfId="0" applyNumberFormat="1" applyFont="1" applyAlignment="1">
      <alignment horizontal="right"/>
    </xf>
    <xf numFmtId="0" fontId="15" fillId="0" borderId="1" xfId="0" applyNumberFormat="1" applyFont="1" applyBorder="1" applyAlignment="1">
      <alignment horizontal="center" wrapText="1"/>
    </xf>
    <xf numFmtId="0" fontId="17" fillId="0" borderId="2" xfId="0" applyNumberFormat="1" applyFont="1" applyBorder="1" applyAlignment="1">
      <alignment horizontal="center" vertical="top" wrapText="1"/>
    </xf>
    <xf numFmtId="0" fontId="15" fillId="0" borderId="0" xfId="0" applyNumberFormat="1" applyFont="1" applyAlignment="1">
      <alignment horizontal="center" wrapText="1"/>
    </xf>
    <xf numFmtId="0" fontId="11" fillId="0" borderId="1" xfId="0" applyNumberFormat="1" applyFont="1" applyBorder="1" applyAlignment="1">
      <alignment horizontal="left" wrapText="1"/>
    </xf>
    <xf numFmtId="0" fontId="20" fillId="0" borderId="0" xfId="0" applyFont="1" applyAlignment="1">
      <alignment horizontal="left" vertical="top" wrapText="1"/>
    </xf>
    <xf numFmtId="0" fontId="11" fillId="0" borderId="0" xfId="0" applyNumberFormat="1" applyFont="1" applyAlignment="1">
      <alignment horizontal="left" vertical="top" wrapText="1"/>
    </xf>
    <xf numFmtId="0" fontId="11" fillId="0" borderId="1" xfId="0" applyNumberFormat="1" applyFont="1" applyBorder="1" applyAlignment="1">
      <alignment horizontal="left" vertical="top" wrapText="1"/>
    </xf>
    <xf numFmtId="49" fontId="21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O316"/>
  <sheetViews>
    <sheetView tabSelected="1" topLeftCell="A10" zoomScaleNormal="100" workbookViewId="0">
      <selection activeCell="A27" sqref="A27:L27"/>
    </sheetView>
  </sheetViews>
  <sheetFormatPr defaultRowHeight="12.75" x14ac:dyDescent="0.2"/>
  <cols>
    <col min="1" max="1" width="5.7109375" customWidth="1"/>
    <col min="2" max="2" width="20.7109375" customWidth="1"/>
    <col min="3" max="3" width="40.7109375" customWidth="1"/>
    <col min="4" max="4" width="10.7109375" customWidth="1"/>
    <col min="5" max="12" width="15.7109375" customWidth="1"/>
    <col min="15" max="92" width="0" hidden="1" customWidth="1"/>
    <col min="93" max="93" width="108.7109375" hidden="1" customWidth="1"/>
    <col min="94" max="101" width="0" hidden="1" customWidth="1"/>
  </cols>
  <sheetData>
    <row r="1" spans="1:93" x14ac:dyDescent="0.2">
      <c r="A1" s="14" t="str">
        <f>Source!B1</f>
        <v>Smeta.RU  (495) 974-1589</v>
      </c>
    </row>
    <row r="2" spans="1:93" ht="12.75" customHeight="1" x14ac:dyDescent="0.2">
      <c r="A2" s="115" t="s">
        <v>324</v>
      </c>
      <c r="B2" s="115"/>
      <c r="C2" s="115"/>
      <c r="D2" s="115"/>
      <c r="E2" s="115"/>
      <c r="F2" s="116" t="s">
        <v>363</v>
      </c>
      <c r="G2" s="116"/>
      <c r="H2" s="116"/>
      <c r="I2" s="116"/>
      <c r="J2" s="116"/>
      <c r="K2" s="116"/>
      <c r="L2" s="116"/>
    </row>
    <row r="3" spans="1:93" ht="12.75" customHeight="1" x14ac:dyDescent="0.2">
      <c r="A3" s="16"/>
      <c r="B3" s="16"/>
      <c r="C3" s="16"/>
      <c r="D3" s="16"/>
      <c r="E3" s="16"/>
      <c r="F3" s="17"/>
      <c r="G3" s="17"/>
      <c r="H3" s="17"/>
      <c r="I3" s="17"/>
      <c r="J3" s="17"/>
      <c r="K3" s="17"/>
      <c r="L3" s="17"/>
    </row>
    <row r="4" spans="1:93" ht="25.5" x14ac:dyDescent="0.2">
      <c r="A4" s="115" t="s">
        <v>325</v>
      </c>
      <c r="B4" s="115"/>
      <c r="C4" s="115"/>
      <c r="D4" s="115"/>
      <c r="E4" s="115"/>
      <c r="F4" s="116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  <c r="G4" s="116"/>
      <c r="H4" s="116"/>
      <c r="I4" s="116"/>
      <c r="J4" s="116"/>
      <c r="K4" s="116"/>
      <c r="L4" s="116"/>
      <c r="CO4" s="42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</row>
    <row r="5" spans="1:93" ht="12.75" customHeight="1" x14ac:dyDescent="0.2">
      <c r="A5" s="16"/>
      <c r="B5" s="16"/>
      <c r="C5" s="16"/>
      <c r="D5" s="16"/>
      <c r="E5" s="16"/>
      <c r="F5" s="17"/>
      <c r="G5" s="17"/>
      <c r="H5" s="17"/>
      <c r="I5" s="17"/>
      <c r="J5" s="17"/>
      <c r="K5" s="17"/>
      <c r="L5" s="17"/>
    </row>
    <row r="6" spans="1:93" ht="127.5" x14ac:dyDescent="0.2">
      <c r="A6" s="115" t="s">
        <v>326</v>
      </c>
      <c r="B6" s="115"/>
      <c r="C6" s="115"/>
      <c r="D6" s="115"/>
      <c r="E6" s="115"/>
      <c r="F6" s="116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07.07.2022 г. № 557/пр;  Приказ Минстроя России от 30.01.2024 г. № 55/пр; Приказ Минстроя России от 23.01.2025 г. № 30/пр; Приказ Минстроя России от 02.09.2021 г. № 636/пр;  Приказ Минстроя России от 26.07.2022 г. № 611/пр; Приказ Минстроя России от 22.04.2022 г. № 317/пр</v>
      </c>
      <c r="G6" s="116"/>
      <c r="H6" s="116"/>
      <c r="I6" s="116"/>
      <c r="J6" s="116"/>
      <c r="K6" s="116"/>
      <c r="L6" s="116"/>
      <c r="CO6" s="42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07.07.2022 г. № 557/пр;  Приказ Минстроя России от 30.01.2024 г. № 55/пр; Приказ Минстроя России от 23.01.2025 г. № 30/пр; Приказ Минстроя России от 02.09.2021 г. № 636/пр;  Приказ Минстроя России от 26.07.2022 г. № 611/пр; Приказ Минстроя России от 22.04.2022 г. № 317/пр</v>
      </c>
    </row>
    <row r="7" spans="1:93" ht="12.75" customHeight="1" x14ac:dyDescent="0.2">
      <c r="A7" s="16"/>
      <c r="B7" s="16"/>
      <c r="C7" s="16"/>
      <c r="D7" s="16"/>
      <c r="E7" s="16"/>
      <c r="F7" s="17"/>
      <c r="G7" s="17"/>
      <c r="H7" s="17"/>
      <c r="I7" s="17"/>
      <c r="J7" s="17"/>
      <c r="K7" s="17"/>
      <c r="L7" s="17"/>
    </row>
    <row r="8" spans="1:93" ht="76.5" customHeight="1" x14ac:dyDescent="0.2">
      <c r="A8" s="115" t="s">
        <v>327</v>
      </c>
      <c r="B8" s="115"/>
      <c r="C8" s="115"/>
      <c r="D8" s="115"/>
      <c r="E8" s="115"/>
      <c r="F8" s="116" t="s">
        <v>252</v>
      </c>
      <c r="G8" s="116"/>
      <c r="H8" s="116"/>
      <c r="I8" s="116"/>
      <c r="J8" s="116"/>
      <c r="K8" s="116"/>
      <c r="L8" s="116"/>
    </row>
    <row r="9" spans="1:93" ht="12.75" customHeight="1" x14ac:dyDescent="0.2">
      <c r="A9" s="16"/>
      <c r="B9" s="16"/>
      <c r="C9" s="16"/>
      <c r="D9" s="16"/>
      <c r="E9" s="16"/>
      <c r="F9" s="17"/>
      <c r="G9" s="17"/>
      <c r="H9" s="17"/>
      <c r="I9" s="17"/>
      <c r="J9" s="17"/>
      <c r="K9" s="17"/>
      <c r="L9" s="17"/>
    </row>
    <row r="10" spans="1:93" ht="38.25" customHeight="1" x14ac:dyDescent="0.2">
      <c r="A10" s="115" t="s">
        <v>328</v>
      </c>
      <c r="B10" s="115"/>
      <c r="C10" s="115"/>
      <c r="D10" s="115"/>
      <c r="E10" s="115"/>
      <c r="F10" s="116" t="s">
        <v>254</v>
      </c>
      <c r="G10" s="116"/>
      <c r="H10" s="116"/>
      <c r="I10" s="116"/>
      <c r="J10" s="116"/>
      <c r="K10" s="116"/>
      <c r="L10" s="116"/>
    </row>
    <row r="11" spans="1:93" ht="12.75" customHeight="1" x14ac:dyDescent="0.2">
      <c r="A11" s="18"/>
      <c r="B11" s="18"/>
      <c r="C11" s="18"/>
      <c r="D11" s="18"/>
      <c r="E11" s="18"/>
      <c r="F11" s="19"/>
      <c r="G11" s="19"/>
      <c r="H11" s="19"/>
      <c r="I11" s="19"/>
      <c r="J11" s="19"/>
      <c r="K11" s="19"/>
      <c r="L11" s="19"/>
    </row>
    <row r="12" spans="1:93" ht="12.75" customHeight="1" x14ac:dyDescent="0.2">
      <c r="A12" s="115" t="s">
        <v>329</v>
      </c>
      <c r="B12" s="115"/>
      <c r="C12" s="115"/>
      <c r="D12" s="115"/>
      <c r="E12" s="115"/>
      <c r="F12" s="116" t="s">
        <v>364</v>
      </c>
      <c r="G12" s="116"/>
      <c r="H12" s="116"/>
      <c r="I12" s="116"/>
      <c r="J12" s="116"/>
      <c r="K12" s="116"/>
      <c r="L12" s="116"/>
    </row>
    <row r="13" spans="1:93" ht="12.75" customHeight="1" x14ac:dyDescent="0.2">
      <c r="A13" s="18"/>
      <c r="B13" s="18"/>
      <c r="C13" s="18"/>
      <c r="D13" s="18"/>
      <c r="E13" s="18"/>
      <c r="F13" s="19"/>
      <c r="G13" s="19"/>
      <c r="H13" s="19"/>
      <c r="I13" s="19"/>
      <c r="J13" s="19"/>
      <c r="K13" s="19"/>
      <c r="L13" s="19"/>
    </row>
    <row r="14" spans="1:93" ht="12.75" customHeight="1" x14ac:dyDescent="0.2">
      <c r="A14" s="115" t="s">
        <v>330</v>
      </c>
      <c r="B14" s="115"/>
      <c r="C14" s="115"/>
      <c r="D14" s="115"/>
      <c r="E14" s="115"/>
      <c r="F14" s="116" t="s">
        <v>450</v>
      </c>
      <c r="G14" s="116"/>
      <c r="H14" s="116"/>
      <c r="I14" s="116"/>
      <c r="J14" s="116"/>
      <c r="K14" s="116"/>
      <c r="L14" s="116"/>
    </row>
    <row r="15" spans="1:93" ht="12.75" customHeight="1" x14ac:dyDescent="0.2">
      <c r="A15" s="18"/>
      <c r="B15" s="18"/>
      <c r="C15" s="18"/>
      <c r="D15" s="18"/>
      <c r="E15" s="18"/>
      <c r="F15" s="19"/>
      <c r="G15" s="19"/>
      <c r="H15" s="19"/>
      <c r="I15" s="19"/>
      <c r="J15" s="19"/>
      <c r="K15" s="19"/>
      <c r="L15" s="17"/>
    </row>
    <row r="16" spans="1:93" ht="12.75" customHeight="1" x14ac:dyDescent="0.2">
      <c r="A16" s="115" t="s">
        <v>331</v>
      </c>
      <c r="B16" s="115"/>
      <c r="C16" s="115"/>
      <c r="D16" s="115"/>
      <c r="E16" s="115"/>
      <c r="F16" s="116" t="s">
        <v>451</v>
      </c>
      <c r="G16" s="116"/>
      <c r="H16" s="116"/>
      <c r="I16" s="116"/>
      <c r="J16" s="116"/>
      <c r="K16" s="116"/>
      <c r="L16" s="116"/>
    </row>
    <row r="17" spans="1:12" ht="12.75" customHeight="1" x14ac:dyDescent="0.2">
      <c r="A17" s="20"/>
      <c r="B17" s="20"/>
      <c r="C17" s="20"/>
      <c r="D17" s="20"/>
      <c r="E17" s="20"/>
      <c r="F17" s="21"/>
      <c r="G17" s="21"/>
      <c r="H17" s="21"/>
      <c r="I17" s="21"/>
      <c r="J17" s="21"/>
      <c r="K17" s="21"/>
      <c r="L17" s="21"/>
    </row>
    <row r="18" spans="1:12" ht="12.75" customHeight="1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12" ht="15.75" customHeight="1" x14ac:dyDescent="0.25">
      <c r="A19" s="110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</row>
    <row r="20" spans="1:12" ht="14.25" customHeight="1" x14ac:dyDescent="0.2">
      <c r="A20" s="111" t="s">
        <v>332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</row>
    <row r="21" spans="1:12" ht="14.25" customHeight="1" x14ac:dyDescent="0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</row>
    <row r="22" spans="1:12" ht="32.25" customHeight="1" x14ac:dyDescent="0.25">
      <c r="A22" s="110" t="s">
        <v>444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</row>
    <row r="23" spans="1:12" ht="14.25" customHeight="1" x14ac:dyDescent="0.2">
      <c r="A23" s="111" t="s">
        <v>333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</row>
    <row r="24" spans="1:12" ht="14.25" customHeight="1" x14ac:dyDescent="0.2">
      <c r="A24" s="22"/>
      <c r="B24" s="22"/>
      <c r="C24" s="22"/>
      <c r="D24" s="22"/>
      <c r="E24" s="22"/>
      <c r="F24" s="23"/>
      <c r="G24" s="23"/>
      <c r="H24" s="23"/>
      <c r="I24" s="23"/>
      <c r="J24" s="23"/>
      <c r="K24" s="23"/>
      <c r="L24" s="23"/>
    </row>
    <row r="25" spans="1:12" ht="15.75" customHeight="1" x14ac:dyDescent="0.25">
      <c r="A25" s="112" t="str">
        <f>CONCATENATE( "ЛОКАЛЬНАЯ СМЕТА № ", Source!L20, " ",Source!CM20)</f>
        <v xml:space="preserve">ЛОКАЛЬНАЯ СМЕТА № ЛСР02-01-06 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</row>
    <row r="26" spans="1:12" ht="15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4"/>
    </row>
    <row r="27" spans="1:12" ht="12.75" customHeight="1" x14ac:dyDescent="0.25">
      <c r="A27" s="110" t="s">
        <v>19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</row>
    <row r="28" spans="1:12" ht="14.25" customHeight="1" x14ac:dyDescent="0.2">
      <c r="A28" s="111" t="s">
        <v>334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</row>
    <row r="29" spans="1:12" ht="14.25" customHeight="1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</row>
    <row r="30" spans="1:12" ht="14.25" customHeight="1" x14ac:dyDescent="0.2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</row>
    <row r="31" spans="1:12" ht="12.75" customHeight="1" x14ac:dyDescent="0.2">
      <c r="A31" s="15" t="s">
        <v>335</v>
      </c>
      <c r="B31" s="15"/>
      <c r="C31" s="27" t="s">
        <v>365</v>
      </c>
      <c r="D31" s="15" t="s">
        <v>336</v>
      </c>
      <c r="E31" s="15"/>
      <c r="F31" s="15"/>
      <c r="G31" s="15"/>
      <c r="H31" s="15"/>
      <c r="I31" s="15"/>
      <c r="J31" s="15"/>
      <c r="K31" s="15"/>
      <c r="L31" s="15"/>
    </row>
    <row r="32" spans="1:12" ht="12.75" customHeight="1" x14ac:dyDescent="0.2">
      <c r="A32" s="15"/>
      <c r="B32" s="15"/>
      <c r="C32" s="28"/>
      <c r="D32" s="15"/>
      <c r="E32" s="15"/>
      <c r="F32" s="15"/>
      <c r="G32" s="15"/>
      <c r="H32" s="15"/>
      <c r="I32" s="15"/>
      <c r="J32" s="15"/>
      <c r="K32" s="15"/>
      <c r="L32" s="15"/>
    </row>
    <row r="33" spans="1:12" ht="12.75" customHeight="1" x14ac:dyDescent="0.2">
      <c r="A33" s="15" t="s">
        <v>337</v>
      </c>
      <c r="B33" s="15"/>
      <c r="C33" s="113"/>
      <c r="D33" s="113"/>
      <c r="E33" s="113"/>
      <c r="F33" s="113"/>
      <c r="G33" s="113"/>
      <c r="H33" s="113"/>
      <c r="I33" s="113"/>
      <c r="J33" s="113"/>
      <c r="K33" s="113"/>
      <c r="L33" s="113"/>
    </row>
    <row r="34" spans="1:12" ht="12.75" customHeight="1" x14ac:dyDescent="0.2">
      <c r="A34" s="29"/>
      <c r="B34" s="30"/>
      <c r="C34" s="111" t="s">
        <v>338</v>
      </c>
      <c r="D34" s="111"/>
      <c r="E34" s="111"/>
      <c r="F34" s="111"/>
      <c r="G34" s="111"/>
      <c r="H34" s="111"/>
      <c r="I34" s="111"/>
      <c r="J34" s="111"/>
      <c r="K34" s="111"/>
      <c r="L34" s="111"/>
    </row>
    <row r="35" spans="1:12" ht="14.25" customHeight="1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</row>
    <row r="36" spans="1:12" ht="14.25" customHeight="1" x14ac:dyDescent="0.2">
      <c r="A36" s="31" t="s">
        <v>366</v>
      </c>
      <c r="B36" s="22"/>
      <c r="C36" s="22"/>
      <c r="D36" s="32"/>
      <c r="E36" s="22"/>
      <c r="F36" s="22"/>
      <c r="G36" s="22"/>
      <c r="H36" s="22"/>
      <c r="I36" s="22"/>
      <c r="J36" s="22"/>
      <c r="K36" s="22"/>
      <c r="L36" s="22"/>
    </row>
    <row r="37" spans="1:12" ht="14.25" customHeight="1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</row>
    <row r="38" spans="1:12" ht="14.25" customHeight="1" x14ac:dyDescent="0.2">
      <c r="A38" s="31" t="s">
        <v>339</v>
      </c>
      <c r="B38" s="22"/>
      <c r="C38" s="108">
        <f>C41+C42+C43+C44</f>
        <v>59.230000000000004</v>
      </c>
      <c r="D38" s="109"/>
      <c r="E38" s="15" t="s">
        <v>340</v>
      </c>
      <c r="F38" s="20"/>
      <c r="G38" s="20"/>
      <c r="H38" s="20"/>
      <c r="I38" s="20"/>
      <c r="J38" s="20"/>
      <c r="K38" s="20"/>
      <c r="L38" s="22"/>
    </row>
    <row r="39" spans="1:12" ht="14.25" customHeight="1" x14ac:dyDescent="0.2">
      <c r="A39" s="31"/>
      <c r="B39" s="22"/>
      <c r="C39" s="73"/>
      <c r="D39" s="33"/>
      <c r="E39" s="15"/>
      <c r="F39" s="20"/>
      <c r="G39" s="15" t="s">
        <v>341</v>
      </c>
      <c r="H39" s="22"/>
      <c r="I39" s="15"/>
      <c r="J39" s="15"/>
      <c r="K39" s="75">
        <f>ROUND(SUM(AR52:AR309)/1000, 2)</f>
        <v>7.02</v>
      </c>
      <c r="L39" s="15" t="s">
        <v>340</v>
      </c>
    </row>
    <row r="40" spans="1:12" ht="14.25" customHeight="1" x14ac:dyDescent="0.2">
      <c r="A40" s="22"/>
      <c r="B40" s="34" t="s">
        <v>342</v>
      </c>
      <c r="C40" s="74"/>
      <c r="D40" s="22"/>
      <c r="E40" s="15"/>
      <c r="F40" s="20"/>
      <c r="G40" s="15" t="s">
        <v>343</v>
      </c>
      <c r="H40" s="22"/>
      <c r="I40" s="15"/>
      <c r="J40" s="15"/>
      <c r="K40" s="75">
        <f>ROUND(SUM(AT52:AT309)/1000, 2)</f>
        <v>0.01</v>
      </c>
      <c r="L40" s="15" t="s">
        <v>340</v>
      </c>
    </row>
    <row r="41" spans="1:12" ht="14.25" customHeight="1" x14ac:dyDescent="0.2">
      <c r="A41" s="22"/>
      <c r="B41" s="31" t="s">
        <v>344</v>
      </c>
      <c r="C41" s="108">
        <f>ROUND((Source!F298)/1000, 2)</f>
        <v>3.03</v>
      </c>
      <c r="D41" s="109"/>
      <c r="E41" s="15" t="s">
        <v>340</v>
      </c>
      <c r="F41" s="20"/>
      <c r="G41" s="15" t="s">
        <v>345</v>
      </c>
      <c r="H41" s="22"/>
      <c r="I41" s="15"/>
      <c r="J41" s="33"/>
      <c r="K41" s="76">
        <f>Source!F303</f>
        <v>21.243079999999999</v>
      </c>
      <c r="L41" s="15" t="s">
        <v>260</v>
      </c>
    </row>
    <row r="42" spans="1:12" ht="14.25" customHeight="1" x14ac:dyDescent="0.2">
      <c r="A42" s="22"/>
      <c r="B42" s="31" t="s">
        <v>346</v>
      </c>
      <c r="C42" s="108">
        <f>ROUND((Source!F299)/1000, 2)</f>
        <v>56.2</v>
      </c>
      <c r="D42" s="109"/>
      <c r="E42" s="15" t="s">
        <v>340</v>
      </c>
      <c r="F42" s="20"/>
      <c r="G42" s="15" t="s">
        <v>347</v>
      </c>
      <c r="H42" s="22"/>
      <c r="I42" s="15"/>
      <c r="J42" s="35"/>
      <c r="K42" s="76">
        <f>Source!F304</f>
        <v>3.0200000000000001E-2</v>
      </c>
      <c r="L42" s="15" t="s">
        <v>260</v>
      </c>
    </row>
    <row r="43" spans="1:12" ht="14.25" customHeight="1" x14ac:dyDescent="0.2">
      <c r="A43" s="22"/>
      <c r="B43" s="31" t="s">
        <v>348</v>
      </c>
      <c r="C43" s="108">
        <f>ROUND((Source!F290)/1000, 2)</f>
        <v>0</v>
      </c>
      <c r="D43" s="109"/>
      <c r="E43" s="15" t="s">
        <v>340</v>
      </c>
      <c r="F43" s="20"/>
      <c r="G43" s="15"/>
      <c r="H43" s="15"/>
      <c r="I43" s="15"/>
      <c r="J43" s="15"/>
      <c r="K43" s="20"/>
      <c r="L43" s="15"/>
    </row>
    <row r="44" spans="1:12" ht="14.25" customHeight="1" x14ac:dyDescent="0.2">
      <c r="A44" s="22"/>
      <c r="B44" s="31" t="s">
        <v>349</v>
      </c>
      <c r="C44" s="108">
        <f>ROUND((Source!F300)/1000, 2)</f>
        <v>0</v>
      </c>
      <c r="D44" s="109"/>
      <c r="E44" s="15" t="s">
        <v>340</v>
      </c>
      <c r="F44" s="20"/>
      <c r="G44" s="15"/>
      <c r="H44" s="15"/>
      <c r="I44" s="15"/>
      <c r="J44" s="15"/>
      <c r="K44" s="20"/>
      <c r="L44" s="15"/>
    </row>
    <row r="45" spans="1:12" ht="14.25" customHeight="1" x14ac:dyDescent="0.2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</row>
    <row r="46" spans="1:12" ht="12.75" customHeight="1" x14ac:dyDescent="0.2">
      <c r="A46" s="96" t="s">
        <v>350</v>
      </c>
      <c r="B46" s="96" t="s">
        <v>351</v>
      </c>
      <c r="C46" s="96" t="s">
        <v>352</v>
      </c>
      <c r="D46" s="96" t="s">
        <v>353</v>
      </c>
      <c r="E46" s="99" t="s">
        <v>354</v>
      </c>
      <c r="F46" s="100"/>
      <c r="G46" s="101"/>
      <c r="H46" s="99" t="s">
        <v>355</v>
      </c>
      <c r="I46" s="100"/>
      <c r="J46" s="100"/>
      <c r="K46" s="100"/>
      <c r="L46" s="101"/>
    </row>
    <row r="47" spans="1:12" ht="12.75" customHeight="1" x14ac:dyDescent="0.2">
      <c r="A47" s="97"/>
      <c r="B47" s="97"/>
      <c r="C47" s="97"/>
      <c r="D47" s="97"/>
      <c r="E47" s="102"/>
      <c r="F47" s="103"/>
      <c r="G47" s="104"/>
      <c r="H47" s="102"/>
      <c r="I47" s="103"/>
      <c r="J47" s="103"/>
      <c r="K47" s="103"/>
      <c r="L47" s="104"/>
    </row>
    <row r="48" spans="1:12" ht="12.75" customHeight="1" x14ac:dyDescent="0.2">
      <c r="A48" s="97"/>
      <c r="B48" s="97"/>
      <c r="C48" s="97"/>
      <c r="D48" s="97"/>
      <c r="E48" s="102"/>
      <c r="F48" s="103"/>
      <c r="G48" s="104"/>
      <c r="H48" s="102"/>
      <c r="I48" s="103"/>
      <c r="J48" s="103"/>
      <c r="K48" s="103"/>
      <c r="L48" s="104"/>
    </row>
    <row r="49" spans="1:83" ht="12.75" customHeight="1" x14ac:dyDescent="0.2">
      <c r="A49" s="97"/>
      <c r="B49" s="97"/>
      <c r="C49" s="97"/>
      <c r="D49" s="97"/>
      <c r="E49" s="105"/>
      <c r="F49" s="106"/>
      <c r="G49" s="107"/>
      <c r="H49" s="105"/>
      <c r="I49" s="106"/>
      <c r="J49" s="106"/>
      <c r="K49" s="106"/>
      <c r="L49" s="107"/>
    </row>
    <row r="50" spans="1:83" ht="51" customHeight="1" x14ac:dyDescent="0.2">
      <c r="A50" s="98"/>
      <c r="B50" s="98"/>
      <c r="C50" s="98"/>
      <c r="D50" s="98"/>
      <c r="E50" s="37" t="s">
        <v>356</v>
      </c>
      <c r="F50" s="37" t="s">
        <v>357</v>
      </c>
      <c r="G50" s="38" t="s">
        <v>358</v>
      </c>
      <c r="H50" s="37" t="s">
        <v>359</v>
      </c>
      <c r="I50" s="37" t="s">
        <v>360</v>
      </c>
      <c r="J50" s="37" t="s">
        <v>361</v>
      </c>
      <c r="K50" s="37" t="s">
        <v>357</v>
      </c>
      <c r="L50" s="37" t="s">
        <v>362</v>
      </c>
    </row>
    <row r="51" spans="1:83" ht="14.25" customHeight="1" x14ac:dyDescent="0.2">
      <c r="A51" s="39">
        <v>1</v>
      </c>
      <c r="B51" s="39">
        <v>2</v>
      </c>
      <c r="C51" s="39">
        <v>3</v>
      </c>
      <c r="D51" s="39">
        <v>4</v>
      </c>
      <c r="E51" s="39">
        <v>5</v>
      </c>
      <c r="F51" s="39">
        <v>6</v>
      </c>
      <c r="G51" s="39">
        <v>7</v>
      </c>
      <c r="H51" s="39">
        <v>8</v>
      </c>
      <c r="I51" s="39">
        <v>9</v>
      </c>
      <c r="J51" s="39">
        <v>10</v>
      </c>
      <c r="K51" s="41">
        <v>11</v>
      </c>
      <c r="L51" s="41">
        <v>12</v>
      </c>
    </row>
    <row r="54" spans="1:83" ht="16.5" x14ac:dyDescent="0.2">
      <c r="A54" s="114" t="s">
        <v>442</v>
      </c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</row>
    <row r="55" spans="1:83" ht="28.5" x14ac:dyDescent="0.2">
      <c r="A55" s="56" t="s">
        <v>88</v>
      </c>
      <c r="B55" s="45" t="s">
        <v>392</v>
      </c>
      <c r="C55" s="45" t="str">
        <f>Source!G232</f>
        <v>Демонтаж: светильников с лампами накаливания</v>
      </c>
      <c r="D55" s="57" t="str">
        <f>Source!H232</f>
        <v>100 ШТ</v>
      </c>
      <c r="E55" s="48">
        <f>Source!K232</f>
        <v>0.06</v>
      </c>
      <c r="F55" s="48"/>
      <c r="G55" s="48">
        <f>Source!I232</f>
        <v>0.06</v>
      </c>
      <c r="H55" s="49"/>
      <c r="I55" s="58"/>
      <c r="J55" s="49"/>
      <c r="K55" s="58"/>
      <c r="L55" s="49"/>
    </row>
    <row r="56" spans="1:83" ht="15" x14ac:dyDescent="0.2">
      <c r="A56" s="44"/>
      <c r="B56" s="48">
        <v>1</v>
      </c>
      <c r="C56" s="44" t="s">
        <v>393</v>
      </c>
      <c r="D56" s="57" t="s">
        <v>260</v>
      </c>
      <c r="E56" s="55"/>
      <c r="F56" s="48"/>
      <c r="G56" s="48">
        <f>Source!U232</f>
        <v>0.37919999999999998</v>
      </c>
      <c r="H56" s="48"/>
      <c r="I56" s="48"/>
      <c r="J56" s="48"/>
      <c r="K56" s="48"/>
      <c r="L56" s="52">
        <f>SUM(L57:L57)-SUMIF(CE57:CE57, 1, L57:L57)</f>
        <v>103.31</v>
      </c>
    </row>
    <row r="57" spans="1:83" ht="14.25" x14ac:dyDescent="0.2">
      <c r="A57" s="45"/>
      <c r="B57" s="45" t="s">
        <v>258</v>
      </c>
      <c r="C57" s="45" t="s">
        <v>259</v>
      </c>
      <c r="D57" s="57" t="s">
        <v>260</v>
      </c>
      <c r="E57" s="48">
        <v>6.32</v>
      </c>
      <c r="F57" s="48"/>
      <c r="G57" s="48">
        <f>SmtRes!CX1</f>
        <v>0.37919999999999998</v>
      </c>
      <c r="H57" s="49"/>
      <c r="I57" s="58"/>
      <c r="J57" s="49">
        <f>SmtRes!CZ1</f>
        <v>272.43</v>
      </c>
      <c r="K57" s="58"/>
      <c r="L57" s="49">
        <f>SmtRes!DI1</f>
        <v>103.31</v>
      </c>
    </row>
    <row r="58" spans="1:83" ht="15" x14ac:dyDescent="0.2">
      <c r="A58" s="44"/>
      <c r="B58" s="48">
        <v>2</v>
      </c>
      <c r="C58" s="44" t="s">
        <v>394</v>
      </c>
      <c r="D58" s="57"/>
      <c r="E58" s="55"/>
      <c r="F58" s="48"/>
      <c r="G58" s="48"/>
      <c r="H58" s="48"/>
      <c r="I58" s="48"/>
      <c r="J58" s="48"/>
      <c r="K58" s="48"/>
      <c r="L58" s="52">
        <f>SUM(L59:L61)-SUMIF(CE59:CE61, 1, L59:L61)</f>
        <v>0.10000000000000009</v>
      </c>
    </row>
    <row r="59" spans="1:83" ht="15" x14ac:dyDescent="0.2">
      <c r="A59" s="44"/>
      <c r="B59" s="48"/>
      <c r="C59" s="44" t="s">
        <v>396</v>
      </c>
      <c r="D59" s="57" t="s">
        <v>260</v>
      </c>
      <c r="E59" s="55"/>
      <c r="F59" s="48"/>
      <c r="G59" s="48">
        <f>Source!V232</f>
        <v>1.8E-3</v>
      </c>
      <c r="H59" s="48"/>
      <c r="I59" s="48"/>
      <c r="J59" s="48"/>
      <c r="K59" s="48"/>
      <c r="L59" s="52">
        <f>SUMIF(CE60:CE61, 1, L60:L61)</f>
        <v>0.54</v>
      </c>
      <c r="CE59">
        <v>1</v>
      </c>
    </row>
    <row r="60" spans="1:83" ht="42.75" x14ac:dyDescent="0.2">
      <c r="A60" s="45"/>
      <c r="B60" s="45" t="s">
        <v>263</v>
      </c>
      <c r="C60" s="45" t="s">
        <v>265</v>
      </c>
      <c r="D60" s="57" t="s">
        <v>266</v>
      </c>
      <c r="E60" s="48">
        <v>0.03</v>
      </c>
      <c r="F60" s="48"/>
      <c r="G60" s="48">
        <f>SmtRes!CX3</f>
        <v>1.8E-3</v>
      </c>
      <c r="H60" s="49">
        <f>SmtRes!CZ3</f>
        <v>37.32</v>
      </c>
      <c r="I60" s="58">
        <f>SmtRes!AJ3</f>
        <v>1.48</v>
      </c>
      <c r="J60" s="49">
        <f>ROUND(H60*I60, 2)</f>
        <v>55.23</v>
      </c>
      <c r="K60" s="58"/>
      <c r="L60" s="49">
        <f>SmtRes!DG3</f>
        <v>0.1</v>
      </c>
    </row>
    <row r="61" spans="1:83" ht="28.5" x14ac:dyDescent="0.2">
      <c r="A61" s="45"/>
      <c r="B61" s="45" t="s">
        <v>267</v>
      </c>
      <c r="C61" s="59" t="s">
        <v>395</v>
      </c>
      <c r="D61" s="60" t="s">
        <v>260</v>
      </c>
      <c r="E61" s="61">
        <f>SmtRes!DO3*SmtRes!AT3</f>
        <v>0.03</v>
      </c>
      <c r="F61" s="61"/>
      <c r="G61" s="61">
        <f>ROUND(E61*G55, 7)</f>
        <v>1.8E-3</v>
      </c>
      <c r="H61" s="62"/>
      <c r="I61" s="63"/>
      <c r="J61" s="62">
        <f>ROUND(SmtRes!AG3/SmtRes!DO3, 2)</f>
        <v>297.43</v>
      </c>
      <c r="K61" s="63"/>
      <c r="L61" s="62">
        <f>SmtRes!DH3</f>
        <v>0.54</v>
      </c>
      <c r="CE61">
        <v>1</v>
      </c>
    </row>
    <row r="62" spans="1:83" ht="15" x14ac:dyDescent="0.2">
      <c r="A62" s="45"/>
      <c r="B62" s="45"/>
      <c r="C62" s="64" t="s">
        <v>397</v>
      </c>
      <c r="D62" s="57"/>
      <c r="E62" s="48"/>
      <c r="F62" s="48"/>
      <c r="G62" s="48"/>
      <c r="H62" s="49"/>
      <c r="I62" s="58"/>
      <c r="J62" s="49"/>
      <c r="K62" s="58"/>
      <c r="L62" s="49">
        <f>L56+L58+L59</f>
        <v>103.95</v>
      </c>
    </row>
    <row r="63" spans="1:83" ht="14.25" x14ac:dyDescent="0.2">
      <c r="A63" s="45"/>
      <c r="B63" s="45"/>
      <c r="C63" s="45" t="s">
        <v>398</v>
      </c>
      <c r="D63" s="57"/>
      <c r="E63" s="48"/>
      <c r="F63" s="48"/>
      <c r="G63" s="48"/>
      <c r="H63" s="49"/>
      <c r="I63" s="58"/>
      <c r="J63" s="49"/>
      <c r="K63" s="58"/>
      <c r="L63" s="49">
        <f>SUM(AR55:AR66)+SUM(AS55:AS66)+SUM(AT55:AT66)+SUM(AU55:AU66)+SUM(AV55:AV66)</f>
        <v>103.85000000000001</v>
      </c>
    </row>
    <row r="64" spans="1:83" ht="14.25" x14ac:dyDescent="0.2">
      <c r="A64" s="45"/>
      <c r="B64" s="45" t="s">
        <v>95</v>
      </c>
      <c r="C64" s="45" t="s">
        <v>399</v>
      </c>
      <c r="D64" s="57" t="s">
        <v>112</v>
      </c>
      <c r="E64" s="48">
        <f>Source!BZ232</f>
        <v>91</v>
      </c>
      <c r="F64" s="48"/>
      <c r="G64" s="48">
        <f>Source!AT232</f>
        <v>91</v>
      </c>
      <c r="H64" s="49"/>
      <c r="I64" s="58"/>
      <c r="J64" s="49"/>
      <c r="K64" s="58"/>
      <c r="L64" s="49">
        <f>SUM(AZ55:AZ66)</f>
        <v>94.5</v>
      </c>
    </row>
    <row r="65" spans="1:83" ht="14.25" x14ac:dyDescent="0.2">
      <c r="A65" s="59"/>
      <c r="B65" s="59" t="s">
        <v>96</v>
      </c>
      <c r="C65" s="59" t="s">
        <v>400</v>
      </c>
      <c r="D65" s="60" t="s">
        <v>112</v>
      </c>
      <c r="E65" s="61">
        <f>Source!CA232</f>
        <v>48</v>
      </c>
      <c r="F65" s="61"/>
      <c r="G65" s="61">
        <f>Source!AU232</f>
        <v>48</v>
      </c>
      <c r="H65" s="62"/>
      <c r="I65" s="63"/>
      <c r="J65" s="62"/>
      <c r="K65" s="63"/>
      <c r="L65" s="62">
        <f>SUM(BA55:BA66)</f>
        <v>49.85</v>
      </c>
    </row>
    <row r="66" spans="1:83" ht="15" x14ac:dyDescent="0.2">
      <c r="C66" s="94" t="s">
        <v>401</v>
      </c>
      <c r="D66" s="94"/>
      <c r="E66" s="94"/>
      <c r="F66" s="94"/>
      <c r="G66" s="94"/>
      <c r="H66" s="94"/>
      <c r="I66" s="95">
        <f>IF(E55&lt;&gt;0,K66/E55, 0)</f>
        <v>4138.333333333333</v>
      </c>
      <c r="J66" s="95"/>
      <c r="K66" s="95">
        <f>L56+L58+L64+L65+L59</f>
        <v>248.29999999999998</v>
      </c>
      <c r="L66" s="95"/>
      <c r="AD66">
        <f>ROUND((Source!AT232/100)*((ROUND(SUMIF(SmtRes!AQ1:'SmtRes'!AQ3,"=1",SmtRes!AD1:'SmtRes'!AD3)*Source!I232, 2)+ROUND(SUMIF(SmtRes!AQ1:'SmtRes'!AQ3,"=1",SmtRes!AC1:'SmtRes'!AC3)*Source!I232, 2))), 2)</f>
        <v>31.12</v>
      </c>
      <c r="AE66">
        <f>ROUND((Source!AU232/100)*((ROUND(SUMIF(SmtRes!AQ1:'SmtRes'!AQ3,"=1",SmtRes!AD1:'SmtRes'!AD3)*Source!I232, 2)+ROUND(SUMIF(SmtRes!AQ1:'SmtRes'!AQ3,"=1",SmtRes!AC1:'SmtRes'!AC3)*Source!I232, 2))), 2)</f>
        <v>16.420000000000002</v>
      </c>
      <c r="AN66" s="54">
        <f>L56+L58+L64+L65+L59</f>
        <v>248.29999999999998</v>
      </c>
      <c r="AO66" s="54">
        <f>L58</f>
        <v>0.10000000000000009</v>
      </c>
      <c r="AQ66" t="s">
        <v>402</v>
      </c>
      <c r="AR66" s="54">
        <f>L56</f>
        <v>103.31</v>
      </c>
      <c r="AT66" s="54">
        <f>L59</f>
        <v>0.54</v>
      </c>
      <c r="AV66" t="s">
        <v>402</v>
      </c>
      <c r="AW66">
        <f>0</f>
        <v>0</v>
      </c>
      <c r="AZ66">
        <f>Source!X232</f>
        <v>94.5</v>
      </c>
      <c r="BA66">
        <f>Source!Y232</f>
        <v>49.85</v>
      </c>
      <c r="CD66">
        <v>1</v>
      </c>
    </row>
    <row r="67" spans="1:83" ht="82.5" x14ac:dyDescent="0.2">
      <c r="A67" s="56" t="s">
        <v>97</v>
      </c>
      <c r="B67" s="45" t="s">
        <v>403</v>
      </c>
      <c r="C67" s="45" t="s">
        <v>404</v>
      </c>
      <c r="D67" s="57" t="str">
        <f>Source!H233</f>
        <v>100 ШТ</v>
      </c>
      <c r="E67" s="48">
        <f>Source!K233</f>
        <v>0.08</v>
      </c>
      <c r="F67" s="48"/>
      <c r="G67" s="48">
        <f>Source!I233</f>
        <v>0.08</v>
      </c>
      <c r="H67" s="49"/>
      <c r="I67" s="58"/>
      <c r="J67" s="49"/>
      <c r="K67" s="58"/>
      <c r="L67" s="49"/>
    </row>
    <row r="68" spans="1:83" ht="25.5" x14ac:dyDescent="0.2">
      <c r="B68" s="65" t="str">
        <f>CONCATENATE("Поправка: ", Source!EO233)</f>
        <v>Поправка: Попр.ОП п.1.8.3</v>
      </c>
      <c r="C68" s="65" t="str">
        <f>Source!CN233</f>
        <v>Поправка:При производстве работ на высоте св. 2 до 8 м</v>
      </c>
    </row>
    <row r="69" spans="1:83" ht="15" x14ac:dyDescent="0.2">
      <c r="A69" s="44"/>
      <c r="B69" s="48">
        <v>1</v>
      </c>
      <c r="C69" s="44" t="s">
        <v>393</v>
      </c>
      <c r="D69" s="57" t="s">
        <v>260</v>
      </c>
      <c r="E69" s="55"/>
      <c r="F69" s="48"/>
      <c r="G69" s="48">
        <f>Source!U233</f>
        <v>1.64388</v>
      </c>
      <c r="H69" s="48"/>
      <c r="I69" s="48"/>
      <c r="J69" s="48"/>
      <c r="K69" s="48"/>
      <c r="L69" s="52">
        <f>SUM(L70:L71)-SUMIF(CE70:CE71, 1, L70:L71)</f>
        <v>547.64</v>
      </c>
    </row>
    <row r="70" spans="1:83" ht="14.25" x14ac:dyDescent="0.2">
      <c r="A70" s="45"/>
      <c r="B70" s="45" t="s">
        <v>268</v>
      </c>
      <c r="C70" s="45" t="s">
        <v>269</v>
      </c>
      <c r="D70" s="57" t="s">
        <v>270</v>
      </c>
      <c r="E70" s="48">
        <v>0.41</v>
      </c>
      <c r="F70" s="48">
        <f>ROUND(1.05,7)</f>
        <v>1.05</v>
      </c>
      <c r="G70" s="48">
        <f>SmtRes!CX4</f>
        <v>3.4439999999999998E-2</v>
      </c>
      <c r="H70" s="49"/>
      <c r="I70" s="58"/>
      <c r="J70" s="49">
        <f>SmtRes!CZ4</f>
        <v>249.94</v>
      </c>
      <c r="K70" s="58"/>
      <c r="L70" s="49">
        <f>SmtRes!DI4</f>
        <v>8.61</v>
      </c>
    </row>
    <row r="71" spans="1:83" ht="14.25" x14ac:dyDescent="0.2">
      <c r="A71" s="45"/>
      <c r="B71" s="45" t="s">
        <v>271</v>
      </c>
      <c r="C71" s="45" t="s">
        <v>272</v>
      </c>
      <c r="D71" s="57" t="s">
        <v>270</v>
      </c>
      <c r="E71" s="48">
        <v>19.16</v>
      </c>
      <c r="F71" s="48">
        <f>ROUND(1.05,7)</f>
        <v>1.05</v>
      </c>
      <c r="G71" s="48">
        <f>SmtRes!CX5</f>
        <v>1.60944</v>
      </c>
      <c r="H71" s="49"/>
      <c r="I71" s="58"/>
      <c r="J71" s="49">
        <f>SmtRes!CZ5</f>
        <v>334.92</v>
      </c>
      <c r="K71" s="58"/>
      <c r="L71" s="49">
        <f>SmtRes!DI5</f>
        <v>539.03</v>
      </c>
    </row>
    <row r="72" spans="1:83" ht="15" x14ac:dyDescent="0.2">
      <c r="A72" s="44"/>
      <c r="B72" s="48">
        <v>2</v>
      </c>
      <c r="C72" s="44" t="s">
        <v>394</v>
      </c>
      <c r="D72" s="57"/>
      <c r="E72" s="55"/>
      <c r="F72" s="48"/>
      <c r="G72" s="48"/>
      <c r="H72" s="48"/>
      <c r="I72" s="48"/>
      <c r="J72" s="48"/>
      <c r="K72" s="48"/>
      <c r="L72" s="52">
        <f>SUM(L73:L75)-SUMIF(CE73:CE75, 1, L73:L75)</f>
        <v>13.689999999999998</v>
      </c>
    </row>
    <row r="73" spans="1:83" ht="15" x14ac:dyDescent="0.2">
      <c r="A73" s="44"/>
      <c r="B73" s="48"/>
      <c r="C73" s="44" t="s">
        <v>396</v>
      </c>
      <c r="D73" s="57" t="s">
        <v>260</v>
      </c>
      <c r="E73" s="55"/>
      <c r="F73" s="48"/>
      <c r="G73" s="48">
        <f>Source!V233</f>
        <v>2.24E-2</v>
      </c>
      <c r="H73" s="48"/>
      <c r="I73" s="48"/>
      <c r="J73" s="48"/>
      <c r="K73" s="48"/>
      <c r="L73" s="52">
        <f>SUMIF(CE74:CE75, 1, L74:L75)</f>
        <v>7.5</v>
      </c>
      <c r="CE73">
        <v>1</v>
      </c>
    </row>
    <row r="74" spans="1:83" ht="28.5" x14ac:dyDescent="0.2">
      <c r="A74" s="45"/>
      <c r="B74" s="45" t="s">
        <v>273</v>
      </c>
      <c r="C74" s="45" t="s">
        <v>275</v>
      </c>
      <c r="D74" s="57" t="s">
        <v>266</v>
      </c>
      <c r="E74" s="48">
        <v>0.28000000000000003</v>
      </c>
      <c r="F74" s="48"/>
      <c r="G74" s="48">
        <f>SmtRes!CX7</f>
        <v>2.24E-2</v>
      </c>
      <c r="H74" s="49"/>
      <c r="I74" s="58"/>
      <c r="J74" s="49">
        <f>SmtRes!CZ7</f>
        <v>611</v>
      </c>
      <c r="K74" s="58"/>
      <c r="L74" s="49">
        <f>SmtRes!DG7</f>
        <v>13.69</v>
      </c>
    </row>
    <row r="75" spans="1:83" ht="28.5" x14ac:dyDescent="0.2">
      <c r="A75" s="45"/>
      <c r="B75" s="45" t="s">
        <v>276</v>
      </c>
      <c r="C75" s="59" t="s">
        <v>405</v>
      </c>
      <c r="D75" s="60" t="s">
        <v>260</v>
      </c>
      <c r="E75" s="61">
        <f>SmtRes!DO7*SmtRes!AT7</f>
        <v>0.28000000000000003</v>
      </c>
      <c r="F75" s="61"/>
      <c r="G75" s="61">
        <f>ROUND(E75*G67, 7)</f>
        <v>2.24E-2</v>
      </c>
      <c r="H75" s="62"/>
      <c r="I75" s="63"/>
      <c r="J75" s="62">
        <f>ROUND(SmtRes!AG7/SmtRes!DO7, 2)</f>
        <v>334.92</v>
      </c>
      <c r="K75" s="63"/>
      <c r="L75" s="62">
        <f>SmtRes!DH7</f>
        <v>7.5</v>
      </c>
      <c r="CE75">
        <v>1</v>
      </c>
    </row>
    <row r="76" spans="1:83" ht="15" x14ac:dyDescent="0.2">
      <c r="A76" s="45"/>
      <c r="B76" s="45"/>
      <c r="C76" s="64" t="s">
        <v>397</v>
      </c>
      <c r="D76" s="57"/>
      <c r="E76" s="48"/>
      <c r="F76" s="48"/>
      <c r="G76" s="48"/>
      <c r="H76" s="49"/>
      <c r="I76" s="58"/>
      <c r="J76" s="49"/>
      <c r="K76" s="58"/>
      <c r="L76" s="49">
        <f>L69+L72+L73</f>
        <v>568.82999999999993</v>
      </c>
    </row>
    <row r="77" spans="1:83" ht="57" x14ac:dyDescent="0.2">
      <c r="A77" s="56" t="s">
        <v>406</v>
      </c>
      <c r="B77" s="45" t="str">
        <f>Source!F234</f>
        <v>421/пр_2020_п.75_пп.а</v>
      </c>
      <c r="C77" s="45" t="str">
        <f>Source!G234</f>
        <v>Сметная стоимость вспомогательных ненормируемых материальных ресурсов, не учтенная в сметной норме, 2%</v>
      </c>
      <c r="D77" s="57" t="str">
        <f>Source!H234</f>
        <v>%</v>
      </c>
      <c r="E77" s="48">
        <f>SmtRes!AT8</f>
        <v>2</v>
      </c>
      <c r="F77" s="48"/>
      <c r="G77" s="48">
        <f>Source!I234</f>
        <v>2</v>
      </c>
      <c r="H77" s="49"/>
      <c r="I77" s="58"/>
      <c r="J77" s="49"/>
      <c r="K77" s="58"/>
      <c r="L77" s="49">
        <f>Source!P234</f>
        <v>10.43</v>
      </c>
      <c r="AD77">
        <f>ROUND((Source!AT234/100)*((ROUND(0*Source!I234, 2)+ROUND(0*Source!I234, 2))), 2)</f>
        <v>0</v>
      </c>
      <c r="AE77">
        <f>ROUND((Source!AU234/100)*((ROUND(0*Source!I234, 2)+ROUND(0*Source!I234, 2))), 2)</f>
        <v>0</v>
      </c>
      <c r="AN77">
        <f>L77</f>
        <v>10.43</v>
      </c>
      <c r="AW77">
        <f>L77</f>
        <v>10.43</v>
      </c>
      <c r="AZ77">
        <f>Source!X234</f>
        <v>0</v>
      </c>
      <c r="BA77">
        <f>Source!Y234</f>
        <v>0</v>
      </c>
      <c r="CD77">
        <v>2</v>
      </c>
    </row>
    <row r="78" spans="1:83" ht="14.25" x14ac:dyDescent="0.2">
      <c r="A78" s="45"/>
      <c r="B78" s="45"/>
      <c r="C78" s="45" t="s">
        <v>398</v>
      </c>
      <c r="D78" s="57"/>
      <c r="E78" s="48"/>
      <c r="F78" s="48"/>
      <c r="G78" s="48"/>
      <c r="H78" s="49"/>
      <c r="I78" s="58"/>
      <c r="J78" s="49"/>
      <c r="K78" s="58"/>
      <c r="L78" s="49">
        <f>SUM(AR67:AR81)+SUM(AS67:AS81)+SUM(AT67:AT81)+SUM(AU67:AU81)+SUM(AV67:AV81)</f>
        <v>555.14</v>
      </c>
    </row>
    <row r="79" spans="1:83" ht="28.5" x14ac:dyDescent="0.2">
      <c r="A79" s="45"/>
      <c r="B79" s="45" t="s">
        <v>107</v>
      </c>
      <c r="C79" s="45" t="s">
        <v>407</v>
      </c>
      <c r="D79" s="57" t="s">
        <v>112</v>
      </c>
      <c r="E79" s="48">
        <f>Source!BZ233</f>
        <v>97</v>
      </c>
      <c r="F79" s="48"/>
      <c r="G79" s="48">
        <f>Source!AT233</f>
        <v>97</v>
      </c>
      <c r="H79" s="49"/>
      <c r="I79" s="58"/>
      <c r="J79" s="49"/>
      <c r="K79" s="58"/>
      <c r="L79" s="49">
        <f>SUM(AZ67:AZ81)</f>
        <v>538.49</v>
      </c>
    </row>
    <row r="80" spans="1:83" ht="28.5" x14ac:dyDescent="0.2">
      <c r="A80" s="59"/>
      <c r="B80" s="59" t="s">
        <v>108</v>
      </c>
      <c r="C80" s="59" t="s">
        <v>408</v>
      </c>
      <c r="D80" s="60" t="s">
        <v>112</v>
      </c>
      <c r="E80" s="61">
        <f>Source!CA233</f>
        <v>51</v>
      </c>
      <c r="F80" s="61"/>
      <c r="G80" s="61">
        <f>Source!AU233</f>
        <v>51</v>
      </c>
      <c r="H80" s="62"/>
      <c r="I80" s="63"/>
      <c r="J80" s="62"/>
      <c r="K80" s="63"/>
      <c r="L80" s="62">
        <f>SUM(BA67:BA81)</f>
        <v>283.12</v>
      </c>
    </row>
    <row r="81" spans="1:82" ht="15" x14ac:dyDescent="0.2">
      <c r="C81" s="94" t="s">
        <v>401</v>
      </c>
      <c r="D81" s="94"/>
      <c r="E81" s="94"/>
      <c r="F81" s="94"/>
      <c r="G81" s="94"/>
      <c r="H81" s="94"/>
      <c r="I81" s="95">
        <f>IF(E67&lt;&gt;0,K81/E67, 0)</f>
        <v>17510.875</v>
      </c>
      <c r="J81" s="95"/>
      <c r="K81" s="95">
        <f>L69+L72+L79+L80+L73+SUM(L77:L77)</f>
        <v>1400.8700000000001</v>
      </c>
      <c r="L81" s="95"/>
      <c r="AD81">
        <f>ROUND((Source!AT233/100)*((ROUND(SUMIF(SmtRes!AQ4:'SmtRes'!AQ8,"=1",SmtRes!AD4:'SmtRes'!AD8)*Source!I233, 2)+ROUND(SUMIF(SmtRes!AQ4:'SmtRes'!AQ8,"=1",SmtRes!AC4:'SmtRes'!AC8)*Source!I233, 2))), 2)</f>
        <v>71.37</v>
      </c>
      <c r="AE81">
        <f>ROUND((Source!AU233/100)*((ROUND(SUMIF(SmtRes!AQ4:'SmtRes'!AQ8,"=1",SmtRes!AD4:'SmtRes'!AD8)*Source!I233, 2)+ROUND(SUMIF(SmtRes!AQ4:'SmtRes'!AQ8,"=1",SmtRes!AC4:'SmtRes'!AC8)*Source!I233, 2))), 2)</f>
        <v>37.53</v>
      </c>
      <c r="AN81" s="54">
        <f>L69+L72+L79+L80+L73</f>
        <v>1390.44</v>
      </c>
      <c r="AO81" s="54">
        <f>L72</f>
        <v>13.689999999999998</v>
      </c>
      <c r="AQ81" t="s">
        <v>402</v>
      </c>
      <c r="AR81" s="54">
        <f>L69</f>
        <v>547.64</v>
      </c>
      <c r="AT81" s="54">
        <f>L73</f>
        <v>7.5</v>
      </c>
      <c r="AV81" t="s">
        <v>402</v>
      </c>
      <c r="AW81">
        <f>0</f>
        <v>0</v>
      </c>
      <c r="AZ81">
        <f>Source!X233</f>
        <v>538.49</v>
      </c>
      <c r="BA81">
        <f>Source!Y233</f>
        <v>283.12</v>
      </c>
      <c r="CD81">
        <v>2</v>
      </c>
    </row>
    <row r="82" spans="1:82" ht="128.25" x14ac:dyDescent="0.2">
      <c r="A82" s="66" t="s">
        <v>116</v>
      </c>
      <c r="B82" s="59" t="str">
        <f>Source!F235</f>
        <v>20.3.03.07-0096</v>
      </c>
      <c r="C82" s="59" t="str">
        <f>Source!G235</f>
        <v>Светильник светодиодный потолочный накладной для общественных зданий, IP54, УХЛ4, рассеиватель полистирол, корпус алюминиевый с порошковой окраской, кривая силы света косинусная, световой поток 5900-6500 лм, цветовая температура 3000-5000 К, размеры светильника 595х595 мм, мощность 45 Вт</v>
      </c>
      <c r="D82" s="60" t="str">
        <f>Source!H235</f>
        <v>ШТ</v>
      </c>
      <c r="E82" s="61">
        <f>Source!K235</f>
        <v>8</v>
      </c>
      <c r="F82" s="61"/>
      <c r="G82" s="61">
        <f>Source!I235</f>
        <v>8</v>
      </c>
      <c r="H82" s="62">
        <f>Source!AL235</f>
        <v>3059.76</v>
      </c>
      <c r="I82" s="63">
        <f>IF(Source!BC235&lt;&gt; 0, Source!BC235, 1)</f>
        <v>1.63</v>
      </c>
      <c r="J82" s="62">
        <f>ROUND(H82*I82, 2)</f>
        <v>4987.41</v>
      </c>
      <c r="K82" s="63"/>
      <c r="L82" s="62">
        <f>Source!P235</f>
        <v>39899.279999999999</v>
      </c>
    </row>
    <row r="83" spans="1:82" ht="15" x14ac:dyDescent="0.2">
      <c r="C83" s="94" t="s">
        <v>401</v>
      </c>
      <c r="D83" s="94"/>
      <c r="E83" s="94"/>
      <c r="F83" s="94"/>
      <c r="G83" s="94"/>
      <c r="H83" s="94"/>
      <c r="I83" s="95">
        <f>IF(E82&lt;&gt;0,K83/E82, 0)</f>
        <v>4987.41</v>
      </c>
      <c r="J83" s="95"/>
      <c r="K83" s="95">
        <f>L82</f>
        <v>39899.279999999999</v>
      </c>
      <c r="L83" s="95"/>
      <c r="AD83">
        <f>ROUND((Source!AT235/100)*((ROUND(ROUND(Source!AO235,2)*Source!I235, 2)+ROUND(ROUND(Source!AN235,2)*Source!I235, 2))), 2)</f>
        <v>0</v>
      </c>
      <c r="AE83">
        <f>ROUND((Source!AU235/100)*((ROUND(ROUND(Source!AO235,2)*Source!I235, 2)+ROUND(ROUND(Source!AN235,2)*Source!I235, 2))), 2)</f>
        <v>0</v>
      </c>
      <c r="AN83" s="54">
        <f>L82</f>
        <v>39899.279999999999</v>
      </c>
      <c r="AO83">
        <f>0</f>
        <v>0</v>
      </c>
      <c r="AQ83" t="s">
        <v>402</v>
      </c>
      <c r="AR83">
        <f>0</f>
        <v>0</v>
      </c>
      <c r="AT83">
        <f>0</f>
        <v>0</v>
      </c>
      <c r="AV83" t="s">
        <v>402</v>
      </c>
      <c r="AW83" s="54">
        <f>L82</f>
        <v>39899.279999999999</v>
      </c>
      <c r="AZ83">
        <f>Source!X235</f>
        <v>0</v>
      </c>
      <c r="BA83">
        <f>Source!Y235</f>
        <v>0</v>
      </c>
      <c r="CD83">
        <v>2</v>
      </c>
    </row>
    <row r="84" spans="1:82" ht="28.5" x14ac:dyDescent="0.2">
      <c r="A84" s="56" t="s">
        <v>120</v>
      </c>
      <c r="B84" s="45" t="s">
        <v>409</v>
      </c>
      <c r="C84" s="45" t="str">
        <f>Source!G236</f>
        <v>Смена: выключателей</v>
      </c>
      <c r="D84" s="57" t="str">
        <f>Source!H236</f>
        <v>100 ШТ</v>
      </c>
      <c r="E84" s="48">
        <f>Source!K236</f>
        <v>0.05</v>
      </c>
      <c r="F84" s="48"/>
      <c r="G84" s="48">
        <f>Source!I236</f>
        <v>0.05</v>
      </c>
      <c r="H84" s="49"/>
      <c r="I84" s="58"/>
      <c r="J84" s="49"/>
      <c r="K84" s="58"/>
      <c r="L84" s="49"/>
    </row>
    <row r="85" spans="1:82" ht="15" x14ac:dyDescent="0.2">
      <c r="A85" s="44"/>
      <c r="B85" s="48">
        <v>1</v>
      </c>
      <c r="C85" s="44" t="s">
        <v>393</v>
      </c>
      <c r="D85" s="57" t="s">
        <v>260</v>
      </c>
      <c r="E85" s="55"/>
      <c r="F85" s="48"/>
      <c r="G85" s="48">
        <f>Source!U236</f>
        <v>1.2050000000000001</v>
      </c>
      <c r="H85" s="48"/>
      <c r="I85" s="48"/>
      <c r="J85" s="48"/>
      <c r="K85" s="48"/>
      <c r="L85" s="52">
        <f>SUM(L86:L86)-SUMIF(CE86:CE86, 1, L86:L86)</f>
        <v>380.98</v>
      </c>
    </row>
    <row r="86" spans="1:82" ht="14.25" x14ac:dyDescent="0.2">
      <c r="A86" s="45"/>
      <c r="B86" s="45" t="s">
        <v>277</v>
      </c>
      <c r="C86" s="45" t="s">
        <v>278</v>
      </c>
      <c r="D86" s="57" t="s">
        <v>260</v>
      </c>
      <c r="E86" s="48">
        <v>24.1</v>
      </c>
      <c r="F86" s="48"/>
      <c r="G86" s="48">
        <f>SmtRes!CX9</f>
        <v>1.2050000000000001</v>
      </c>
      <c r="H86" s="49"/>
      <c r="I86" s="58"/>
      <c r="J86" s="49">
        <f>SmtRes!CZ9</f>
        <v>316.17</v>
      </c>
      <c r="K86" s="58"/>
      <c r="L86" s="49">
        <f>SmtRes!DI9</f>
        <v>380.98</v>
      </c>
    </row>
    <row r="87" spans="1:82" ht="14.25" x14ac:dyDescent="0.2">
      <c r="A87" s="45"/>
      <c r="B87" s="45" t="str">
        <f>EtalonRes!I10</f>
        <v>20.4.01.02</v>
      </c>
      <c r="C87" s="59" t="str">
        <f>EtalonRes!K10</f>
        <v>Выключатели</v>
      </c>
      <c r="D87" s="60" t="str">
        <f>EtalonRes!O10</f>
        <v>ШТ</v>
      </c>
      <c r="E87" s="61">
        <f>EtalonRes!X10</f>
        <v>100</v>
      </c>
      <c r="F87" s="61"/>
      <c r="G87" s="61">
        <f>ROUND(EtalonRes!AG10*Source!I236, 7)</f>
        <v>5</v>
      </c>
      <c r="H87" s="62"/>
      <c r="I87" s="63"/>
      <c r="J87" s="62"/>
      <c r="K87" s="63"/>
      <c r="L87" s="62"/>
    </row>
    <row r="88" spans="1:82" ht="15" x14ac:dyDescent="0.2">
      <c r="A88" s="45"/>
      <c r="B88" s="45"/>
      <c r="C88" s="64" t="s">
        <v>397</v>
      </c>
      <c r="D88" s="57"/>
      <c r="E88" s="48"/>
      <c r="F88" s="48"/>
      <c r="G88" s="48"/>
      <c r="H88" s="49"/>
      <c r="I88" s="58"/>
      <c r="J88" s="49"/>
      <c r="K88" s="58"/>
      <c r="L88" s="49">
        <f>L85</f>
        <v>380.98</v>
      </c>
    </row>
    <row r="89" spans="1:82" ht="14.25" x14ac:dyDescent="0.2">
      <c r="A89" s="45"/>
      <c r="B89" s="45"/>
      <c r="C89" s="45" t="s">
        <v>398</v>
      </c>
      <c r="D89" s="57"/>
      <c r="E89" s="48"/>
      <c r="F89" s="48"/>
      <c r="G89" s="48"/>
      <c r="H89" s="49"/>
      <c r="I89" s="58"/>
      <c r="J89" s="49"/>
      <c r="K89" s="58"/>
      <c r="L89" s="49">
        <f>SUM(AR84:AR92)+SUM(AS84:AS92)+SUM(AT84:AT92)+SUM(AU84:AU92)+SUM(AV84:AV92)</f>
        <v>380.98</v>
      </c>
    </row>
    <row r="90" spans="1:82" ht="14.25" x14ac:dyDescent="0.2">
      <c r="A90" s="45"/>
      <c r="B90" s="45" t="s">
        <v>95</v>
      </c>
      <c r="C90" s="45" t="s">
        <v>399</v>
      </c>
      <c r="D90" s="57" t="s">
        <v>112</v>
      </c>
      <c r="E90" s="48">
        <f>Source!BZ236</f>
        <v>91</v>
      </c>
      <c r="F90" s="48"/>
      <c r="G90" s="48">
        <f>Source!AT236</f>
        <v>91</v>
      </c>
      <c r="H90" s="49"/>
      <c r="I90" s="58"/>
      <c r="J90" s="49"/>
      <c r="K90" s="58"/>
      <c r="L90" s="49">
        <f>SUM(AZ84:AZ92)</f>
        <v>346.69</v>
      </c>
    </row>
    <row r="91" spans="1:82" ht="14.25" x14ac:dyDescent="0.2">
      <c r="A91" s="59"/>
      <c r="B91" s="59" t="s">
        <v>96</v>
      </c>
      <c r="C91" s="59" t="s">
        <v>400</v>
      </c>
      <c r="D91" s="60" t="s">
        <v>112</v>
      </c>
      <c r="E91" s="61">
        <f>Source!CA236</f>
        <v>48</v>
      </c>
      <c r="F91" s="61"/>
      <c r="G91" s="61">
        <f>Source!AU236</f>
        <v>48</v>
      </c>
      <c r="H91" s="62"/>
      <c r="I91" s="63"/>
      <c r="J91" s="62"/>
      <c r="K91" s="63"/>
      <c r="L91" s="62">
        <f>SUM(BA84:BA92)</f>
        <v>182.87</v>
      </c>
    </row>
    <row r="92" spans="1:82" ht="15" x14ac:dyDescent="0.2">
      <c r="C92" s="94" t="s">
        <v>401</v>
      </c>
      <c r="D92" s="94"/>
      <c r="E92" s="94"/>
      <c r="F92" s="94"/>
      <c r="G92" s="94"/>
      <c r="H92" s="94"/>
      <c r="I92" s="95">
        <f>IF(E84&lt;&gt;0,K92/E84, 0)</f>
        <v>18210.8</v>
      </c>
      <c r="J92" s="95"/>
      <c r="K92" s="95">
        <f>L85+L90+L91</f>
        <v>910.54000000000008</v>
      </c>
      <c r="L92" s="95"/>
      <c r="AD92">
        <f>ROUND((Source!AT236/100)*((ROUND(SUMIF(SmtRes!AQ9:'SmtRes'!AQ9,"=1",SmtRes!AD9:'SmtRes'!AD9)*Source!I236, 2)+ROUND(SUMIF(SmtRes!AQ9:'SmtRes'!AQ9,"=1",SmtRes!AC9:'SmtRes'!AC9)*Source!I236, 2))), 2)</f>
        <v>14.39</v>
      </c>
      <c r="AE92">
        <f>ROUND((Source!AU236/100)*((ROUND(SUMIF(SmtRes!AQ9:'SmtRes'!AQ9,"=1",SmtRes!AD9:'SmtRes'!AD9)*Source!I236, 2)+ROUND(SUMIF(SmtRes!AQ9:'SmtRes'!AQ9,"=1",SmtRes!AC9:'SmtRes'!AC9)*Source!I236, 2))), 2)</f>
        <v>7.59</v>
      </c>
      <c r="AN92" s="54">
        <f>L85+L90+L91</f>
        <v>910.54000000000008</v>
      </c>
      <c r="AO92">
        <f>0</f>
        <v>0</v>
      </c>
      <c r="AQ92" t="s">
        <v>402</v>
      </c>
      <c r="AR92" s="54">
        <f>L85</f>
        <v>380.98</v>
      </c>
      <c r="AT92">
        <f>0</f>
        <v>0</v>
      </c>
      <c r="AV92" t="s">
        <v>402</v>
      </c>
      <c r="AW92">
        <f>0</f>
        <v>0</v>
      </c>
      <c r="AZ92">
        <f>Source!X236</f>
        <v>346.69</v>
      </c>
      <c r="BA92">
        <f>Source!Y236</f>
        <v>182.87</v>
      </c>
      <c r="CD92">
        <v>1</v>
      </c>
    </row>
    <row r="93" spans="1:82" ht="42.75" x14ac:dyDescent="0.2">
      <c r="A93" s="66" t="s">
        <v>124</v>
      </c>
      <c r="B93" s="59" t="str">
        <f>Source!F237</f>
        <v>20.4.01.02-1028</v>
      </c>
      <c r="C93" s="59" t="str">
        <f>Source!G237</f>
        <v>Выключатель скрытого монтажа, двухклавишный, с индикатором 10 А, цвет белый, IP20</v>
      </c>
      <c r="D93" s="60" t="str">
        <f>Source!H237</f>
        <v>ШТ</v>
      </c>
      <c r="E93" s="61">
        <f>Source!K237</f>
        <v>1</v>
      </c>
      <c r="F93" s="61"/>
      <c r="G93" s="61">
        <f>Source!I237</f>
        <v>1</v>
      </c>
      <c r="H93" s="62">
        <f>Source!AL237</f>
        <v>57.81</v>
      </c>
      <c r="I93" s="63">
        <f>IF(Source!BC237&lt;&gt; 0, Source!BC237, 1)</f>
        <v>1.46</v>
      </c>
      <c r="J93" s="62">
        <f>ROUND(H93*I93, 2)</f>
        <v>84.4</v>
      </c>
      <c r="K93" s="63"/>
      <c r="L93" s="62">
        <f>Source!P237</f>
        <v>84.4</v>
      </c>
    </row>
    <row r="94" spans="1:82" ht="15" x14ac:dyDescent="0.2">
      <c r="C94" s="94" t="s">
        <v>401</v>
      </c>
      <c r="D94" s="94"/>
      <c r="E94" s="94"/>
      <c r="F94" s="94"/>
      <c r="G94" s="94"/>
      <c r="H94" s="94"/>
      <c r="I94" s="95">
        <f>IF(E93&lt;&gt;0,K94/E93, 0)</f>
        <v>84.4</v>
      </c>
      <c r="J94" s="95"/>
      <c r="K94" s="95">
        <f>L93</f>
        <v>84.4</v>
      </c>
      <c r="L94" s="95"/>
      <c r="AD94">
        <f>ROUND((Source!AT237/100)*((ROUND(ROUND(Source!AO237,2)*Source!I237, 2)+ROUND(ROUND(Source!AN237,2)*Source!I237, 2))), 2)</f>
        <v>0</v>
      </c>
      <c r="AE94">
        <f>ROUND((Source!AU237/100)*((ROUND(ROUND(Source!AO237,2)*Source!I237, 2)+ROUND(ROUND(Source!AN237,2)*Source!I237, 2))), 2)</f>
        <v>0</v>
      </c>
      <c r="AN94" s="54">
        <f>L93</f>
        <v>84.4</v>
      </c>
      <c r="AO94">
        <f>0</f>
        <v>0</v>
      </c>
      <c r="AQ94" t="s">
        <v>402</v>
      </c>
      <c r="AR94">
        <f>0</f>
        <v>0</v>
      </c>
      <c r="AT94">
        <f>0</f>
        <v>0</v>
      </c>
      <c r="AV94" t="s">
        <v>402</v>
      </c>
      <c r="AW94" s="54">
        <f>L93</f>
        <v>84.4</v>
      </c>
      <c r="AZ94">
        <f>Source!X237</f>
        <v>0</v>
      </c>
      <c r="BA94">
        <f>Source!Y237</f>
        <v>0</v>
      </c>
      <c r="CD94">
        <v>2</v>
      </c>
    </row>
    <row r="95" spans="1:82" ht="42.75" x14ac:dyDescent="0.2">
      <c r="A95" s="66" t="s">
        <v>128</v>
      </c>
      <c r="B95" s="59" t="str">
        <f>Source!F238</f>
        <v>20.4.01.02-1025</v>
      </c>
      <c r="C95" s="59" t="str">
        <f>Source!G238</f>
        <v>Выключатель скрытого монтажа, одноклавишный, с индикатором, 10 А, цвет белый, IP20</v>
      </c>
      <c r="D95" s="60" t="str">
        <f>Source!H238</f>
        <v>ШТ</v>
      </c>
      <c r="E95" s="61">
        <f>Source!K238</f>
        <v>4</v>
      </c>
      <c r="F95" s="61"/>
      <c r="G95" s="61">
        <f>Source!I238</f>
        <v>4</v>
      </c>
      <c r="H95" s="62">
        <f>Source!AL238</f>
        <v>55.02</v>
      </c>
      <c r="I95" s="63">
        <f>IF(Source!BC238&lt;&gt; 0, Source!BC238, 1)</f>
        <v>1.46</v>
      </c>
      <c r="J95" s="62">
        <f>ROUND(H95*I95, 2)</f>
        <v>80.33</v>
      </c>
      <c r="K95" s="63"/>
      <c r="L95" s="62">
        <f>Source!P238</f>
        <v>321.32</v>
      </c>
    </row>
    <row r="96" spans="1:82" ht="15" x14ac:dyDescent="0.2">
      <c r="C96" s="94" t="s">
        <v>401</v>
      </c>
      <c r="D96" s="94"/>
      <c r="E96" s="94"/>
      <c r="F96" s="94"/>
      <c r="G96" s="94"/>
      <c r="H96" s="94"/>
      <c r="I96" s="95">
        <f>IF(E95&lt;&gt;0,K96/E95, 0)</f>
        <v>80.33</v>
      </c>
      <c r="J96" s="95"/>
      <c r="K96" s="95">
        <f>L95</f>
        <v>321.32</v>
      </c>
      <c r="L96" s="95"/>
      <c r="AD96">
        <f>ROUND((Source!AT238/100)*((ROUND(ROUND(Source!AO238,2)*Source!I238, 2)+ROUND(ROUND(Source!AN238,2)*Source!I238, 2))), 2)</f>
        <v>0</v>
      </c>
      <c r="AE96">
        <f>ROUND((Source!AU238/100)*((ROUND(ROUND(Source!AO238,2)*Source!I238, 2)+ROUND(ROUND(Source!AN238,2)*Source!I238, 2))), 2)</f>
        <v>0</v>
      </c>
      <c r="AN96" s="54">
        <f>L95</f>
        <v>321.32</v>
      </c>
      <c r="AO96">
        <f>0</f>
        <v>0</v>
      </c>
      <c r="AQ96" t="s">
        <v>402</v>
      </c>
      <c r="AR96">
        <f>0</f>
        <v>0</v>
      </c>
      <c r="AT96">
        <f>0</f>
        <v>0</v>
      </c>
      <c r="AV96" t="s">
        <v>402</v>
      </c>
      <c r="AW96" s="54">
        <f>L95</f>
        <v>321.32</v>
      </c>
      <c r="AZ96">
        <f>Source!X238</f>
        <v>0</v>
      </c>
      <c r="BA96">
        <f>Source!Y238</f>
        <v>0</v>
      </c>
      <c r="CD96">
        <v>2</v>
      </c>
    </row>
    <row r="97" spans="1:83" ht="14.25" x14ac:dyDescent="0.2">
      <c r="A97" s="66" t="s">
        <v>20</v>
      </c>
      <c r="B97" s="59" t="str">
        <f>Source!F239</f>
        <v>20.4.03.02-0011</v>
      </c>
      <c r="C97" s="59" t="str">
        <f>Source!G239</f>
        <v>Рамки из термопласта, 1 пост</v>
      </c>
      <c r="D97" s="60" t="str">
        <f>Source!H239</f>
        <v>100 ШТ</v>
      </c>
      <c r="E97" s="61">
        <f>Source!K239</f>
        <v>0.05</v>
      </c>
      <c r="F97" s="61"/>
      <c r="G97" s="61">
        <f>Source!I239</f>
        <v>0.05</v>
      </c>
      <c r="H97" s="62">
        <f>Source!AL239</f>
        <v>4406.17</v>
      </c>
      <c r="I97" s="63">
        <f>IF(Source!BC239&lt;&gt; 0, Source!BC239, 1)</f>
        <v>1.29</v>
      </c>
      <c r="J97" s="62">
        <f>ROUND(H97*I97, 2)</f>
        <v>5683.96</v>
      </c>
      <c r="K97" s="63"/>
      <c r="L97" s="62">
        <f>Source!P239</f>
        <v>284.2</v>
      </c>
    </row>
    <row r="98" spans="1:83" ht="15" x14ac:dyDescent="0.2">
      <c r="C98" s="94" t="s">
        <v>401</v>
      </c>
      <c r="D98" s="94"/>
      <c r="E98" s="94"/>
      <c r="F98" s="94"/>
      <c r="G98" s="94"/>
      <c r="H98" s="94"/>
      <c r="I98" s="95">
        <f>IF(E97&lt;&gt;0,K98/E97, 0)</f>
        <v>5683.9999999999991</v>
      </c>
      <c r="J98" s="95"/>
      <c r="K98" s="95">
        <f>L97</f>
        <v>284.2</v>
      </c>
      <c r="L98" s="95"/>
      <c r="AD98">
        <f>ROUND((Source!AT239/100)*((ROUND(ROUND(Source!AO239,2)*Source!I239, 2)+ROUND(ROUND(Source!AN239,2)*Source!I239, 2))), 2)</f>
        <v>0</v>
      </c>
      <c r="AE98">
        <f>ROUND((Source!AU239/100)*((ROUND(ROUND(Source!AO239,2)*Source!I239, 2)+ROUND(ROUND(Source!AN239,2)*Source!I239, 2))), 2)</f>
        <v>0</v>
      </c>
      <c r="AN98" s="54">
        <f>L97</f>
        <v>284.2</v>
      </c>
      <c r="AO98">
        <f>0</f>
        <v>0</v>
      </c>
      <c r="AQ98" t="s">
        <v>402</v>
      </c>
      <c r="AR98">
        <f>0</f>
        <v>0</v>
      </c>
      <c r="AT98">
        <f>0</f>
        <v>0</v>
      </c>
      <c r="AV98" t="s">
        <v>402</v>
      </c>
      <c r="AW98" s="54">
        <f>L97</f>
        <v>284.2</v>
      </c>
      <c r="AZ98">
        <f>Source!X239</f>
        <v>0</v>
      </c>
      <c r="BA98">
        <f>Source!Y239</f>
        <v>0</v>
      </c>
      <c r="CD98">
        <v>2</v>
      </c>
    </row>
    <row r="99" spans="1:83" ht="28.5" x14ac:dyDescent="0.2">
      <c r="A99" s="66" t="s">
        <v>76</v>
      </c>
      <c r="B99" s="59" t="str">
        <f>Source!F240</f>
        <v>20.5.02.11-0001</v>
      </c>
      <c r="C99" s="59" t="str">
        <f>Source!G240</f>
        <v>Коробки для установки розеток и выключателей скрытой проводки</v>
      </c>
      <c r="D99" s="60" t="str">
        <f>Source!H240</f>
        <v>1000 ШТ</v>
      </c>
      <c r="E99" s="61">
        <f>Source!K240</f>
        <v>5.0000000000000001E-3</v>
      </c>
      <c r="F99" s="61"/>
      <c r="G99" s="61">
        <f>Source!I240</f>
        <v>5.0000000000000001E-3</v>
      </c>
      <c r="H99" s="62">
        <f>Source!AL240</f>
        <v>7782.25</v>
      </c>
      <c r="I99" s="63">
        <f>IF(Source!BC240&lt;&gt; 0, Source!BC240, 1)</f>
        <v>0.94</v>
      </c>
      <c r="J99" s="62">
        <f>ROUND(H99*I99, 2)</f>
        <v>7315.32</v>
      </c>
      <c r="K99" s="63"/>
      <c r="L99" s="62">
        <f>Source!P240</f>
        <v>36.58</v>
      </c>
    </row>
    <row r="100" spans="1:83" ht="15" x14ac:dyDescent="0.2">
      <c r="C100" s="94" t="s">
        <v>401</v>
      </c>
      <c r="D100" s="94"/>
      <c r="E100" s="94"/>
      <c r="F100" s="94"/>
      <c r="G100" s="94"/>
      <c r="H100" s="94"/>
      <c r="I100" s="95">
        <f>IF(E99&lt;&gt;0,K100/E99, 0)</f>
        <v>7315.9999999999991</v>
      </c>
      <c r="J100" s="95"/>
      <c r="K100" s="95">
        <f>L99</f>
        <v>36.58</v>
      </c>
      <c r="L100" s="95"/>
      <c r="AD100">
        <f>ROUND((Source!AT240/100)*((ROUND(ROUND(Source!AO240,2)*Source!I240, 2)+ROUND(ROUND(Source!AN240,2)*Source!I240, 2))), 2)</f>
        <v>0</v>
      </c>
      <c r="AE100">
        <f>ROUND((Source!AU240/100)*((ROUND(ROUND(Source!AO240,2)*Source!I240, 2)+ROUND(ROUND(Source!AN240,2)*Source!I240, 2))), 2)</f>
        <v>0</v>
      </c>
      <c r="AN100" s="54">
        <f>L99</f>
        <v>36.58</v>
      </c>
      <c r="AO100">
        <f>0</f>
        <v>0</v>
      </c>
      <c r="AQ100" t="s">
        <v>402</v>
      </c>
      <c r="AR100">
        <f>0</f>
        <v>0</v>
      </c>
      <c r="AT100">
        <f>0</f>
        <v>0</v>
      </c>
      <c r="AV100" t="s">
        <v>402</v>
      </c>
      <c r="AW100" s="54">
        <f>L99</f>
        <v>36.58</v>
      </c>
      <c r="AZ100">
        <f>Source!X240</f>
        <v>0</v>
      </c>
      <c r="BA100">
        <f>Source!Y240</f>
        <v>0</v>
      </c>
      <c r="CD100">
        <v>2</v>
      </c>
    </row>
    <row r="101" spans="1:83" ht="28.5" x14ac:dyDescent="0.2">
      <c r="A101" s="56" t="s">
        <v>139</v>
      </c>
      <c r="B101" s="45" t="s">
        <v>410</v>
      </c>
      <c r="C101" s="45" t="str">
        <f>Source!G241</f>
        <v>Пробивка в кирпичных стенах борозд площадью сечения: до 20 см2</v>
      </c>
      <c r="D101" s="57" t="str">
        <f>Source!H241</f>
        <v>100 м</v>
      </c>
      <c r="E101" s="48">
        <f>Source!K241</f>
        <v>0.15</v>
      </c>
      <c r="F101" s="48"/>
      <c r="G101" s="48">
        <f>Source!I241</f>
        <v>0.15</v>
      </c>
      <c r="H101" s="49"/>
      <c r="I101" s="58"/>
      <c r="J101" s="49"/>
      <c r="K101" s="58"/>
      <c r="L101" s="49"/>
    </row>
    <row r="102" spans="1:83" ht="15" x14ac:dyDescent="0.2">
      <c r="A102" s="44"/>
      <c r="B102" s="48">
        <v>1</v>
      </c>
      <c r="C102" s="44" t="s">
        <v>393</v>
      </c>
      <c r="D102" s="57" t="s">
        <v>260</v>
      </c>
      <c r="E102" s="55"/>
      <c r="F102" s="48"/>
      <c r="G102" s="48">
        <f>Source!U241</f>
        <v>2.1</v>
      </c>
      <c r="H102" s="48"/>
      <c r="I102" s="48"/>
      <c r="J102" s="48"/>
      <c r="K102" s="48"/>
      <c r="L102" s="52">
        <f>SUM(L103:L103)-SUMIF(CE103:CE103, 1, L103:L103)</f>
        <v>671.83</v>
      </c>
    </row>
    <row r="103" spans="1:83" ht="14.25" x14ac:dyDescent="0.2">
      <c r="A103" s="45"/>
      <c r="B103" s="45" t="s">
        <v>279</v>
      </c>
      <c r="C103" s="45" t="s">
        <v>280</v>
      </c>
      <c r="D103" s="57" t="s">
        <v>260</v>
      </c>
      <c r="E103" s="48">
        <v>14</v>
      </c>
      <c r="F103" s="48"/>
      <c r="G103" s="48">
        <f>SmtRes!CX10</f>
        <v>2.1</v>
      </c>
      <c r="H103" s="49"/>
      <c r="I103" s="58"/>
      <c r="J103" s="49">
        <f>SmtRes!CZ10</f>
        <v>319.92</v>
      </c>
      <c r="K103" s="58"/>
      <c r="L103" s="49">
        <f>SmtRes!DI10</f>
        <v>671.83</v>
      </c>
    </row>
    <row r="104" spans="1:83" ht="15" x14ac:dyDescent="0.2">
      <c r="A104" s="44"/>
      <c r="B104" s="48">
        <v>2</v>
      </c>
      <c r="C104" s="44" t="s">
        <v>394</v>
      </c>
      <c r="D104" s="57"/>
      <c r="E104" s="55"/>
      <c r="F104" s="48"/>
      <c r="G104" s="48"/>
      <c r="H104" s="48"/>
      <c r="I104" s="48"/>
      <c r="J104" s="48"/>
      <c r="K104" s="48"/>
      <c r="L104" s="52">
        <f>SUM(L105:L107)-SUMIF(CE105:CE107, 1, L105:L107)</f>
        <v>110.41</v>
      </c>
    </row>
    <row r="105" spans="1:83" ht="15" hidden="1" x14ac:dyDescent="0.2">
      <c r="A105" s="44"/>
      <c r="B105" s="48"/>
      <c r="C105" s="44" t="s">
        <v>396</v>
      </c>
      <c r="D105" s="57" t="s">
        <v>260</v>
      </c>
      <c r="E105" s="55"/>
      <c r="F105" s="48"/>
      <c r="G105" s="48">
        <f>Source!V241</f>
        <v>0</v>
      </c>
      <c r="H105" s="48"/>
      <c r="I105" s="48"/>
      <c r="J105" s="48"/>
      <c r="K105" s="48"/>
      <c r="L105" s="52">
        <f>SUMIF(CE106:CE107, 1, L106:L107)</f>
        <v>0</v>
      </c>
      <c r="CE105">
        <v>1</v>
      </c>
    </row>
    <row r="106" spans="1:83" ht="57" x14ac:dyDescent="0.2">
      <c r="A106" s="45"/>
      <c r="B106" s="45" t="s">
        <v>281</v>
      </c>
      <c r="C106" s="45" t="s">
        <v>283</v>
      </c>
      <c r="D106" s="57" t="s">
        <v>266</v>
      </c>
      <c r="E106" s="48">
        <v>4.0599999999999996</v>
      </c>
      <c r="F106" s="48"/>
      <c r="G106" s="48">
        <f>SmtRes!CX11</f>
        <v>0.60899999999999999</v>
      </c>
      <c r="H106" s="49">
        <f>SmtRes!CZ11</f>
        <v>115.43</v>
      </c>
      <c r="I106" s="58">
        <f>SmtRes!AJ11</f>
        <v>1.52</v>
      </c>
      <c r="J106" s="49">
        <f>ROUND(H106*I106, 2)</f>
        <v>175.45</v>
      </c>
      <c r="K106" s="58"/>
      <c r="L106" s="49">
        <f>SmtRes!DG11</f>
        <v>106.85</v>
      </c>
    </row>
    <row r="107" spans="1:83" ht="42.75" x14ac:dyDescent="0.2">
      <c r="A107" s="45"/>
      <c r="B107" s="45" t="s">
        <v>284</v>
      </c>
      <c r="C107" s="59" t="s">
        <v>286</v>
      </c>
      <c r="D107" s="60" t="s">
        <v>266</v>
      </c>
      <c r="E107" s="61">
        <v>8.1199999999999992</v>
      </c>
      <c r="F107" s="61"/>
      <c r="G107" s="61">
        <f>SmtRes!CX12</f>
        <v>1.218</v>
      </c>
      <c r="H107" s="62"/>
      <c r="I107" s="63"/>
      <c r="J107" s="62">
        <f>SmtRes!CZ12</f>
        <v>2.92</v>
      </c>
      <c r="K107" s="63"/>
      <c r="L107" s="62">
        <f>SmtRes!DG12</f>
        <v>3.56</v>
      </c>
    </row>
    <row r="108" spans="1:83" ht="15" x14ac:dyDescent="0.2">
      <c r="A108" s="45"/>
      <c r="B108" s="45"/>
      <c r="C108" s="64" t="s">
        <v>397</v>
      </c>
      <c r="D108" s="57"/>
      <c r="E108" s="48"/>
      <c r="F108" s="48"/>
      <c r="G108" s="48"/>
      <c r="H108" s="49"/>
      <c r="I108" s="58"/>
      <c r="J108" s="49"/>
      <c r="K108" s="58"/>
      <c r="L108" s="49">
        <f>L102+L104+L105</f>
        <v>782.24</v>
      </c>
    </row>
    <row r="109" spans="1:83" ht="14.25" x14ac:dyDescent="0.2">
      <c r="A109" s="45"/>
      <c r="B109" s="45"/>
      <c r="C109" s="45" t="s">
        <v>398</v>
      </c>
      <c r="D109" s="57"/>
      <c r="E109" s="48"/>
      <c r="F109" s="48"/>
      <c r="G109" s="48"/>
      <c r="H109" s="49"/>
      <c r="I109" s="58"/>
      <c r="J109" s="49"/>
      <c r="K109" s="58"/>
      <c r="L109" s="49">
        <f>SUM(AR101:AR112)+SUM(AS101:AS112)+SUM(AT101:AT112)+SUM(AU101:AU112)+SUM(AV101:AV112)</f>
        <v>671.83</v>
      </c>
    </row>
    <row r="110" spans="1:83" ht="71.25" x14ac:dyDescent="0.2">
      <c r="A110" s="45"/>
      <c r="B110" s="45" t="s">
        <v>148</v>
      </c>
      <c r="C110" s="45" t="s">
        <v>411</v>
      </c>
      <c r="D110" s="57" t="s">
        <v>112</v>
      </c>
      <c r="E110" s="48">
        <f>Source!BZ241</f>
        <v>103</v>
      </c>
      <c r="F110" s="48"/>
      <c r="G110" s="48">
        <f>Source!AT241</f>
        <v>103</v>
      </c>
      <c r="H110" s="49"/>
      <c r="I110" s="58"/>
      <c r="J110" s="49"/>
      <c r="K110" s="58"/>
      <c r="L110" s="49">
        <f>SUM(AZ101:AZ112)</f>
        <v>691.98</v>
      </c>
    </row>
    <row r="111" spans="1:83" ht="71.25" x14ac:dyDescent="0.2">
      <c r="A111" s="59"/>
      <c r="B111" s="59" t="s">
        <v>149</v>
      </c>
      <c r="C111" s="59" t="s">
        <v>412</v>
      </c>
      <c r="D111" s="60" t="s">
        <v>112</v>
      </c>
      <c r="E111" s="61">
        <f>Source!CA241</f>
        <v>59</v>
      </c>
      <c r="F111" s="61"/>
      <c r="G111" s="61">
        <f>Source!AU241</f>
        <v>59</v>
      </c>
      <c r="H111" s="62"/>
      <c r="I111" s="63"/>
      <c r="J111" s="62"/>
      <c r="K111" s="63"/>
      <c r="L111" s="62">
        <f>SUM(BA101:BA112)</f>
        <v>396.38</v>
      </c>
    </row>
    <row r="112" spans="1:83" ht="15" x14ac:dyDescent="0.2">
      <c r="C112" s="94" t="s">
        <v>401</v>
      </c>
      <c r="D112" s="94"/>
      <c r="E112" s="94"/>
      <c r="F112" s="94"/>
      <c r="G112" s="94"/>
      <c r="H112" s="94"/>
      <c r="I112" s="95">
        <f>IF(E101&lt;&gt;0,K112/E101, 0)</f>
        <v>12470.666666666666</v>
      </c>
      <c r="J112" s="95"/>
      <c r="K112" s="95">
        <f>L102+L104+L110+L111+L105</f>
        <v>1870.6</v>
      </c>
      <c r="L112" s="95"/>
      <c r="AD112">
        <f>ROUND((Source!AT241/100)*((ROUND(SUMIF(SmtRes!AQ10:'SmtRes'!AQ12,"=1",SmtRes!AD10:'SmtRes'!AD12)*Source!I241, 2)+ROUND(SUMIF(SmtRes!AQ10:'SmtRes'!AQ12,"=1",SmtRes!AC10:'SmtRes'!AC12)*Source!I241, 2))), 2)</f>
        <v>49.43</v>
      </c>
      <c r="AE112">
        <f>ROUND((Source!AU241/100)*((ROUND(SUMIF(SmtRes!AQ10:'SmtRes'!AQ12,"=1",SmtRes!AD10:'SmtRes'!AD12)*Source!I241, 2)+ROUND(SUMIF(SmtRes!AQ10:'SmtRes'!AQ12,"=1",SmtRes!AC10:'SmtRes'!AC12)*Source!I241, 2))), 2)</f>
        <v>28.31</v>
      </c>
      <c r="AN112" s="54">
        <f>L102+L104+L110+L111+L105</f>
        <v>1870.6</v>
      </c>
      <c r="AO112" s="54">
        <f>L104</f>
        <v>110.41</v>
      </c>
      <c r="AQ112" t="s">
        <v>402</v>
      </c>
      <c r="AR112" s="54">
        <f>L102</f>
        <v>671.83</v>
      </c>
      <c r="AT112" s="54">
        <f>L105</f>
        <v>0</v>
      </c>
      <c r="AV112" t="s">
        <v>402</v>
      </c>
      <c r="AW112">
        <f>0</f>
        <v>0</v>
      </c>
      <c r="AZ112">
        <f>Source!X241</f>
        <v>691.98</v>
      </c>
      <c r="BA112">
        <f>Source!Y241</f>
        <v>396.38</v>
      </c>
      <c r="CD112">
        <v>1</v>
      </c>
    </row>
    <row r="113" spans="1:83" ht="57" x14ac:dyDescent="0.2">
      <c r="A113" s="56" t="s">
        <v>80</v>
      </c>
      <c r="B113" s="45" t="s">
        <v>413</v>
      </c>
      <c r="C113" s="45" t="str">
        <f>Source!G242</f>
        <v>Провод групповой в защитной оболочке или кабель трех-пятижильный: под штукатурку по стенам или в бороздах</v>
      </c>
      <c r="D113" s="57" t="str">
        <f>Source!H242</f>
        <v>100 м</v>
      </c>
      <c r="E113" s="48">
        <f>Source!K242</f>
        <v>0.15</v>
      </c>
      <c r="F113" s="48"/>
      <c r="G113" s="48">
        <f>Source!I242</f>
        <v>0.15</v>
      </c>
      <c r="H113" s="49"/>
      <c r="I113" s="58"/>
      <c r="J113" s="49"/>
      <c r="K113" s="58"/>
      <c r="L113" s="49"/>
    </row>
    <row r="114" spans="1:83" ht="15" x14ac:dyDescent="0.2">
      <c r="A114" s="44"/>
      <c r="B114" s="48">
        <v>1</v>
      </c>
      <c r="C114" s="44" t="s">
        <v>393</v>
      </c>
      <c r="D114" s="57" t="s">
        <v>260</v>
      </c>
      <c r="E114" s="55"/>
      <c r="F114" s="48"/>
      <c r="G114" s="48">
        <f>Source!U242</f>
        <v>2.4750000000000001</v>
      </c>
      <c r="H114" s="48"/>
      <c r="I114" s="48"/>
      <c r="J114" s="48"/>
      <c r="K114" s="48"/>
      <c r="L114" s="52">
        <f>SUM(L115:L115)-SUMIF(CE115:CE115, 1, L115:L115)</f>
        <v>810.36</v>
      </c>
    </row>
    <row r="115" spans="1:83" ht="14.25" x14ac:dyDescent="0.2">
      <c r="A115" s="45"/>
      <c r="B115" s="45" t="s">
        <v>287</v>
      </c>
      <c r="C115" s="45" t="s">
        <v>288</v>
      </c>
      <c r="D115" s="57" t="s">
        <v>260</v>
      </c>
      <c r="E115" s="48">
        <v>16.5</v>
      </c>
      <c r="F115" s="48"/>
      <c r="G115" s="48">
        <f>SmtRes!CX13</f>
        <v>2.4750000000000001</v>
      </c>
      <c r="H115" s="49"/>
      <c r="I115" s="58"/>
      <c r="J115" s="49">
        <f>SmtRes!CZ13</f>
        <v>327.42</v>
      </c>
      <c r="K115" s="58"/>
      <c r="L115" s="49">
        <f>SmtRes!DI13</f>
        <v>810.36</v>
      </c>
    </row>
    <row r="116" spans="1:83" ht="15" x14ac:dyDescent="0.2">
      <c r="A116" s="44"/>
      <c r="B116" s="48">
        <v>2</v>
      </c>
      <c r="C116" s="44" t="s">
        <v>394</v>
      </c>
      <c r="D116" s="57"/>
      <c r="E116" s="55"/>
      <c r="F116" s="48"/>
      <c r="G116" s="48"/>
      <c r="H116" s="48"/>
      <c r="I116" s="48"/>
      <c r="J116" s="48"/>
      <c r="K116" s="48"/>
      <c r="L116" s="52">
        <f>SUM(L117:L121)-SUMIF(CE117:CE121, 1, L117:L121)</f>
        <v>6.7</v>
      </c>
    </row>
    <row r="117" spans="1:83" ht="15" x14ac:dyDescent="0.2">
      <c r="A117" s="44"/>
      <c r="B117" s="48"/>
      <c r="C117" s="44" t="s">
        <v>396</v>
      </c>
      <c r="D117" s="57" t="s">
        <v>260</v>
      </c>
      <c r="E117" s="55"/>
      <c r="F117" s="48"/>
      <c r="G117" s="48">
        <f>Source!V242</f>
        <v>6.0000000000000001E-3</v>
      </c>
      <c r="H117" s="48"/>
      <c r="I117" s="48"/>
      <c r="J117" s="48"/>
      <c r="K117" s="48"/>
      <c r="L117" s="52">
        <f>SUMIF(CE118:CE121, 1, L118:L121)</f>
        <v>2.35</v>
      </c>
      <c r="CE117">
        <v>1</v>
      </c>
    </row>
    <row r="118" spans="1:83" ht="28.5" x14ac:dyDescent="0.2">
      <c r="A118" s="45"/>
      <c r="B118" s="45" t="s">
        <v>289</v>
      </c>
      <c r="C118" s="45" t="s">
        <v>291</v>
      </c>
      <c r="D118" s="57" t="s">
        <v>266</v>
      </c>
      <c r="E118" s="48">
        <v>0.02</v>
      </c>
      <c r="F118" s="48"/>
      <c r="G118" s="48">
        <f>SmtRes!CX15</f>
        <v>3.0000000000000001E-3</v>
      </c>
      <c r="H118" s="49"/>
      <c r="I118" s="58"/>
      <c r="J118" s="49">
        <f>SmtRes!CZ15</f>
        <v>1624.76</v>
      </c>
      <c r="K118" s="58"/>
      <c r="L118" s="49">
        <f>SmtRes!DG15</f>
        <v>4.87</v>
      </c>
    </row>
    <row r="119" spans="1:83" ht="28.5" x14ac:dyDescent="0.2">
      <c r="A119" s="45"/>
      <c r="B119" s="45" t="s">
        <v>292</v>
      </c>
      <c r="C119" s="45" t="s">
        <v>414</v>
      </c>
      <c r="D119" s="57" t="s">
        <v>260</v>
      </c>
      <c r="E119" s="48">
        <f>SmtRes!DO15*SmtRes!AT15</f>
        <v>0.02</v>
      </c>
      <c r="F119" s="48"/>
      <c r="G119" s="48">
        <f>ROUND(E119*G113, 7)</f>
        <v>3.0000000000000001E-3</v>
      </c>
      <c r="H119" s="49"/>
      <c r="I119" s="58"/>
      <c r="J119" s="49">
        <f>ROUND(SmtRes!AG15/SmtRes!DO15, 2)</f>
        <v>449.89</v>
      </c>
      <c r="K119" s="58"/>
      <c r="L119" s="49">
        <f>SmtRes!DH15</f>
        <v>1.35</v>
      </c>
      <c r="CE119">
        <v>1</v>
      </c>
    </row>
    <row r="120" spans="1:83" ht="28.5" x14ac:dyDescent="0.2">
      <c r="A120" s="45"/>
      <c r="B120" s="45" t="s">
        <v>273</v>
      </c>
      <c r="C120" s="45" t="s">
        <v>275</v>
      </c>
      <c r="D120" s="57" t="s">
        <v>266</v>
      </c>
      <c r="E120" s="48">
        <v>0.02</v>
      </c>
      <c r="F120" s="48"/>
      <c r="G120" s="48">
        <f>SmtRes!CX16</f>
        <v>3.0000000000000001E-3</v>
      </c>
      <c r="H120" s="49"/>
      <c r="I120" s="58"/>
      <c r="J120" s="49">
        <f>SmtRes!CZ16</f>
        <v>611</v>
      </c>
      <c r="K120" s="58"/>
      <c r="L120" s="49">
        <f>SmtRes!DG16</f>
        <v>1.83</v>
      </c>
    </row>
    <row r="121" spans="1:83" ht="28.5" x14ac:dyDescent="0.2">
      <c r="A121" s="45"/>
      <c r="B121" s="45" t="s">
        <v>276</v>
      </c>
      <c r="C121" s="45" t="s">
        <v>405</v>
      </c>
      <c r="D121" s="57" t="s">
        <v>260</v>
      </c>
      <c r="E121" s="48">
        <f>SmtRes!DO16*SmtRes!AT16</f>
        <v>0.02</v>
      </c>
      <c r="F121" s="48"/>
      <c r="G121" s="48">
        <f>ROUND(E121*G113, 7)</f>
        <v>3.0000000000000001E-3</v>
      </c>
      <c r="H121" s="49"/>
      <c r="I121" s="58"/>
      <c r="J121" s="49">
        <f>ROUND(SmtRes!AG16/SmtRes!DO16, 2)</f>
        <v>334.92</v>
      </c>
      <c r="K121" s="58"/>
      <c r="L121" s="49">
        <f>SmtRes!DH16</f>
        <v>1</v>
      </c>
      <c r="CE121">
        <v>1</v>
      </c>
    </row>
    <row r="122" spans="1:83" ht="15" x14ac:dyDescent="0.2">
      <c r="A122" s="44"/>
      <c r="B122" s="48">
        <v>4</v>
      </c>
      <c r="C122" s="44" t="s">
        <v>415</v>
      </c>
      <c r="D122" s="57"/>
      <c r="E122" s="55"/>
      <c r="F122" s="48"/>
      <c r="G122" s="48"/>
      <c r="H122" s="48"/>
      <c r="I122" s="48"/>
      <c r="J122" s="48"/>
      <c r="K122" s="48"/>
      <c r="L122" s="52">
        <f>SUM(L123:L125)-SUMIF(CE123:CE125, 1, L123:L125)</f>
        <v>44.14</v>
      </c>
    </row>
    <row r="123" spans="1:83" ht="14.25" x14ac:dyDescent="0.2">
      <c r="A123" s="45"/>
      <c r="B123" s="45" t="s">
        <v>293</v>
      </c>
      <c r="C123" s="45" t="s">
        <v>295</v>
      </c>
      <c r="D123" s="57" t="s">
        <v>296</v>
      </c>
      <c r="E123" s="48">
        <v>0.01</v>
      </c>
      <c r="F123" s="48"/>
      <c r="G123" s="48">
        <f>SmtRes!CX17</f>
        <v>1.5E-3</v>
      </c>
      <c r="H123" s="49">
        <f>SmtRes!CZ17</f>
        <v>4338.2700000000004</v>
      </c>
      <c r="I123" s="58">
        <f>SmtRes!AI17</f>
        <v>1.37</v>
      </c>
      <c r="J123" s="49">
        <f>ROUND(H123*I123, 2)</f>
        <v>5943.43</v>
      </c>
      <c r="K123" s="58"/>
      <c r="L123" s="49">
        <f>SmtRes!DF17</f>
        <v>8.92</v>
      </c>
    </row>
    <row r="124" spans="1:83" ht="28.5" x14ac:dyDescent="0.2">
      <c r="A124" s="45"/>
      <c r="B124" s="45" t="s">
        <v>297</v>
      </c>
      <c r="C124" s="45" t="s">
        <v>299</v>
      </c>
      <c r="D124" s="57" t="s">
        <v>300</v>
      </c>
      <c r="E124" s="48">
        <v>0.3</v>
      </c>
      <c r="F124" s="48"/>
      <c r="G124" s="48">
        <f>SmtRes!CX18</f>
        <v>4.4999999999999998E-2</v>
      </c>
      <c r="H124" s="49">
        <f>SmtRes!CZ18</f>
        <v>79.88</v>
      </c>
      <c r="I124" s="58">
        <f>SmtRes!AI18</f>
        <v>1.43</v>
      </c>
      <c r="J124" s="49">
        <f>ROUND(H124*I124, 2)</f>
        <v>114.23</v>
      </c>
      <c r="K124" s="58"/>
      <c r="L124" s="49">
        <f>SmtRes!DF18</f>
        <v>5.14</v>
      </c>
    </row>
    <row r="125" spans="1:83" ht="42.75" x14ac:dyDescent="0.2">
      <c r="A125" s="45"/>
      <c r="B125" s="45" t="s">
        <v>301</v>
      </c>
      <c r="C125" s="59" t="s">
        <v>303</v>
      </c>
      <c r="D125" s="60" t="s">
        <v>300</v>
      </c>
      <c r="E125" s="61">
        <v>0.53</v>
      </c>
      <c r="F125" s="61"/>
      <c r="G125" s="61">
        <f>SmtRes!CX19</f>
        <v>7.9500000000000001E-2</v>
      </c>
      <c r="H125" s="62">
        <f>SmtRes!CZ19</f>
        <v>374.6</v>
      </c>
      <c r="I125" s="63">
        <f>SmtRes!AI19</f>
        <v>1.01</v>
      </c>
      <c r="J125" s="62">
        <f>ROUND(H125*I125, 2)</f>
        <v>378.35</v>
      </c>
      <c r="K125" s="63"/>
      <c r="L125" s="62">
        <f>SmtRes!DF19</f>
        <v>30.08</v>
      </c>
    </row>
    <row r="126" spans="1:83" ht="15" x14ac:dyDescent="0.2">
      <c r="A126" s="45"/>
      <c r="B126" s="45"/>
      <c r="C126" s="64" t="s">
        <v>397</v>
      </c>
      <c r="D126" s="57"/>
      <c r="E126" s="48"/>
      <c r="F126" s="48"/>
      <c r="G126" s="48"/>
      <c r="H126" s="49"/>
      <c r="I126" s="58"/>
      <c r="J126" s="49"/>
      <c r="K126" s="58"/>
      <c r="L126" s="49">
        <f>L114+L116+L117+L122</f>
        <v>863.55000000000007</v>
      </c>
    </row>
    <row r="127" spans="1:83" ht="57" x14ac:dyDescent="0.2">
      <c r="A127" s="56" t="s">
        <v>416</v>
      </c>
      <c r="B127" s="45" t="str">
        <f>Source!F243</f>
        <v>421/пр_2020_п.75_пп.а</v>
      </c>
      <c r="C127" s="45" t="str">
        <f>Source!G243</f>
        <v>Сметная стоимость вспомогательных ненормируемых материальных ресурсов, не учтенная в сметной норме, 2%</v>
      </c>
      <c r="D127" s="57" t="str">
        <f>Source!H243</f>
        <v>%</v>
      </c>
      <c r="E127" s="48">
        <f>SmtRes!AT20</f>
        <v>2</v>
      </c>
      <c r="F127" s="48"/>
      <c r="G127" s="48">
        <f>Source!I243</f>
        <v>2</v>
      </c>
      <c r="H127" s="49"/>
      <c r="I127" s="58"/>
      <c r="J127" s="49"/>
      <c r="K127" s="58"/>
      <c r="L127" s="49">
        <f>Source!P243</f>
        <v>16.21</v>
      </c>
      <c r="AD127">
        <f>ROUND((Source!AT243/100)*((ROUND(0*Source!I243, 2)+ROUND(0*Source!I243, 2))), 2)</f>
        <v>0</v>
      </c>
      <c r="AE127">
        <f>ROUND((Source!AU243/100)*((ROUND(0*Source!I243, 2)+ROUND(0*Source!I243, 2))), 2)</f>
        <v>0</v>
      </c>
      <c r="AN127">
        <f>L127</f>
        <v>16.21</v>
      </c>
      <c r="AW127">
        <f>L127</f>
        <v>16.21</v>
      </c>
      <c r="AZ127">
        <f>Source!X243</f>
        <v>0</v>
      </c>
      <c r="BA127">
        <f>Source!Y243</f>
        <v>0</v>
      </c>
      <c r="CD127">
        <v>2</v>
      </c>
    </row>
    <row r="128" spans="1:83" ht="14.25" x14ac:dyDescent="0.2">
      <c r="A128" s="45"/>
      <c r="B128" s="45"/>
      <c r="C128" s="45" t="s">
        <v>398</v>
      </c>
      <c r="D128" s="57"/>
      <c r="E128" s="48"/>
      <c r="F128" s="48"/>
      <c r="G128" s="48"/>
      <c r="H128" s="49"/>
      <c r="I128" s="58"/>
      <c r="J128" s="49"/>
      <c r="K128" s="58"/>
      <c r="L128" s="49">
        <f>SUM(AR113:AR131)+SUM(AS113:AS131)+SUM(AT113:AT131)+SUM(AU113:AU131)+SUM(AV113:AV131)</f>
        <v>812.71</v>
      </c>
    </row>
    <row r="129" spans="1:82" ht="28.5" x14ac:dyDescent="0.2">
      <c r="A129" s="45"/>
      <c r="B129" s="45" t="s">
        <v>107</v>
      </c>
      <c r="C129" s="45" t="s">
        <v>407</v>
      </c>
      <c r="D129" s="57" t="s">
        <v>112</v>
      </c>
      <c r="E129" s="48">
        <f>Source!BZ242</f>
        <v>97</v>
      </c>
      <c r="F129" s="48"/>
      <c r="G129" s="48">
        <f>Source!AT242</f>
        <v>97</v>
      </c>
      <c r="H129" s="49"/>
      <c r="I129" s="58"/>
      <c r="J129" s="49"/>
      <c r="K129" s="58"/>
      <c r="L129" s="49">
        <f>SUM(AZ113:AZ131)</f>
        <v>788.33</v>
      </c>
    </row>
    <row r="130" spans="1:82" ht="28.5" x14ac:dyDescent="0.2">
      <c r="A130" s="59"/>
      <c r="B130" s="59" t="s">
        <v>108</v>
      </c>
      <c r="C130" s="59" t="s">
        <v>408</v>
      </c>
      <c r="D130" s="60" t="s">
        <v>112</v>
      </c>
      <c r="E130" s="61">
        <f>Source!CA242</f>
        <v>51</v>
      </c>
      <c r="F130" s="61"/>
      <c r="G130" s="61">
        <f>Source!AU242</f>
        <v>51</v>
      </c>
      <c r="H130" s="62"/>
      <c r="I130" s="63"/>
      <c r="J130" s="62"/>
      <c r="K130" s="63"/>
      <c r="L130" s="62">
        <f>SUM(BA113:BA131)</f>
        <v>414.48</v>
      </c>
    </row>
    <row r="131" spans="1:82" ht="15" x14ac:dyDescent="0.2">
      <c r="C131" s="94" t="s">
        <v>401</v>
      </c>
      <c r="D131" s="94"/>
      <c r="E131" s="94"/>
      <c r="F131" s="94"/>
      <c r="G131" s="94"/>
      <c r="H131" s="94"/>
      <c r="I131" s="95">
        <f>IF(E113&lt;&gt;0,K131/E113, 0)</f>
        <v>13883.800000000001</v>
      </c>
      <c r="J131" s="95"/>
      <c r="K131" s="95">
        <f>L114+L116+L122+L129+L130+L117+SUM(L127:L127)</f>
        <v>2082.5700000000002</v>
      </c>
      <c r="L131" s="95"/>
      <c r="AD131">
        <f>ROUND((Source!AT242/100)*((ROUND(SUMIF(SmtRes!AQ13:'SmtRes'!AQ20,"=1",SmtRes!AD13:'SmtRes'!AD20)*Source!I242, 2)+ROUND(SUMIF(SmtRes!AQ13:'SmtRes'!AQ20,"=1",SmtRes!AC13:'SmtRes'!AC20)*Source!I242, 2))), 2)</f>
        <v>161.83000000000001</v>
      </c>
      <c r="AE131">
        <f>ROUND((Source!AU242/100)*((ROUND(SUMIF(SmtRes!AQ13:'SmtRes'!AQ20,"=1",SmtRes!AD13:'SmtRes'!AD20)*Source!I242, 2)+ROUND(SUMIF(SmtRes!AQ13:'SmtRes'!AQ20,"=1",SmtRes!AC13:'SmtRes'!AC20)*Source!I242, 2))), 2)</f>
        <v>85.08</v>
      </c>
      <c r="AN131" s="54">
        <f>L114+L116+L122+L129+L130+L117</f>
        <v>2066.36</v>
      </c>
      <c r="AO131" s="54">
        <f>L116</f>
        <v>6.7</v>
      </c>
      <c r="AQ131" t="s">
        <v>402</v>
      </c>
      <c r="AR131" s="54">
        <f>L114</f>
        <v>810.36</v>
      </c>
      <c r="AT131" s="54">
        <f>L117</f>
        <v>2.35</v>
      </c>
      <c r="AV131" t="s">
        <v>402</v>
      </c>
      <c r="AW131" s="54">
        <f>L122</f>
        <v>44.14</v>
      </c>
      <c r="AZ131">
        <f>Source!X242</f>
        <v>788.33</v>
      </c>
      <c r="BA131">
        <f>Source!Y242</f>
        <v>414.48</v>
      </c>
      <c r="CD131">
        <v>2</v>
      </c>
    </row>
    <row r="132" spans="1:82" ht="28.5" x14ac:dyDescent="0.2">
      <c r="A132" s="56" t="s">
        <v>82</v>
      </c>
      <c r="B132" s="45" t="str">
        <f>Source!F244</f>
        <v>21.1.06.09-0151</v>
      </c>
      <c r="C132" s="45" t="str">
        <f>Source!G244</f>
        <v>Кабель силовой с медными жилами ВВГнг(A)-LS 3х1,5ок(N, PE)-660</v>
      </c>
      <c r="D132" s="57" t="str">
        <f>Source!H244</f>
        <v>1000 м</v>
      </c>
      <c r="E132" s="48">
        <f>Source!K244</f>
        <v>1.5299999999999999E-2</v>
      </c>
      <c r="F132" s="48"/>
      <c r="G132" s="48">
        <f>Source!I244</f>
        <v>1.5299999999999999E-2</v>
      </c>
      <c r="H132" s="49"/>
      <c r="I132" s="58"/>
      <c r="J132" s="49">
        <f>Source!AL244</f>
        <v>50105.63</v>
      </c>
      <c r="K132" s="58"/>
      <c r="L132" s="49">
        <f>Source!P244</f>
        <v>766.62</v>
      </c>
    </row>
    <row r="133" spans="1:82" ht="25.5" x14ac:dyDescent="0.2">
      <c r="A133" s="67"/>
      <c r="B133" s="68" t="str">
        <f>CONCATENATE("Поправка: ", Source!EO244)</f>
        <v>Поправка: Попр.ТЧ прил.8.4</v>
      </c>
      <c r="C133" s="68" t="str">
        <f>Source!CN244</f>
        <v>Поправка:норма отхода 2%</v>
      </c>
      <c r="D133" s="67"/>
      <c r="E133" s="67"/>
      <c r="F133" s="67"/>
      <c r="G133" s="67"/>
      <c r="H133" s="67"/>
      <c r="I133" s="67"/>
      <c r="J133" s="67"/>
      <c r="K133" s="67"/>
      <c r="L133" s="67"/>
    </row>
    <row r="134" spans="1:82" ht="15" x14ac:dyDescent="0.2">
      <c r="C134" s="94" t="s">
        <v>401</v>
      </c>
      <c r="D134" s="94"/>
      <c r="E134" s="94"/>
      <c r="F134" s="94"/>
      <c r="G134" s="94"/>
      <c r="H134" s="94"/>
      <c r="I134" s="95">
        <f>IF(E132&lt;&gt;0,K134/E132, 0)</f>
        <v>50105.882352941182</v>
      </c>
      <c r="J134" s="95"/>
      <c r="K134" s="95">
        <f>L132</f>
        <v>766.62</v>
      </c>
      <c r="L134" s="95"/>
      <c r="AD134">
        <f>ROUND((Source!AT244/100)*((ROUND(ROUND(Source!AO244,2)*Source!I244, 2)+ROUND(ROUND(Source!AN244,2)*Source!I244, 2))), 2)</f>
        <v>0</v>
      </c>
      <c r="AE134">
        <f>ROUND((Source!AU244/100)*((ROUND(ROUND(Source!AO244,2)*Source!I244, 2)+ROUND(ROUND(Source!AN244,2)*Source!I244, 2))), 2)</f>
        <v>0</v>
      </c>
      <c r="AN134" s="54">
        <f>L132</f>
        <v>766.62</v>
      </c>
      <c r="AO134">
        <f>0</f>
        <v>0</v>
      </c>
      <c r="AQ134" t="s">
        <v>402</v>
      </c>
      <c r="AR134">
        <f>0</f>
        <v>0</v>
      </c>
      <c r="AT134">
        <f>0</f>
        <v>0</v>
      </c>
      <c r="AV134" t="s">
        <v>402</v>
      </c>
      <c r="AW134" s="54">
        <f>L132</f>
        <v>766.62</v>
      </c>
      <c r="AZ134">
        <f>Source!X244</f>
        <v>0</v>
      </c>
      <c r="BA134">
        <f>Source!Y244</f>
        <v>0</v>
      </c>
      <c r="CD134">
        <v>2</v>
      </c>
    </row>
    <row r="135" spans="1:82" ht="28.5" x14ac:dyDescent="0.2">
      <c r="A135" s="66" t="s">
        <v>84</v>
      </c>
      <c r="B135" s="59" t="str">
        <f>Source!F245</f>
        <v>20.5.02.07-0003</v>
      </c>
      <c r="C135" s="59" t="str">
        <f>Source!G245</f>
        <v>Коробка распаечная, размеры 70х70х40 мм</v>
      </c>
      <c r="D135" s="60" t="str">
        <f>Source!H245</f>
        <v>ШТ</v>
      </c>
      <c r="E135" s="61">
        <f>Source!K245</f>
        <v>5</v>
      </c>
      <c r="F135" s="61"/>
      <c r="G135" s="61">
        <f>Source!I245</f>
        <v>5</v>
      </c>
      <c r="H135" s="62">
        <f>Source!AL245</f>
        <v>79.42</v>
      </c>
      <c r="I135" s="63">
        <f>IF(Source!BC245&lt;&gt; 0, Source!BC245, 1)</f>
        <v>0.94</v>
      </c>
      <c r="J135" s="62">
        <f>ROUND(H135*I135, 2)</f>
        <v>74.650000000000006</v>
      </c>
      <c r="K135" s="63"/>
      <c r="L135" s="62">
        <f>Source!P245</f>
        <v>373.25</v>
      </c>
    </row>
    <row r="136" spans="1:82" ht="15" x14ac:dyDescent="0.2">
      <c r="C136" s="94" t="s">
        <v>401</v>
      </c>
      <c r="D136" s="94"/>
      <c r="E136" s="94"/>
      <c r="F136" s="94"/>
      <c r="G136" s="94"/>
      <c r="H136" s="94"/>
      <c r="I136" s="95">
        <f>IF(E135&lt;&gt;0,K136/E135, 0)</f>
        <v>74.650000000000006</v>
      </c>
      <c r="J136" s="95"/>
      <c r="K136" s="95">
        <f>L135</f>
        <v>373.25</v>
      </c>
      <c r="L136" s="95"/>
      <c r="AD136">
        <f>ROUND((Source!AT245/100)*((ROUND(ROUND(Source!AO245,2)*Source!I245, 2)+ROUND(ROUND(Source!AN245,2)*Source!I245, 2))), 2)</f>
        <v>0</v>
      </c>
      <c r="AE136">
        <f>ROUND((Source!AU245/100)*((ROUND(ROUND(Source!AO245,2)*Source!I245, 2)+ROUND(ROUND(Source!AN245,2)*Source!I245, 2))), 2)</f>
        <v>0</v>
      </c>
      <c r="AN136" s="54">
        <f>L135</f>
        <v>373.25</v>
      </c>
      <c r="AO136">
        <f>0</f>
        <v>0</v>
      </c>
      <c r="AQ136" t="s">
        <v>402</v>
      </c>
      <c r="AR136">
        <f>0</f>
        <v>0</v>
      </c>
      <c r="AT136">
        <f>0</f>
        <v>0</v>
      </c>
      <c r="AV136" t="s">
        <v>402</v>
      </c>
      <c r="AW136" s="54">
        <f>L135</f>
        <v>373.25</v>
      </c>
      <c r="AZ136">
        <f>Source!X245</f>
        <v>0</v>
      </c>
      <c r="BA136">
        <f>Source!Y245</f>
        <v>0</v>
      </c>
      <c r="CD136">
        <v>2</v>
      </c>
    </row>
    <row r="137" spans="1:82" ht="120.75" x14ac:dyDescent="0.2">
      <c r="A137" s="56" t="s">
        <v>164</v>
      </c>
      <c r="B137" s="45" t="s">
        <v>417</v>
      </c>
      <c r="C137" s="45" t="s">
        <v>418</v>
      </c>
      <c r="D137" s="57" t="str">
        <f>Source!H246</f>
        <v>ШТ</v>
      </c>
      <c r="E137" s="48">
        <f>Source!K246</f>
        <v>5</v>
      </c>
      <c r="F137" s="48"/>
      <c r="G137" s="48">
        <f>Source!I246</f>
        <v>5</v>
      </c>
      <c r="H137" s="49"/>
      <c r="I137" s="58"/>
      <c r="J137" s="49"/>
      <c r="K137" s="58"/>
      <c r="L137" s="49"/>
    </row>
    <row r="138" spans="1:82" ht="76.5" x14ac:dyDescent="0.2">
      <c r="B138" s="65" t="str">
        <f>CONCATENATE("Поправка: ", Source!EO246)</f>
        <v>Поправка: Попр.571/пр_2022_п.84_т.3_стр.2_стб.3</v>
      </c>
      <c r="C138" s="65" t="str">
        <f>Source!CN246</f>
        <v>Поправка:Демонтаж оборудования, пригодного для дальнейшего использования, со снятием с места установки, необходимой (частичной) разборкой без хранения (перемещается на другое место установки и тому подобное)</v>
      </c>
    </row>
    <row r="139" spans="1:82" ht="15" x14ac:dyDescent="0.2">
      <c r="A139" s="44"/>
      <c r="B139" s="48">
        <v>1</v>
      </c>
      <c r="C139" s="44" t="s">
        <v>393</v>
      </c>
      <c r="D139" s="57" t="s">
        <v>260</v>
      </c>
      <c r="E139" s="55"/>
      <c r="F139" s="48"/>
      <c r="G139" s="48">
        <f>Source!U246</f>
        <v>5.04</v>
      </c>
      <c r="H139" s="48"/>
      <c r="I139" s="48"/>
      <c r="J139" s="48"/>
      <c r="K139" s="48"/>
      <c r="L139" s="52">
        <f>SUM(L140:L140)-SUMIF(CE140:CE140, 1, L140:L140)</f>
        <v>1688</v>
      </c>
    </row>
    <row r="140" spans="1:82" ht="14.25" x14ac:dyDescent="0.2">
      <c r="A140" s="45"/>
      <c r="B140" s="45" t="s">
        <v>304</v>
      </c>
      <c r="C140" s="45" t="s">
        <v>305</v>
      </c>
      <c r="D140" s="57" t="s">
        <v>260</v>
      </c>
      <c r="E140" s="48">
        <v>1.68</v>
      </c>
      <c r="F140" s="48">
        <f>ROUND(0.6,7)</f>
        <v>0.6</v>
      </c>
      <c r="G140" s="48">
        <f>SmtRes!CX21</f>
        <v>5.04</v>
      </c>
      <c r="H140" s="49"/>
      <c r="I140" s="58"/>
      <c r="J140" s="49">
        <f>SmtRes!CZ21</f>
        <v>334.92</v>
      </c>
      <c r="K140" s="58"/>
      <c r="L140" s="49">
        <f>SmtRes!DI21</f>
        <v>1688</v>
      </c>
    </row>
    <row r="141" spans="1:82" ht="15" hidden="1" x14ac:dyDescent="0.2">
      <c r="A141" s="44"/>
      <c r="B141" s="48">
        <v>4</v>
      </c>
      <c r="C141" s="44" t="s">
        <v>415</v>
      </c>
      <c r="D141" s="57"/>
      <c r="E141" s="55"/>
      <c r="F141" s="48"/>
      <c r="G141" s="48"/>
      <c r="H141" s="48"/>
      <c r="I141" s="48"/>
      <c r="J141" s="48"/>
      <c r="K141" s="48"/>
      <c r="L141" s="52">
        <f>SUM(L142:L146)-SUMIF(CE142:CE146, 1, L142:L146)</f>
        <v>0</v>
      </c>
    </row>
    <row r="142" spans="1:82" ht="14.25" x14ac:dyDescent="0.2">
      <c r="A142" s="45"/>
      <c r="B142" s="45" t="s">
        <v>306</v>
      </c>
      <c r="C142" s="45" t="s">
        <v>308</v>
      </c>
      <c r="D142" s="57" t="s">
        <v>300</v>
      </c>
      <c r="E142" s="48">
        <v>5.0000000000000001E-4</v>
      </c>
      <c r="F142" s="48">
        <f>ROUND(0,7)</f>
        <v>0</v>
      </c>
      <c r="G142" s="48">
        <f>SmtRes!CX22</f>
        <v>0</v>
      </c>
      <c r="H142" s="49">
        <f>SmtRes!CZ22</f>
        <v>284.14999999999998</v>
      </c>
      <c r="I142" s="58">
        <f>SmtRes!AI22</f>
        <v>1.4</v>
      </c>
      <c r="J142" s="49">
        <f>ROUND(H142*I142, 2)</f>
        <v>397.81</v>
      </c>
      <c r="K142" s="58"/>
      <c r="L142" s="49">
        <f>SmtRes!DF22</f>
        <v>0</v>
      </c>
    </row>
    <row r="143" spans="1:82" ht="14.25" x14ac:dyDescent="0.2">
      <c r="A143" s="45"/>
      <c r="B143" s="45" t="s">
        <v>310</v>
      </c>
      <c r="C143" s="45" t="s">
        <v>312</v>
      </c>
      <c r="D143" s="57" t="s">
        <v>313</v>
      </c>
      <c r="E143" s="48">
        <v>8.3199999999999996E-2</v>
      </c>
      <c r="F143" s="48">
        <f>ROUND(0,7)</f>
        <v>0</v>
      </c>
      <c r="G143" s="48">
        <f>SmtRes!CX23</f>
        <v>0</v>
      </c>
      <c r="H143" s="49"/>
      <c r="I143" s="58"/>
      <c r="J143" s="49">
        <f>SmtRes!CZ23</f>
        <v>7.94</v>
      </c>
      <c r="K143" s="58"/>
      <c r="L143" s="49">
        <f>SmtRes!DF23</f>
        <v>0</v>
      </c>
    </row>
    <row r="144" spans="1:82" ht="42.75" x14ac:dyDescent="0.2">
      <c r="A144" s="45"/>
      <c r="B144" s="45" t="s">
        <v>314</v>
      </c>
      <c r="C144" s="45" t="s">
        <v>316</v>
      </c>
      <c r="D144" s="57" t="s">
        <v>91</v>
      </c>
      <c r="E144" s="48">
        <v>2.5000000000000001E-2</v>
      </c>
      <c r="F144" s="48">
        <f>ROUND(0,7)</f>
        <v>0</v>
      </c>
      <c r="G144" s="48">
        <f>SmtRes!CX24</f>
        <v>0</v>
      </c>
      <c r="H144" s="49">
        <f>SmtRes!CZ24</f>
        <v>978.09</v>
      </c>
      <c r="I144" s="58">
        <f>SmtRes!AI24</f>
        <v>1.28</v>
      </c>
      <c r="J144" s="49">
        <f>ROUND(H144*I144, 2)</f>
        <v>1251.96</v>
      </c>
      <c r="K144" s="58"/>
      <c r="L144" s="49">
        <f>SmtRes!DF24</f>
        <v>0</v>
      </c>
    </row>
    <row r="145" spans="1:82" ht="14.25" x14ac:dyDescent="0.2">
      <c r="A145" s="45"/>
      <c r="B145" s="45" t="s">
        <v>293</v>
      </c>
      <c r="C145" s="45" t="s">
        <v>295</v>
      </c>
      <c r="D145" s="57" t="s">
        <v>296</v>
      </c>
      <c r="E145" s="48">
        <v>1.0000000000000001E-5</v>
      </c>
      <c r="F145" s="48">
        <f>ROUND(0,7)</f>
        <v>0</v>
      </c>
      <c r="G145" s="48">
        <f>SmtRes!CX25</f>
        <v>0</v>
      </c>
      <c r="H145" s="49">
        <f>SmtRes!CZ25</f>
        <v>4338.2700000000004</v>
      </c>
      <c r="I145" s="58">
        <f>SmtRes!AI25</f>
        <v>1.37</v>
      </c>
      <c r="J145" s="49">
        <f>ROUND(H145*I145, 2)</f>
        <v>5943.43</v>
      </c>
      <c r="K145" s="58"/>
      <c r="L145" s="49">
        <f>SmtRes!DF25</f>
        <v>0</v>
      </c>
    </row>
    <row r="146" spans="1:82" ht="28.5" x14ac:dyDescent="0.2">
      <c r="A146" s="45"/>
      <c r="B146" s="45" t="s">
        <v>317</v>
      </c>
      <c r="C146" s="59" t="s">
        <v>319</v>
      </c>
      <c r="D146" s="60" t="s">
        <v>300</v>
      </c>
      <c r="E146" s="61">
        <v>0.01</v>
      </c>
      <c r="F146" s="61">
        <f>ROUND(0,7)</f>
        <v>0</v>
      </c>
      <c r="G146" s="61">
        <f>SmtRes!CX26</f>
        <v>0</v>
      </c>
      <c r="H146" s="62">
        <f>SmtRes!CZ26</f>
        <v>899.56</v>
      </c>
      <c r="I146" s="63">
        <f>SmtRes!AI26</f>
        <v>1.61</v>
      </c>
      <c r="J146" s="62">
        <f>ROUND(H146*I146, 2)</f>
        <v>1448.29</v>
      </c>
      <c r="K146" s="63"/>
      <c r="L146" s="62">
        <f>SmtRes!DF26</f>
        <v>0</v>
      </c>
    </row>
    <row r="147" spans="1:82" ht="15" x14ac:dyDescent="0.2">
      <c r="A147" s="45"/>
      <c r="B147" s="45"/>
      <c r="C147" s="64" t="s">
        <v>397</v>
      </c>
      <c r="D147" s="57"/>
      <c r="E147" s="48"/>
      <c r="F147" s="48"/>
      <c r="G147" s="48"/>
      <c r="H147" s="49"/>
      <c r="I147" s="58"/>
      <c r="J147" s="49"/>
      <c r="K147" s="58"/>
      <c r="L147" s="49">
        <f>L139+L141</f>
        <v>1688</v>
      </c>
    </row>
    <row r="148" spans="1:82" ht="57" x14ac:dyDescent="0.2">
      <c r="A148" s="56" t="s">
        <v>419</v>
      </c>
      <c r="B148" s="45" t="str">
        <f>Source!F247</f>
        <v>421/пр_2020_п.75_пп.а</v>
      </c>
      <c r="C148" s="45" t="str">
        <f>Source!G247</f>
        <v>Сметная стоимость вспомогательных ненормируемых материальных ресурсов, не учтенная в сметной норме, 2%</v>
      </c>
      <c r="D148" s="57" t="str">
        <f>Source!H247</f>
        <v>%</v>
      </c>
      <c r="E148" s="48">
        <f>SmtRes!AT27</f>
        <v>2</v>
      </c>
      <c r="F148" s="48"/>
      <c r="G148" s="48">
        <f>Source!I247</f>
        <v>2</v>
      </c>
      <c r="H148" s="49"/>
      <c r="I148" s="58"/>
      <c r="J148" s="49"/>
      <c r="K148" s="58">
        <f>ROUND(0.6,7)</f>
        <v>0.6</v>
      </c>
      <c r="L148" s="49">
        <f>Source!P247</f>
        <v>33.76</v>
      </c>
      <c r="AD148">
        <f>ROUND((Source!AT247/100)*((ROUND(0*Source!I247, 2)+ROUND(0*Source!I247, 2))), 2)</f>
        <v>0</v>
      </c>
      <c r="AE148">
        <f>ROUND((Source!AU247/100)*((ROUND(0*Source!I247, 2)+ROUND(0*Source!I247, 2))), 2)</f>
        <v>0</v>
      </c>
      <c r="AN148">
        <f>L148</f>
        <v>33.76</v>
      </c>
      <c r="AW148">
        <f>L148</f>
        <v>33.76</v>
      </c>
      <c r="AZ148">
        <f>Source!X247</f>
        <v>0</v>
      </c>
      <c r="BA148">
        <f>Source!Y247</f>
        <v>0</v>
      </c>
      <c r="CD148">
        <v>2</v>
      </c>
    </row>
    <row r="149" spans="1:82" ht="14.25" x14ac:dyDescent="0.2">
      <c r="A149" s="45"/>
      <c r="B149" s="45"/>
      <c r="C149" s="45" t="s">
        <v>398</v>
      </c>
      <c r="D149" s="57"/>
      <c r="E149" s="48"/>
      <c r="F149" s="48"/>
      <c r="G149" s="48"/>
      <c r="H149" s="49"/>
      <c r="I149" s="58"/>
      <c r="J149" s="49"/>
      <c r="K149" s="58"/>
      <c r="L149" s="49">
        <f>SUM(AR137:AR152)+SUM(AS137:AS152)+SUM(AT137:AT152)+SUM(AU137:AU152)+SUM(AV137:AV152)</f>
        <v>1688</v>
      </c>
    </row>
    <row r="150" spans="1:82" ht="28.5" x14ac:dyDescent="0.2">
      <c r="A150" s="45"/>
      <c r="B150" s="45" t="s">
        <v>174</v>
      </c>
      <c r="C150" s="45" t="s">
        <v>420</v>
      </c>
      <c r="D150" s="57" t="s">
        <v>112</v>
      </c>
      <c r="E150" s="48">
        <f>Source!BZ246</f>
        <v>90</v>
      </c>
      <c r="F150" s="48"/>
      <c r="G150" s="48">
        <f>Source!AT246</f>
        <v>90</v>
      </c>
      <c r="H150" s="49"/>
      <c r="I150" s="58"/>
      <c r="J150" s="49"/>
      <c r="K150" s="58"/>
      <c r="L150" s="49">
        <f>SUM(AZ137:AZ152)</f>
        <v>1519.2</v>
      </c>
    </row>
    <row r="151" spans="1:82" ht="28.5" x14ac:dyDescent="0.2">
      <c r="A151" s="59"/>
      <c r="B151" s="59" t="s">
        <v>175</v>
      </c>
      <c r="C151" s="59" t="s">
        <v>421</v>
      </c>
      <c r="D151" s="60" t="s">
        <v>112</v>
      </c>
      <c r="E151" s="61">
        <f>Source!CA246</f>
        <v>46</v>
      </c>
      <c r="F151" s="61"/>
      <c r="G151" s="61">
        <f>Source!AU246</f>
        <v>46</v>
      </c>
      <c r="H151" s="62"/>
      <c r="I151" s="63"/>
      <c r="J151" s="62"/>
      <c r="K151" s="63"/>
      <c r="L151" s="62">
        <f>SUM(BA137:BA152)</f>
        <v>776.48</v>
      </c>
    </row>
    <row r="152" spans="1:82" ht="15" x14ac:dyDescent="0.2">
      <c r="C152" s="94" t="s">
        <v>401</v>
      </c>
      <c r="D152" s="94"/>
      <c r="E152" s="94"/>
      <c r="F152" s="94"/>
      <c r="G152" s="94"/>
      <c r="H152" s="94"/>
      <c r="I152" s="95">
        <f>IF(E137&lt;&gt;0,K152/E137, 0)</f>
        <v>803.48800000000006</v>
      </c>
      <c r="J152" s="95"/>
      <c r="K152" s="95">
        <f>L139+L141+L150+L151+SUM(L148:L148)</f>
        <v>4017.44</v>
      </c>
      <c r="L152" s="95"/>
      <c r="AD152">
        <f>ROUND((Source!AT246/100)*((ROUND(SUMIF(SmtRes!AQ21:'SmtRes'!AQ27,"=1",SmtRes!AD21:'SmtRes'!AD27)*Source!I246, 2)+ROUND(SUMIF(SmtRes!AQ21:'SmtRes'!AQ27,"=1",SmtRes!AC21:'SmtRes'!AC27)*Source!I246, 2))), 2)</f>
        <v>1507.14</v>
      </c>
      <c r="AE152">
        <f>ROUND((Source!AU246/100)*((ROUND(SUMIF(SmtRes!AQ21:'SmtRes'!AQ27,"=1",SmtRes!AD21:'SmtRes'!AD27)*Source!I246, 2)+ROUND(SUMIF(SmtRes!AQ21:'SmtRes'!AQ27,"=1",SmtRes!AC21:'SmtRes'!AC27)*Source!I246, 2))), 2)</f>
        <v>770.32</v>
      </c>
      <c r="AN152" s="54">
        <f>L139+L141+L150+L151</f>
        <v>3983.68</v>
      </c>
      <c r="AO152">
        <f>0</f>
        <v>0</v>
      </c>
      <c r="AQ152" t="s">
        <v>402</v>
      </c>
      <c r="AR152" s="54">
        <f>L139</f>
        <v>1688</v>
      </c>
      <c r="AT152">
        <f>0</f>
        <v>0</v>
      </c>
      <c r="AV152" t="s">
        <v>402</v>
      </c>
      <c r="AW152" s="54">
        <f>L141</f>
        <v>0</v>
      </c>
      <c r="AZ152">
        <f>Source!X246</f>
        <v>1519.2</v>
      </c>
      <c r="BA152">
        <f>Source!Y246</f>
        <v>776.48</v>
      </c>
      <c r="CD152">
        <v>2</v>
      </c>
    </row>
    <row r="153" spans="1:82" ht="57" x14ac:dyDescent="0.2">
      <c r="A153" s="56" t="s">
        <v>177</v>
      </c>
      <c r="B153" s="45" t="s">
        <v>417</v>
      </c>
      <c r="C153" s="45" t="str">
        <f>Source!G248</f>
        <v>Извещатель ПС автоматический: дымовой, фотоэлектрический, радиоизотопный, световой в нормальном исполнении</v>
      </c>
      <c r="D153" s="57" t="str">
        <f>Source!H248</f>
        <v>ШТ</v>
      </c>
      <c r="E153" s="48">
        <f>Source!K248</f>
        <v>5</v>
      </c>
      <c r="F153" s="48"/>
      <c r="G153" s="48">
        <f>Source!I248</f>
        <v>5</v>
      </c>
      <c r="H153" s="49"/>
      <c r="I153" s="58"/>
      <c r="J153" s="49"/>
      <c r="K153" s="58"/>
      <c r="L153" s="49"/>
    </row>
    <row r="154" spans="1:82" ht="15" x14ac:dyDescent="0.2">
      <c r="A154" s="44"/>
      <c r="B154" s="48">
        <v>1</v>
      </c>
      <c r="C154" s="44" t="s">
        <v>393</v>
      </c>
      <c r="D154" s="57" t="s">
        <v>260</v>
      </c>
      <c r="E154" s="55"/>
      <c r="F154" s="48"/>
      <c r="G154" s="48">
        <f>Source!U248</f>
        <v>8.4</v>
      </c>
      <c r="H154" s="48"/>
      <c r="I154" s="48"/>
      <c r="J154" s="48"/>
      <c r="K154" s="48"/>
      <c r="L154" s="52">
        <f>SUM(L155:L155)-SUMIF(CE155:CE155, 1, L155:L155)</f>
        <v>2813.33</v>
      </c>
    </row>
    <row r="155" spans="1:82" ht="14.25" x14ac:dyDescent="0.2">
      <c r="A155" s="45"/>
      <c r="B155" s="45" t="s">
        <v>304</v>
      </c>
      <c r="C155" s="45" t="s">
        <v>305</v>
      </c>
      <c r="D155" s="57" t="s">
        <v>260</v>
      </c>
      <c r="E155" s="48">
        <v>1.68</v>
      </c>
      <c r="F155" s="48"/>
      <c r="G155" s="48">
        <f>SmtRes!CX28</f>
        <v>8.4</v>
      </c>
      <c r="H155" s="49"/>
      <c r="I155" s="58"/>
      <c r="J155" s="49">
        <f>SmtRes!CZ28</f>
        <v>334.92</v>
      </c>
      <c r="K155" s="58"/>
      <c r="L155" s="49">
        <f>SmtRes!DI28</f>
        <v>2813.33</v>
      </c>
    </row>
    <row r="156" spans="1:82" ht="15" x14ac:dyDescent="0.2">
      <c r="A156" s="44"/>
      <c r="B156" s="48">
        <v>4</v>
      </c>
      <c r="C156" s="44" t="s">
        <v>415</v>
      </c>
      <c r="D156" s="57"/>
      <c r="E156" s="55"/>
      <c r="F156" s="48"/>
      <c r="G156" s="48"/>
      <c r="H156" s="48"/>
      <c r="I156" s="48"/>
      <c r="J156" s="48"/>
      <c r="K156" s="48"/>
      <c r="L156" s="52">
        <f>SUM(L157:L161)-SUMIF(CE157:CE161, 1, L157:L161)</f>
        <v>233.5</v>
      </c>
    </row>
    <row r="157" spans="1:82" ht="14.25" x14ac:dyDescent="0.2">
      <c r="A157" s="45"/>
      <c r="B157" s="45" t="s">
        <v>306</v>
      </c>
      <c r="C157" s="45" t="s">
        <v>308</v>
      </c>
      <c r="D157" s="57" t="s">
        <v>300</v>
      </c>
      <c r="E157" s="48">
        <v>5.0000000000000001E-4</v>
      </c>
      <c r="F157" s="48"/>
      <c r="G157" s="48">
        <f>SmtRes!CX29</f>
        <v>2.5000000000000001E-3</v>
      </c>
      <c r="H157" s="49">
        <f>SmtRes!CZ29</f>
        <v>284.14999999999998</v>
      </c>
      <c r="I157" s="58">
        <f>SmtRes!AI29</f>
        <v>1.4</v>
      </c>
      <c r="J157" s="49">
        <f>ROUND(H157*I157, 2)</f>
        <v>397.81</v>
      </c>
      <c r="K157" s="58"/>
      <c r="L157" s="49">
        <f>SmtRes!DF29</f>
        <v>0.99</v>
      </c>
    </row>
    <row r="158" spans="1:82" ht="14.25" x14ac:dyDescent="0.2">
      <c r="A158" s="45"/>
      <c r="B158" s="45" t="s">
        <v>310</v>
      </c>
      <c r="C158" s="45" t="s">
        <v>312</v>
      </c>
      <c r="D158" s="57" t="s">
        <v>313</v>
      </c>
      <c r="E158" s="48">
        <v>8.3199999999999996E-2</v>
      </c>
      <c r="F158" s="48"/>
      <c r="G158" s="48">
        <f>SmtRes!CX30</f>
        <v>0.41599999999999998</v>
      </c>
      <c r="H158" s="49"/>
      <c r="I158" s="58"/>
      <c r="J158" s="49">
        <f>SmtRes!CZ30</f>
        <v>7.94</v>
      </c>
      <c r="K158" s="58"/>
      <c r="L158" s="49">
        <f>SmtRes!DF30</f>
        <v>3.3</v>
      </c>
    </row>
    <row r="159" spans="1:82" ht="42.75" x14ac:dyDescent="0.2">
      <c r="A159" s="45"/>
      <c r="B159" s="45" t="s">
        <v>314</v>
      </c>
      <c r="C159" s="45" t="s">
        <v>316</v>
      </c>
      <c r="D159" s="57" t="s">
        <v>91</v>
      </c>
      <c r="E159" s="48">
        <v>2.5000000000000001E-2</v>
      </c>
      <c r="F159" s="48"/>
      <c r="G159" s="48">
        <f>SmtRes!CX31</f>
        <v>0.125</v>
      </c>
      <c r="H159" s="49">
        <f>SmtRes!CZ31</f>
        <v>978.09</v>
      </c>
      <c r="I159" s="58">
        <f>SmtRes!AI31</f>
        <v>1.28</v>
      </c>
      <c r="J159" s="49">
        <f>ROUND(H159*I159, 2)</f>
        <v>1251.96</v>
      </c>
      <c r="K159" s="58"/>
      <c r="L159" s="49">
        <f>SmtRes!DF31</f>
        <v>156.5</v>
      </c>
    </row>
    <row r="160" spans="1:82" ht="14.25" x14ac:dyDescent="0.2">
      <c r="A160" s="45"/>
      <c r="B160" s="45" t="s">
        <v>293</v>
      </c>
      <c r="C160" s="45" t="s">
        <v>295</v>
      </c>
      <c r="D160" s="57" t="s">
        <v>296</v>
      </c>
      <c r="E160" s="48">
        <v>1.0000000000000001E-5</v>
      </c>
      <c r="F160" s="48"/>
      <c r="G160" s="48">
        <f>SmtRes!CX32</f>
        <v>5.0000000000000002E-5</v>
      </c>
      <c r="H160" s="49">
        <f>SmtRes!CZ32</f>
        <v>4338.2700000000004</v>
      </c>
      <c r="I160" s="58">
        <f>SmtRes!AI32</f>
        <v>1.37</v>
      </c>
      <c r="J160" s="49">
        <f>ROUND(H160*I160, 2)</f>
        <v>5943.43</v>
      </c>
      <c r="K160" s="58"/>
      <c r="L160" s="49">
        <f>SmtRes!DF32</f>
        <v>0.3</v>
      </c>
    </row>
    <row r="161" spans="1:82" ht="28.5" x14ac:dyDescent="0.2">
      <c r="A161" s="45"/>
      <c r="B161" s="45" t="s">
        <v>317</v>
      </c>
      <c r="C161" s="59" t="s">
        <v>319</v>
      </c>
      <c r="D161" s="60" t="s">
        <v>300</v>
      </c>
      <c r="E161" s="61">
        <v>0.01</v>
      </c>
      <c r="F161" s="61"/>
      <c r="G161" s="61">
        <f>SmtRes!CX33</f>
        <v>0.05</v>
      </c>
      <c r="H161" s="62">
        <f>SmtRes!CZ33</f>
        <v>899.56</v>
      </c>
      <c r="I161" s="63">
        <f>SmtRes!AI33</f>
        <v>1.61</v>
      </c>
      <c r="J161" s="62">
        <f>ROUND(H161*I161, 2)</f>
        <v>1448.29</v>
      </c>
      <c r="K161" s="63"/>
      <c r="L161" s="62">
        <f>SmtRes!DF33</f>
        <v>72.41</v>
      </c>
    </row>
    <row r="162" spans="1:82" ht="15" x14ac:dyDescent="0.2">
      <c r="A162" s="45"/>
      <c r="B162" s="45"/>
      <c r="C162" s="64" t="s">
        <v>397</v>
      </c>
      <c r="D162" s="57"/>
      <c r="E162" s="48"/>
      <c r="F162" s="48"/>
      <c r="G162" s="48"/>
      <c r="H162" s="49"/>
      <c r="I162" s="58"/>
      <c r="J162" s="49"/>
      <c r="K162" s="58"/>
      <c r="L162" s="49">
        <f>L154+L156</f>
        <v>3046.83</v>
      </c>
    </row>
    <row r="163" spans="1:82" ht="57" x14ac:dyDescent="0.2">
      <c r="A163" s="56" t="s">
        <v>422</v>
      </c>
      <c r="B163" s="45" t="str">
        <f>Source!F249</f>
        <v>421/пр_2020_п.75_пп.а</v>
      </c>
      <c r="C163" s="45" t="str">
        <f>Source!G249</f>
        <v>Сметная стоимость вспомогательных ненормируемых материальных ресурсов, не учтенная в сметной норме, 2%</v>
      </c>
      <c r="D163" s="57" t="str">
        <f>Source!H249</f>
        <v>%</v>
      </c>
      <c r="E163" s="48">
        <f>SmtRes!AT34</f>
        <v>2</v>
      </c>
      <c r="F163" s="48"/>
      <c r="G163" s="48">
        <f>Source!I249</f>
        <v>2</v>
      </c>
      <c r="H163" s="49"/>
      <c r="I163" s="58"/>
      <c r="J163" s="49"/>
      <c r="K163" s="58"/>
      <c r="L163" s="49">
        <f>Source!P249</f>
        <v>56.27</v>
      </c>
      <c r="AD163">
        <f>ROUND((Source!AT249/100)*((ROUND(0*Source!I249, 2)+ROUND(0*Source!I249, 2))), 2)</f>
        <v>0</v>
      </c>
      <c r="AE163">
        <f>ROUND((Source!AU249/100)*((ROUND(0*Source!I249, 2)+ROUND(0*Source!I249, 2))), 2)</f>
        <v>0</v>
      </c>
      <c r="AN163">
        <f>L163</f>
        <v>56.27</v>
      </c>
      <c r="AW163">
        <f>L163</f>
        <v>56.27</v>
      </c>
      <c r="AZ163">
        <f>Source!X249</f>
        <v>0</v>
      </c>
      <c r="BA163">
        <f>Source!Y249</f>
        <v>0</v>
      </c>
      <c r="CD163">
        <v>2</v>
      </c>
    </row>
    <row r="164" spans="1:82" ht="14.25" x14ac:dyDescent="0.2">
      <c r="A164" s="45"/>
      <c r="B164" s="45"/>
      <c r="C164" s="45" t="s">
        <v>398</v>
      </c>
      <c r="D164" s="57"/>
      <c r="E164" s="48"/>
      <c r="F164" s="48"/>
      <c r="G164" s="48"/>
      <c r="H164" s="49"/>
      <c r="I164" s="58"/>
      <c r="J164" s="49"/>
      <c r="K164" s="58"/>
      <c r="L164" s="49">
        <f>SUM(AR153:AR167)+SUM(AS153:AS167)+SUM(AT153:AT167)+SUM(AU153:AU167)+SUM(AV153:AV167)</f>
        <v>2813.33</v>
      </c>
    </row>
    <row r="165" spans="1:82" ht="28.5" x14ac:dyDescent="0.2">
      <c r="A165" s="45"/>
      <c r="B165" s="45" t="s">
        <v>174</v>
      </c>
      <c r="C165" s="45" t="s">
        <v>420</v>
      </c>
      <c r="D165" s="57" t="s">
        <v>112</v>
      </c>
      <c r="E165" s="48">
        <f>Source!BZ248</f>
        <v>90</v>
      </c>
      <c r="F165" s="48"/>
      <c r="G165" s="48">
        <f>Source!AT248</f>
        <v>90</v>
      </c>
      <c r="H165" s="49"/>
      <c r="I165" s="58"/>
      <c r="J165" s="49"/>
      <c r="K165" s="58"/>
      <c r="L165" s="49">
        <f>SUM(AZ153:AZ167)</f>
        <v>2532</v>
      </c>
    </row>
    <row r="166" spans="1:82" ht="28.5" x14ac:dyDescent="0.2">
      <c r="A166" s="59"/>
      <c r="B166" s="59" t="s">
        <v>175</v>
      </c>
      <c r="C166" s="59" t="s">
        <v>421</v>
      </c>
      <c r="D166" s="60" t="s">
        <v>112</v>
      </c>
      <c r="E166" s="61">
        <f>Source!CA248</f>
        <v>46</v>
      </c>
      <c r="F166" s="61"/>
      <c r="G166" s="61">
        <f>Source!AU248</f>
        <v>46</v>
      </c>
      <c r="H166" s="62"/>
      <c r="I166" s="63"/>
      <c r="J166" s="62"/>
      <c r="K166" s="63"/>
      <c r="L166" s="62">
        <f>SUM(BA153:BA167)</f>
        <v>1294.1300000000001</v>
      </c>
    </row>
    <row r="167" spans="1:82" ht="15" x14ac:dyDescent="0.2">
      <c r="C167" s="94" t="s">
        <v>401</v>
      </c>
      <c r="D167" s="94"/>
      <c r="E167" s="94"/>
      <c r="F167" s="94"/>
      <c r="G167" s="94"/>
      <c r="H167" s="94"/>
      <c r="I167" s="95">
        <f>IF(E153&lt;&gt;0,K167/E153, 0)</f>
        <v>1385.846</v>
      </c>
      <c r="J167" s="95"/>
      <c r="K167" s="95">
        <f>L154+L156+L165+L166+SUM(L163:L163)</f>
        <v>6929.2300000000005</v>
      </c>
      <c r="L167" s="95"/>
      <c r="AD167">
        <f>ROUND((Source!AT248/100)*((ROUND(SUMIF(SmtRes!AQ28:'SmtRes'!AQ34,"=1",SmtRes!AD28:'SmtRes'!AD34)*Source!I248, 2)+ROUND(SUMIF(SmtRes!AQ28:'SmtRes'!AQ34,"=1",SmtRes!AC28:'SmtRes'!AC34)*Source!I248, 2))), 2)</f>
        <v>1507.14</v>
      </c>
      <c r="AE167">
        <f>ROUND((Source!AU248/100)*((ROUND(SUMIF(SmtRes!AQ28:'SmtRes'!AQ34,"=1",SmtRes!AD28:'SmtRes'!AD34)*Source!I248, 2)+ROUND(SUMIF(SmtRes!AQ28:'SmtRes'!AQ34,"=1",SmtRes!AC28:'SmtRes'!AC34)*Source!I248, 2))), 2)</f>
        <v>770.32</v>
      </c>
      <c r="AN167" s="54">
        <f>L154+L156+L165+L166</f>
        <v>6872.96</v>
      </c>
      <c r="AO167">
        <f>0</f>
        <v>0</v>
      </c>
      <c r="AQ167" t="s">
        <v>402</v>
      </c>
      <c r="AR167" s="54">
        <f>L154</f>
        <v>2813.33</v>
      </c>
      <c r="AT167">
        <f>0</f>
        <v>0</v>
      </c>
      <c r="AV167" t="s">
        <v>402</v>
      </c>
      <c r="AW167" s="54">
        <f>L156</f>
        <v>233.5</v>
      </c>
      <c r="AZ167">
        <f>Source!X248</f>
        <v>2532</v>
      </c>
      <c r="BA167">
        <f>Source!Y248</f>
        <v>1294.1300000000001</v>
      </c>
      <c r="CD167">
        <v>2</v>
      </c>
    </row>
    <row r="169" spans="1:82" ht="15" x14ac:dyDescent="0.2">
      <c r="A169" s="50"/>
      <c r="B169" s="51"/>
      <c r="C169" s="90" t="s">
        <v>443</v>
      </c>
      <c r="D169" s="90"/>
      <c r="E169" s="90"/>
      <c r="F169" s="90"/>
      <c r="G169" s="90"/>
      <c r="H169" s="90"/>
      <c r="I169" s="52"/>
      <c r="J169" s="50"/>
      <c r="K169" s="53"/>
      <c r="L169" s="52">
        <f>L171+L172+L178+L182</f>
        <v>49316.7</v>
      </c>
    </row>
    <row r="170" spans="1:82" ht="14.25" x14ac:dyDescent="0.2">
      <c r="A170" s="43"/>
      <c r="B170" s="46"/>
      <c r="C170" s="92" t="s">
        <v>367</v>
      </c>
      <c r="D170" s="87"/>
      <c r="E170" s="87"/>
      <c r="F170" s="87"/>
      <c r="G170" s="87"/>
      <c r="H170" s="87"/>
      <c r="I170" s="49"/>
      <c r="J170" s="43"/>
      <c r="K170" s="48"/>
      <c r="L170" s="49"/>
    </row>
    <row r="171" spans="1:82" ht="14.25" x14ac:dyDescent="0.2">
      <c r="A171" s="43"/>
      <c r="B171" s="46"/>
      <c r="C171" s="87" t="s">
        <v>368</v>
      </c>
      <c r="D171" s="87"/>
      <c r="E171" s="87"/>
      <c r="F171" s="87"/>
      <c r="G171" s="87"/>
      <c r="H171" s="87"/>
      <c r="I171" s="49"/>
      <c r="J171" s="43"/>
      <c r="K171" s="48"/>
      <c r="L171" s="49">
        <f>SUM(AR54:AR167)</f>
        <v>7015.4500000000007</v>
      </c>
    </row>
    <row r="172" spans="1:82" ht="14.25" hidden="1" x14ac:dyDescent="0.2">
      <c r="A172" s="43"/>
      <c r="B172" s="46"/>
      <c r="C172" s="87" t="s">
        <v>369</v>
      </c>
      <c r="D172" s="87"/>
      <c r="E172" s="87"/>
      <c r="F172" s="87"/>
      <c r="G172" s="87"/>
      <c r="H172" s="87"/>
      <c r="I172" s="49"/>
      <c r="J172" s="43"/>
      <c r="K172" s="48"/>
      <c r="L172" s="49">
        <f>L174+L177+L176</f>
        <v>141.28999999999996</v>
      </c>
    </row>
    <row r="173" spans="1:82" ht="14.25" hidden="1" x14ac:dyDescent="0.2">
      <c r="A173" s="43"/>
      <c r="B173" s="46"/>
      <c r="C173" s="92" t="s">
        <v>370</v>
      </c>
      <c r="D173" s="87"/>
      <c r="E173" s="87"/>
      <c r="F173" s="87"/>
      <c r="G173" s="87"/>
      <c r="H173" s="87"/>
      <c r="I173" s="49"/>
      <c r="J173" s="43"/>
      <c r="K173" s="48"/>
      <c r="L173" s="49"/>
    </row>
    <row r="174" spans="1:82" ht="14.25" x14ac:dyDescent="0.2">
      <c r="A174" s="43"/>
      <c r="B174" s="46"/>
      <c r="C174" s="87" t="s">
        <v>369</v>
      </c>
      <c r="D174" s="87"/>
      <c r="E174" s="87"/>
      <c r="F174" s="87"/>
      <c r="G174" s="87"/>
      <c r="H174" s="87"/>
      <c r="I174" s="49"/>
      <c r="J174" s="43"/>
      <c r="K174" s="48"/>
      <c r="L174" s="49">
        <f>SUM(AO54:AO167)</f>
        <v>130.89999999999998</v>
      </c>
    </row>
    <row r="175" spans="1:82" ht="14.25" hidden="1" x14ac:dyDescent="0.2">
      <c r="A175" s="43"/>
      <c r="B175" s="46"/>
      <c r="C175" s="92" t="s">
        <v>371</v>
      </c>
      <c r="D175" s="87"/>
      <c r="E175" s="87"/>
      <c r="F175" s="87"/>
      <c r="G175" s="87"/>
      <c r="H175" s="87"/>
      <c r="I175" s="49"/>
      <c r="J175" s="43"/>
      <c r="K175" s="48"/>
      <c r="L175" s="49"/>
    </row>
    <row r="176" spans="1:82" ht="14.25" x14ac:dyDescent="0.2">
      <c r="A176" s="43"/>
      <c r="B176" s="46"/>
      <c r="C176" s="87" t="s">
        <v>391</v>
      </c>
      <c r="D176" s="87"/>
      <c r="E176" s="87"/>
      <c r="F176" s="87"/>
      <c r="G176" s="87"/>
      <c r="H176" s="87"/>
      <c r="I176" s="49"/>
      <c r="J176" s="43"/>
      <c r="K176" s="48"/>
      <c r="L176" s="49">
        <f>SUM(AT54:AT167)</f>
        <v>10.389999999999999</v>
      </c>
    </row>
    <row r="177" spans="1:12" ht="14.25" hidden="1" x14ac:dyDescent="0.2">
      <c r="A177" s="43"/>
      <c r="B177" s="46"/>
      <c r="C177" s="87" t="s">
        <v>372</v>
      </c>
      <c r="D177" s="87"/>
      <c r="E177" s="87"/>
      <c r="F177" s="87"/>
      <c r="G177" s="87"/>
      <c r="H177" s="87"/>
      <c r="I177" s="49"/>
      <c r="J177" s="43"/>
      <c r="K177" s="48"/>
      <c r="L177" s="49">
        <f>SUM(AV54:AV167)</f>
        <v>0</v>
      </c>
    </row>
    <row r="178" spans="1:12" ht="14.25" x14ac:dyDescent="0.2">
      <c r="A178" s="43"/>
      <c r="B178" s="46"/>
      <c r="C178" s="87" t="s">
        <v>373</v>
      </c>
      <c r="D178" s="87"/>
      <c r="E178" s="87"/>
      <c r="F178" s="87"/>
      <c r="G178" s="87"/>
      <c r="H178" s="87"/>
      <c r="I178" s="49"/>
      <c r="J178" s="43"/>
      <c r="K178" s="48"/>
      <c r="L178" s="49">
        <f>L180+L181</f>
        <v>42159.96</v>
      </c>
    </row>
    <row r="179" spans="1:12" ht="14.25" x14ac:dyDescent="0.2">
      <c r="A179" s="43"/>
      <c r="B179" s="46"/>
      <c r="C179" s="92" t="s">
        <v>370</v>
      </c>
      <c r="D179" s="87"/>
      <c r="E179" s="87"/>
      <c r="F179" s="87"/>
      <c r="G179" s="87"/>
      <c r="H179" s="87"/>
      <c r="I179" s="49"/>
      <c r="J179" s="43"/>
      <c r="K179" s="48"/>
      <c r="L179" s="49"/>
    </row>
    <row r="180" spans="1:12" ht="14.25" x14ac:dyDescent="0.2">
      <c r="A180" s="43"/>
      <c r="B180" s="46"/>
      <c r="C180" s="87" t="s">
        <v>374</v>
      </c>
      <c r="D180" s="87"/>
      <c r="E180" s="87"/>
      <c r="F180" s="87"/>
      <c r="G180" s="87"/>
      <c r="H180" s="87"/>
      <c r="I180" s="49"/>
      <c r="J180" s="43"/>
      <c r="K180" s="48"/>
      <c r="L180" s="49">
        <f>SUM(AW54:AW167)-SUM(BK54:BK167)</f>
        <v>42159.96</v>
      </c>
    </row>
    <row r="181" spans="1:12" ht="14.25" hidden="1" x14ac:dyDescent="0.2">
      <c r="A181" s="43"/>
      <c r="B181" s="46"/>
      <c r="C181" s="87" t="s">
        <v>375</v>
      </c>
      <c r="D181" s="87"/>
      <c r="E181" s="87"/>
      <c r="F181" s="87"/>
      <c r="G181" s="87"/>
      <c r="H181" s="87"/>
      <c r="I181" s="49"/>
      <c r="J181" s="43"/>
      <c r="K181" s="48"/>
      <c r="L181" s="49">
        <f>SUM(BC54:BC167)</f>
        <v>0</v>
      </c>
    </row>
    <row r="182" spans="1:12" ht="14.25" hidden="1" x14ac:dyDescent="0.2">
      <c r="A182" s="43"/>
      <c r="B182" s="46"/>
      <c r="C182" s="87" t="s">
        <v>376</v>
      </c>
      <c r="D182" s="87"/>
      <c r="E182" s="87"/>
      <c r="F182" s="87"/>
      <c r="G182" s="87"/>
      <c r="H182" s="87"/>
      <c r="I182" s="49"/>
      <c r="J182" s="43"/>
      <c r="K182" s="48"/>
      <c r="L182" s="49">
        <f>SUM(BB54:BB167)</f>
        <v>0</v>
      </c>
    </row>
    <row r="183" spans="1:12" ht="14.25" x14ac:dyDescent="0.2">
      <c r="A183" s="43"/>
      <c r="B183" s="46"/>
      <c r="C183" s="87" t="s">
        <v>377</v>
      </c>
      <c r="D183" s="87"/>
      <c r="E183" s="87"/>
      <c r="F183" s="87"/>
      <c r="G183" s="87"/>
      <c r="H183" s="87"/>
      <c r="I183" s="49"/>
      <c r="J183" s="43"/>
      <c r="K183" s="48"/>
      <c r="L183" s="49">
        <f>SUM(AR54:AR167)+SUM(AT54:AT167)+SUM(AV54:AV167)</f>
        <v>7025.8400000000011</v>
      </c>
    </row>
    <row r="184" spans="1:12" ht="14.25" x14ac:dyDescent="0.2">
      <c r="A184" s="43"/>
      <c r="B184" s="46"/>
      <c r="C184" s="87" t="s">
        <v>378</v>
      </c>
      <c r="D184" s="87"/>
      <c r="E184" s="87"/>
      <c r="F184" s="87"/>
      <c r="G184" s="87"/>
      <c r="H184" s="87"/>
      <c r="I184" s="49"/>
      <c r="J184" s="43"/>
      <c r="K184" s="48"/>
      <c r="L184" s="49">
        <f>SUM(AZ54:AZ167)</f>
        <v>6511.1900000000005</v>
      </c>
    </row>
    <row r="185" spans="1:12" ht="14.25" x14ac:dyDescent="0.2">
      <c r="A185" s="43"/>
      <c r="B185" s="46"/>
      <c r="C185" s="87" t="s">
        <v>379</v>
      </c>
      <c r="D185" s="87"/>
      <c r="E185" s="87"/>
      <c r="F185" s="87"/>
      <c r="G185" s="87"/>
      <c r="H185" s="87"/>
      <c r="I185" s="49"/>
      <c r="J185" s="43"/>
      <c r="K185" s="48"/>
      <c r="L185" s="49">
        <f>SUM(BA54:BA167)</f>
        <v>3397.3100000000004</v>
      </c>
    </row>
    <row r="186" spans="1:12" ht="14.25" hidden="1" x14ac:dyDescent="0.2">
      <c r="A186" s="43"/>
      <c r="B186" s="46"/>
      <c r="C186" s="87" t="s">
        <v>380</v>
      </c>
      <c r="D186" s="87"/>
      <c r="E186" s="87"/>
      <c r="F186" s="87"/>
      <c r="G186" s="87"/>
      <c r="H186" s="87"/>
      <c r="I186" s="49"/>
      <c r="J186" s="43"/>
      <c r="K186" s="48"/>
      <c r="L186" s="49">
        <f>L188+L189</f>
        <v>0</v>
      </c>
    </row>
    <row r="187" spans="1:12" ht="14.25" hidden="1" x14ac:dyDescent="0.2">
      <c r="A187" s="43"/>
      <c r="B187" s="46"/>
      <c r="C187" s="92" t="s">
        <v>367</v>
      </c>
      <c r="D187" s="87"/>
      <c r="E187" s="87"/>
      <c r="F187" s="87"/>
      <c r="G187" s="87"/>
      <c r="H187" s="87"/>
      <c r="I187" s="49"/>
      <c r="J187" s="43"/>
      <c r="K187" s="48"/>
      <c r="L187" s="49"/>
    </row>
    <row r="188" spans="1:12" ht="14.25" hidden="1" x14ac:dyDescent="0.2">
      <c r="A188" s="43"/>
      <c r="B188" s="46"/>
      <c r="C188" s="87" t="s">
        <v>381</v>
      </c>
      <c r="D188" s="87"/>
      <c r="E188" s="87"/>
      <c r="F188" s="87"/>
      <c r="G188" s="87"/>
      <c r="H188" s="87"/>
      <c r="I188" s="49"/>
      <c r="J188" s="43"/>
      <c r="K188" s="48"/>
      <c r="L188" s="49">
        <f>SUM(BK54:BK167)</f>
        <v>0</v>
      </c>
    </row>
    <row r="189" spans="1:12" ht="14.25" hidden="1" x14ac:dyDescent="0.2">
      <c r="A189" s="43"/>
      <c r="B189" s="46"/>
      <c r="C189" s="87" t="s">
        <v>382</v>
      </c>
      <c r="D189" s="87"/>
      <c r="E189" s="87"/>
      <c r="F189" s="87"/>
      <c r="G189" s="87"/>
      <c r="H189" s="87"/>
      <c r="I189" s="49"/>
      <c r="J189" s="43"/>
      <c r="K189" s="48"/>
      <c r="L189" s="49">
        <f>SUM(BD54:BD167)</f>
        <v>0</v>
      </c>
    </row>
    <row r="190" spans="1:12" ht="14.25" hidden="1" x14ac:dyDescent="0.2">
      <c r="A190" s="43"/>
      <c r="B190" s="46"/>
      <c r="C190" s="87" t="s">
        <v>383</v>
      </c>
      <c r="D190" s="87"/>
      <c r="E190" s="87"/>
      <c r="F190" s="87"/>
      <c r="G190" s="87"/>
      <c r="H190" s="87"/>
      <c r="I190" s="49"/>
      <c r="J190" s="43"/>
      <c r="K190" s="48"/>
      <c r="L190" s="49"/>
    </row>
    <row r="191" spans="1:12" ht="14.25" hidden="1" x14ac:dyDescent="0.2">
      <c r="A191" s="43"/>
      <c r="B191" s="46"/>
      <c r="C191" s="87" t="s">
        <v>383</v>
      </c>
      <c r="D191" s="87"/>
      <c r="E191" s="87"/>
      <c r="F191" s="87"/>
      <c r="G191" s="87"/>
      <c r="H191" s="87"/>
      <c r="I191" s="49"/>
      <c r="J191" s="43"/>
      <c r="K191" s="48"/>
      <c r="L191" s="49">
        <f>SUM(BQ54:BQ167)</f>
        <v>0</v>
      </c>
    </row>
    <row r="192" spans="1:12" ht="14.25" hidden="1" x14ac:dyDescent="0.2">
      <c r="A192" s="43"/>
      <c r="B192" s="46"/>
      <c r="C192" s="87" t="s">
        <v>384</v>
      </c>
      <c r="D192" s="87"/>
      <c r="E192" s="87"/>
      <c r="F192" s="87"/>
      <c r="G192" s="87"/>
      <c r="H192" s="87"/>
      <c r="I192" s="49"/>
      <c r="J192" s="43"/>
      <c r="K192" s="48"/>
      <c r="L192" s="49">
        <f>SUM(BO54:BO167)</f>
        <v>0</v>
      </c>
    </row>
    <row r="193" spans="1:12" ht="15" x14ac:dyDescent="0.2">
      <c r="A193" s="50"/>
      <c r="B193" s="51"/>
      <c r="C193" s="90" t="s">
        <v>385</v>
      </c>
      <c r="D193" s="90"/>
      <c r="E193" s="90"/>
      <c r="F193" s="90"/>
      <c r="G193" s="90"/>
      <c r="H193" s="90"/>
      <c r="I193" s="52"/>
      <c r="J193" s="50"/>
      <c r="K193" s="53"/>
      <c r="L193" s="52">
        <f>L169+L184+L185+L186+L191+L192</f>
        <v>59225.2</v>
      </c>
    </row>
    <row r="194" spans="1:12" ht="14.25" x14ac:dyDescent="0.2">
      <c r="A194" s="43"/>
      <c r="B194" s="46"/>
      <c r="C194" s="92" t="s">
        <v>386</v>
      </c>
      <c r="D194" s="87"/>
      <c r="E194" s="87"/>
      <c r="F194" s="87"/>
      <c r="G194" s="87"/>
      <c r="H194" s="87"/>
      <c r="I194" s="49"/>
      <c r="J194" s="43"/>
      <c r="K194" s="48"/>
      <c r="L194" s="49"/>
    </row>
    <row r="195" spans="1:12" ht="14.25" hidden="1" x14ac:dyDescent="0.2">
      <c r="A195" s="43"/>
      <c r="B195" s="46"/>
      <c r="C195" s="87" t="s">
        <v>387</v>
      </c>
      <c r="D195" s="87"/>
      <c r="E195" s="87"/>
      <c r="F195" s="87"/>
      <c r="G195" s="87"/>
      <c r="H195" s="87"/>
      <c r="I195" s="49"/>
      <c r="J195" s="43"/>
      <c r="K195" s="48"/>
      <c r="L195" s="49">
        <f>SUM(AX54:AX167)</f>
        <v>0</v>
      </c>
    </row>
    <row r="196" spans="1:12" ht="14.25" hidden="1" x14ac:dyDescent="0.2">
      <c r="A196" s="43"/>
      <c r="B196" s="46"/>
      <c r="C196" s="87" t="s">
        <v>388</v>
      </c>
      <c r="D196" s="87"/>
      <c r="E196" s="87"/>
      <c r="F196" s="87"/>
      <c r="G196" s="87"/>
      <c r="H196" s="87"/>
      <c r="I196" s="49"/>
      <c r="J196" s="43"/>
      <c r="K196" s="48"/>
      <c r="L196" s="49">
        <f>SUM(AY54:AY167)</f>
        <v>0</v>
      </c>
    </row>
    <row r="197" spans="1:12" ht="14.25" x14ac:dyDescent="0.2">
      <c r="A197" s="43"/>
      <c r="B197" s="46"/>
      <c r="C197" s="87" t="s">
        <v>389</v>
      </c>
      <c r="D197" s="87"/>
      <c r="E197" s="87"/>
      <c r="F197" s="88"/>
      <c r="G197" s="55">
        <f>Source!F273</f>
        <v>21.243079999999999</v>
      </c>
      <c r="H197" s="43"/>
      <c r="I197" s="43"/>
      <c r="J197" s="43"/>
      <c r="K197" s="43"/>
      <c r="L197" s="43"/>
    </row>
    <row r="198" spans="1:12" ht="14.25" x14ac:dyDescent="0.2">
      <c r="A198" s="43"/>
      <c r="B198" s="46"/>
      <c r="C198" s="87" t="s">
        <v>390</v>
      </c>
      <c r="D198" s="87"/>
      <c r="E198" s="87"/>
      <c r="F198" s="88"/>
      <c r="G198" s="55">
        <f>Source!F274</f>
        <v>3.0200000000000001E-2</v>
      </c>
      <c r="H198" s="43"/>
      <c r="I198" s="43"/>
      <c r="J198" s="43"/>
      <c r="K198" s="43"/>
      <c r="L198" s="43"/>
    </row>
    <row r="201" spans="1:12" ht="15" x14ac:dyDescent="0.2">
      <c r="A201" s="69"/>
      <c r="B201" s="70"/>
      <c r="C201" s="93" t="s">
        <v>423</v>
      </c>
      <c r="D201" s="93"/>
      <c r="E201" s="93"/>
      <c r="F201" s="93"/>
      <c r="G201" s="93"/>
      <c r="H201" s="93"/>
      <c r="I201" s="71"/>
      <c r="J201" s="69"/>
      <c r="K201" s="72"/>
      <c r="L201" s="71"/>
    </row>
    <row r="203" spans="1:12" ht="15" x14ac:dyDescent="0.2">
      <c r="A203" s="50"/>
      <c r="B203" s="51"/>
      <c r="C203" s="90" t="s">
        <v>424</v>
      </c>
      <c r="D203" s="90"/>
      <c r="E203" s="90"/>
      <c r="F203" s="90"/>
      <c r="G203" s="90"/>
      <c r="H203" s="90"/>
      <c r="I203" s="52"/>
      <c r="J203" s="50"/>
      <c r="K203" s="53"/>
      <c r="L203" s="52">
        <f>L205+L220+L221</f>
        <v>3029.44</v>
      </c>
    </row>
    <row r="204" spans="1:12" ht="14.25" x14ac:dyDescent="0.2">
      <c r="A204" s="43"/>
      <c r="B204" s="46"/>
      <c r="C204" s="92" t="s">
        <v>367</v>
      </c>
      <c r="D204" s="87"/>
      <c r="E204" s="87"/>
      <c r="F204" s="87"/>
      <c r="G204" s="87"/>
      <c r="H204" s="87"/>
      <c r="I204" s="49"/>
      <c r="J204" s="43"/>
      <c r="K204" s="48"/>
      <c r="L204" s="49"/>
    </row>
    <row r="205" spans="1:12" ht="14.25" x14ac:dyDescent="0.2">
      <c r="A205" s="43"/>
      <c r="B205" s="46"/>
      <c r="C205" s="87" t="s">
        <v>425</v>
      </c>
      <c r="D205" s="87"/>
      <c r="E205" s="87"/>
      <c r="F205" s="87"/>
      <c r="G205" s="87"/>
      <c r="H205" s="87"/>
      <c r="I205" s="49"/>
      <c r="J205" s="43"/>
      <c r="K205" s="48"/>
      <c r="L205" s="49">
        <f>L207+L208+L214+L218</f>
        <v>1267.17</v>
      </c>
    </row>
    <row r="206" spans="1:12" ht="14.25" x14ac:dyDescent="0.2">
      <c r="A206" s="43"/>
      <c r="B206" s="46"/>
      <c r="C206" s="92" t="s">
        <v>367</v>
      </c>
      <c r="D206" s="87"/>
      <c r="E206" s="87"/>
      <c r="F206" s="87"/>
      <c r="G206" s="87"/>
      <c r="H206" s="87"/>
      <c r="I206" s="49"/>
      <c r="J206" s="43"/>
      <c r="K206" s="48"/>
      <c r="L206" s="49"/>
    </row>
    <row r="207" spans="1:12" ht="14.25" x14ac:dyDescent="0.2">
      <c r="A207" s="43"/>
      <c r="B207" s="46"/>
      <c r="C207" s="87" t="s">
        <v>426</v>
      </c>
      <c r="D207" s="87"/>
      <c r="E207" s="87"/>
      <c r="F207" s="87"/>
      <c r="G207" s="87"/>
      <c r="H207" s="87"/>
      <c r="I207" s="49"/>
      <c r="J207" s="43"/>
      <c r="K207" s="48"/>
      <c r="L207" s="49">
        <f>SUMIF(CD52:CD199, 1, AR52:AR199)</f>
        <v>1156.1200000000001</v>
      </c>
    </row>
    <row r="208" spans="1:12" ht="14.25" hidden="1" x14ac:dyDescent="0.2">
      <c r="A208" s="43"/>
      <c r="B208" s="46"/>
      <c r="C208" s="87" t="s">
        <v>369</v>
      </c>
      <c r="D208" s="87"/>
      <c r="E208" s="87"/>
      <c r="F208" s="87"/>
      <c r="G208" s="87"/>
      <c r="H208" s="87"/>
      <c r="I208" s="49"/>
      <c r="J208" s="43"/>
      <c r="K208" s="48"/>
      <c r="L208" s="49">
        <f>L210+L213+L212</f>
        <v>111.05</v>
      </c>
    </row>
    <row r="209" spans="1:12" ht="14.25" hidden="1" x14ac:dyDescent="0.2">
      <c r="A209" s="43"/>
      <c r="B209" s="46"/>
      <c r="C209" s="92" t="s">
        <v>370</v>
      </c>
      <c r="D209" s="87"/>
      <c r="E209" s="87"/>
      <c r="F209" s="87"/>
      <c r="G209" s="87"/>
      <c r="H209" s="87"/>
      <c r="I209" s="49"/>
      <c r="J209" s="43"/>
      <c r="K209" s="48"/>
      <c r="L209" s="49"/>
    </row>
    <row r="210" spans="1:12" ht="14.25" x14ac:dyDescent="0.2">
      <c r="A210" s="43"/>
      <c r="B210" s="46"/>
      <c r="C210" s="87" t="s">
        <v>369</v>
      </c>
      <c r="D210" s="87"/>
      <c r="E210" s="87"/>
      <c r="F210" s="87"/>
      <c r="G210" s="87"/>
      <c r="H210" s="87"/>
      <c r="I210" s="49"/>
      <c r="J210" s="43"/>
      <c r="K210" s="48"/>
      <c r="L210" s="49">
        <f>SUMIF(CD52:CD199, 1, AO52:AO199)</f>
        <v>110.50999999999999</v>
      </c>
    </row>
    <row r="211" spans="1:12" ht="14.25" hidden="1" x14ac:dyDescent="0.2">
      <c r="A211" s="43"/>
      <c r="B211" s="46"/>
      <c r="C211" s="92" t="s">
        <v>371</v>
      </c>
      <c r="D211" s="87"/>
      <c r="E211" s="87"/>
      <c r="F211" s="87"/>
      <c r="G211" s="87"/>
      <c r="H211" s="87"/>
      <c r="I211" s="49"/>
      <c r="J211" s="43"/>
      <c r="K211" s="48"/>
      <c r="L211" s="49"/>
    </row>
    <row r="212" spans="1:12" ht="14.25" x14ac:dyDescent="0.2">
      <c r="A212" s="43"/>
      <c r="B212" s="46"/>
      <c r="C212" s="87" t="s">
        <v>391</v>
      </c>
      <c r="D212" s="87"/>
      <c r="E212" s="87"/>
      <c r="F212" s="87"/>
      <c r="G212" s="87"/>
      <c r="H212" s="87"/>
      <c r="I212" s="49"/>
      <c r="J212" s="43"/>
      <c r="K212" s="48"/>
      <c r="L212" s="49">
        <f>SUMIF(CD52:CD199, 1, AT52:AT199)</f>
        <v>0.54</v>
      </c>
    </row>
    <row r="213" spans="1:12" ht="14.25" hidden="1" x14ac:dyDescent="0.2">
      <c r="A213" s="43"/>
      <c r="B213" s="46"/>
      <c r="C213" s="87" t="s">
        <v>372</v>
      </c>
      <c r="D213" s="87"/>
      <c r="E213" s="87"/>
      <c r="F213" s="87"/>
      <c r="G213" s="87"/>
      <c r="H213" s="87"/>
      <c r="I213" s="49"/>
      <c r="J213" s="43"/>
      <c r="K213" s="48"/>
      <c r="L213" s="49">
        <f>SUMIF(CD52:CD199, 1, AV52:AV199)</f>
        <v>0</v>
      </c>
    </row>
    <row r="214" spans="1:12" ht="14.25" hidden="1" x14ac:dyDescent="0.2">
      <c r="A214" s="43"/>
      <c r="B214" s="46"/>
      <c r="C214" s="87" t="s">
        <v>373</v>
      </c>
      <c r="D214" s="87"/>
      <c r="E214" s="87"/>
      <c r="F214" s="87"/>
      <c r="G214" s="87"/>
      <c r="H214" s="87"/>
      <c r="I214" s="49"/>
      <c r="J214" s="43"/>
      <c r="K214" s="48"/>
      <c r="L214" s="49">
        <f>L216+L217</f>
        <v>0</v>
      </c>
    </row>
    <row r="215" spans="1:12" ht="14.25" hidden="1" x14ac:dyDescent="0.2">
      <c r="A215" s="43"/>
      <c r="B215" s="46"/>
      <c r="C215" s="92" t="s">
        <v>370</v>
      </c>
      <c r="D215" s="87"/>
      <c r="E215" s="87"/>
      <c r="F215" s="87"/>
      <c r="G215" s="87"/>
      <c r="H215" s="87"/>
      <c r="I215" s="49"/>
      <c r="J215" s="43"/>
      <c r="K215" s="48"/>
      <c r="L215" s="49"/>
    </row>
    <row r="216" spans="1:12" ht="14.25" hidden="1" x14ac:dyDescent="0.2">
      <c r="A216" s="43"/>
      <c r="B216" s="46"/>
      <c r="C216" s="87" t="s">
        <v>374</v>
      </c>
      <c r="D216" s="87"/>
      <c r="E216" s="87"/>
      <c r="F216" s="87"/>
      <c r="G216" s="87"/>
      <c r="H216" s="87"/>
      <c r="I216" s="49"/>
      <c r="J216" s="43"/>
      <c r="K216" s="48"/>
      <c r="L216" s="49">
        <f>SUMIF(CD52:CD199, 1, AW52:AW199)-SUMIF(CD52:CD199, 1, BK52:BK199)</f>
        <v>0</v>
      </c>
    </row>
    <row r="217" spans="1:12" ht="14.25" hidden="1" x14ac:dyDescent="0.2">
      <c r="A217" s="43"/>
      <c r="B217" s="46"/>
      <c r="C217" s="87" t="s">
        <v>375</v>
      </c>
      <c r="D217" s="87"/>
      <c r="E217" s="87"/>
      <c r="F217" s="87"/>
      <c r="G217" s="87"/>
      <c r="H217" s="87"/>
      <c r="I217" s="49"/>
      <c r="J217" s="43"/>
      <c r="K217" s="48"/>
      <c r="L217" s="49">
        <f>SUMIF(CD52:CD199, 1, BC52:BC199)</f>
        <v>0</v>
      </c>
    </row>
    <row r="218" spans="1:12" ht="14.25" hidden="1" x14ac:dyDescent="0.2">
      <c r="A218" s="43"/>
      <c r="B218" s="46"/>
      <c r="C218" s="87" t="s">
        <v>376</v>
      </c>
      <c r="D218" s="87"/>
      <c r="E218" s="87"/>
      <c r="F218" s="87"/>
      <c r="G218" s="87"/>
      <c r="H218" s="87"/>
      <c r="I218" s="49"/>
      <c r="J218" s="43"/>
      <c r="K218" s="48"/>
      <c r="L218" s="49">
        <f>SUMIF(CD52:CD199, 1, BB52:BB199)</f>
        <v>0</v>
      </c>
    </row>
    <row r="219" spans="1:12" ht="14.25" x14ac:dyDescent="0.2">
      <c r="A219" s="43"/>
      <c r="B219" s="46"/>
      <c r="C219" s="87" t="s">
        <v>427</v>
      </c>
      <c r="D219" s="87"/>
      <c r="E219" s="87"/>
      <c r="F219" s="87"/>
      <c r="G219" s="87"/>
      <c r="H219" s="87"/>
      <c r="I219" s="49"/>
      <c r="J219" s="43"/>
      <c r="K219" s="48"/>
      <c r="L219" s="49">
        <f>SUMIF(CD52:CD199, 1, AR52:AR199)+SUMIF(CD52:CD199, 1, AT52:AT199)+SUMIF(CD52:CD199, 1, AV52:AV199)</f>
        <v>1156.6600000000001</v>
      </c>
    </row>
    <row r="220" spans="1:12" ht="14.25" x14ac:dyDescent="0.2">
      <c r="A220" s="43"/>
      <c r="B220" s="46"/>
      <c r="C220" s="87" t="s">
        <v>428</v>
      </c>
      <c r="D220" s="87"/>
      <c r="E220" s="87"/>
      <c r="F220" s="87"/>
      <c r="G220" s="87"/>
      <c r="H220" s="87"/>
      <c r="I220" s="49"/>
      <c r="J220" s="43"/>
      <c r="K220" s="48"/>
      <c r="L220" s="49">
        <f>SUMIF(CD52:CD199, 1, AZ52:AZ199)</f>
        <v>1133.17</v>
      </c>
    </row>
    <row r="221" spans="1:12" ht="14.25" x14ac:dyDescent="0.2">
      <c r="A221" s="43"/>
      <c r="B221" s="46"/>
      <c r="C221" s="87" t="s">
        <v>429</v>
      </c>
      <c r="D221" s="87"/>
      <c r="E221" s="87"/>
      <c r="F221" s="87"/>
      <c r="G221" s="87"/>
      <c r="H221" s="87"/>
      <c r="I221" s="49"/>
      <c r="J221" s="43"/>
      <c r="K221" s="48"/>
      <c r="L221" s="49">
        <f>SUMIF(CD52:CD199, 1, BA52:BA199)</f>
        <v>629.1</v>
      </c>
    </row>
    <row r="223" spans="1:12" ht="15" x14ac:dyDescent="0.2">
      <c r="A223" s="50"/>
      <c r="B223" s="51"/>
      <c r="C223" s="90" t="s">
        <v>430</v>
      </c>
      <c r="D223" s="90"/>
      <c r="E223" s="90"/>
      <c r="F223" s="90"/>
      <c r="G223" s="90"/>
      <c r="H223" s="90"/>
      <c r="I223" s="52"/>
      <c r="J223" s="50"/>
      <c r="K223" s="53"/>
      <c r="L223" s="52">
        <f>L225+L240+L241</f>
        <v>56195.76</v>
      </c>
    </row>
    <row r="224" spans="1:12" ht="14.25" x14ac:dyDescent="0.2">
      <c r="A224" s="43"/>
      <c r="B224" s="46"/>
      <c r="C224" s="92" t="s">
        <v>367</v>
      </c>
      <c r="D224" s="87"/>
      <c r="E224" s="87"/>
      <c r="F224" s="87"/>
      <c r="G224" s="87"/>
      <c r="H224" s="87"/>
      <c r="I224" s="49"/>
      <c r="J224" s="43"/>
      <c r="K224" s="48"/>
      <c r="L224" s="49"/>
    </row>
    <row r="225" spans="1:12" ht="14.25" x14ac:dyDescent="0.2">
      <c r="A225" s="43"/>
      <c r="B225" s="46"/>
      <c r="C225" s="87" t="s">
        <v>425</v>
      </c>
      <c r="D225" s="87"/>
      <c r="E225" s="87"/>
      <c r="F225" s="87"/>
      <c r="G225" s="87"/>
      <c r="H225" s="87"/>
      <c r="I225" s="49"/>
      <c r="J225" s="43"/>
      <c r="K225" s="48"/>
      <c r="L225" s="49">
        <f>L227+L228+L234+L238</f>
        <v>48049.53</v>
      </c>
    </row>
    <row r="226" spans="1:12" ht="14.25" x14ac:dyDescent="0.2">
      <c r="A226" s="43"/>
      <c r="B226" s="46"/>
      <c r="C226" s="92" t="s">
        <v>367</v>
      </c>
      <c r="D226" s="87"/>
      <c r="E226" s="87"/>
      <c r="F226" s="87"/>
      <c r="G226" s="87"/>
      <c r="H226" s="87"/>
      <c r="I226" s="49"/>
      <c r="J226" s="43"/>
      <c r="K226" s="48"/>
      <c r="L226" s="49"/>
    </row>
    <row r="227" spans="1:12" ht="14.25" x14ac:dyDescent="0.2">
      <c r="A227" s="43"/>
      <c r="B227" s="46"/>
      <c r="C227" s="87" t="s">
        <v>426</v>
      </c>
      <c r="D227" s="87"/>
      <c r="E227" s="87"/>
      <c r="F227" s="87"/>
      <c r="G227" s="87"/>
      <c r="H227" s="87"/>
      <c r="I227" s="49"/>
      <c r="J227" s="43"/>
      <c r="K227" s="48"/>
      <c r="L227" s="49">
        <f>SUMIF(CD52:CD221, 2, AR52:AR221)</f>
        <v>5859.33</v>
      </c>
    </row>
    <row r="228" spans="1:12" ht="14.25" hidden="1" x14ac:dyDescent="0.2">
      <c r="A228" s="43"/>
      <c r="B228" s="46"/>
      <c r="C228" s="87" t="s">
        <v>369</v>
      </c>
      <c r="D228" s="87"/>
      <c r="E228" s="87"/>
      <c r="F228" s="87"/>
      <c r="G228" s="87"/>
      <c r="H228" s="87"/>
      <c r="I228" s="49"/>
      <c r="J228" s="43"/>
      <c r="K228" s="48"/>
      <c r="L228" s="49">
        <f>L230+L233+L232</f>
        <v>30.239999999999995</v>
      </c>
    </row>
    <row r="229" spans="1:12" ht="14.25" hidden="1" x14ac:dyDescent="0.2">
      <c r="A229" s="43"/>
      <c r="B229" s="46"/>
      <c r="C229" s="92" t="s">
        <v>370</v>
      </c>
      <c r="D229" s="87"/>
      <c r="E229" s="87"/>
      <c r="F229" s="87"/>
      <c r="G229" s="87"/>
      <c r="H229" s="87"/>
      <c r="I229" s="49"/>
      <c r="J229" s="43"/>
      <c r="K229" s="48"/>
      <c r="L229" s="49"/>
    </row>
    <row r="230" spans="1:12" ht="14.25" x14ac:dyDescent="0.2">
      <c r="A230" s="43"/>
      <c r="B230" s="46"/>
      <c r="C230" s="87" t="s">
        <v>369</v>
      </c>
      <c r="D230" s="87"/>
      <c r="E230" s="87"/>
      <c r="F230" s="87"/>
      <c r="G230" s="87"/>
      <c r="H230" s="87"/>
      <c r="I230" s="49"/>
      <c r="J230" s="43"/>
      <c r="K230" s="48"/>
      <c r="L230" s="49">
        <f>SUMIF(CD52:CD221, 2, AO52:AO221)</f>
        <v>20.389999999999997</v>
      </c>
    </row>
    <row r="231" spans="1:12" ht="14.25" hidden="1" x14ac:dyDescent="0.2">
      <c r="A231" s="43"/>
      <c r="B231" s="46"/>
      <c r="C231" s="92" t="s">
        <v>371</v>
      </c>
      <c r="D231" s="87"/>
      <c r="E231" s="87"/>
      <c r="F231" s="87"/>
      <c r="G231" s="87"/>
      <c r="H231" s="87"/>
      <c r="I231" s="49"/>
      <c r="J231" s="43"/>
      <c r="K231" s="48"/>
      <c r="L231" s="49"/>
    </row>
    <row r="232" spans="1:12" ht="14.25" x14ac:dyDescent="0.2">
      <c r="A232" s="43"/>
      <c r="B232" s="46"/>
      <c r="C232" s="87" t="s">
        <v>391</v>
      </c>
      <c r="D232" s="87"/>
      <c r="E232" s="87"/>
      <c r="F232" s="87"/>
      <c r="G232" s="87"/>
      <c r="H232" s="87"/>
      <c r="I232" s="49"/>
      <c r="J232" s="43"/>
      <c r="K232" s="48"/>
      <c r="L232" s="49">
        <f>SUMIF(CD52:CD221, 2, AT52:AT221)</f>
        <v>9.85</v>
      </c>
    </row>
    <row r="233" spans="1:12" ht="14.25" hidden="1" x14ac:dyDescent="0.2">
      <c r="A233" s="43"/>
      <c r="B233" s="46"/>
      <c r="C233" s="87" t="s">
        <v>372</v>
      </c>
      <c r="D233" s="87"/>
      <c r="E233" s="87"/>
      <c r="F233" s="87"/>
      <c r="G233" s="87"/>
      <c r="H233" s="87"/>
      <c r="I233" s="49"/>
      <c r="J233" s="43"/>
      <c r="K233" s="48"/>
      <c r="L233" s="49">
        <f>SUMIF(CD52:CD221, 2, AV52:AV221)</f>
        <v>0</v>
      </c>
    </row>
    <row r="234" spans="1:12" ht="14.25" x14ac:dyDescent="0.2">
      <c r="A234" s="43"/>
      <c r="B234" s="46"/>
      <c r="C234" s="87" t="s">
        <v>373</v>
      </c>
      <c r="D234" s="87"/>
      <c r="E234" s="87"/>
      <c r="F234" s="87"/>
      <c r="G234" s="87"/>
      <c r="H234" s="87"/>
      <c r="I234" s="49"/>
      <c r="J234" s="43"/>
      <c r="K234" s="48"/>
      <c r="L234" s="49">
        <f>L236+L237</f>
        <v>42159.96</v>
      </c>
    </row>
    <row r="235" spans="1:12" ht="14.25" x14ac:dyDescent="0.2">
      <c r="A235" s="43"/>
      <c r="B235" s="46"/>
      <c r="C235" s="92" t="s">
        <v>370</v>
      </c>
      <c r="D235" s="87"/>
      <c r="E235" s="87"/>
      <c r="F235" s="87"/>
      <c r="G235" s="87"/>
      <c r="H235" s="87"/>
      <c r="I235" s="49"/>
      <c r="J235" s="43"/>
      <c r="K235" s="48"/>
      <c r="L235" s="49"/>
    </row>
    <row r="236" spans="1:12" ht="14.25" x14ac:dyDescent="0.2">
      <c r="A236" s="43"/>
      <c r="B236" s="46"/>
      <c r="C236" s="87" t="s">
        <v>374</v>
      </c>
      <c r="D236" s="87"/>
      <c r="E236" s="87"/>
      <c r="F236" s="87"/>
      <c r="G236" s="87"/>
      <c r="H236" s="87"/>
      <c r="I236" s="49"/>
      <c r="J236" s="43"/>
      <c r="K236" s="48"/>
      <c r="L236" s="49">
        <f>SUMIF(CD52:CD221, 2, AW52:AW221)-SUMIF(CD52:CD221, 2, BK52:BK221)</f>
        <v>42159.96</v>
      </c>
    </row>
    <row r="237" spans="1:12" ht="14.25" hidden="1" x14ac:dyDescent="0.2">
      <c r="A237" s="43"/>
      <c r="B237" s="46"/>
      <c r="C237" s="87" t="s">
        <v>375</v>
      </c>
      <c r="D237" s="87"/>
      <c r="E237" s="87"/>
      <c r="F237" s="87"/>
      <c r="G237" s="87"/>
      <c r="H237" s="87"/>
      <c r="I237" s="49"/>
      <c r="J237" s="43"/>
      <c r="K237" s="48"/>
      <c r="L237" s="49">
        <f>SUMIF(CD52:CD221, 2, BC52:BC221)</f>
        <v>0</v>
      </c>
    </row>
    <row r="238" spans="1:12" ht="14.25" hidden="1" x14ac:dyDescent="0.2">
      <c r="A238" s="43"/>
      <c r="B238" s="46"/>
      <c r="C238" s="87" t="s">
        <v>376</v>
      </c>
      <c r="D238" s="87"/>
      <c r="E238" s="87"/>
      <c r="F238" s="87"/>
      <c r="G238" s="87"/>
      <c r="H238" s="87"/>
      <c r="I238" s="49"/>
      <c r="J238" s="43"/>
      <c r="K238" s="48"/>
      <c r="L238" s="49">
        <f>SUMIF(CD52:CD221, 2, BB52:BB221)</f>
        <v>0</v>
      </c>
    </row>
    <row r="239" spans="1:12" ht="14.25" x14ac:dyDescent="0.2">
      <c r="A239" s="43"/>
      <c r="B239" s="46"/>
      <c r="C239" s="87" t="s">
        <v>427</v>
      </c>
      <c r="D239" s="87"/>
      <c r="E239" s="87"/>
      <c r="F239" s="87"/>
      <c r="G239" s="87"/>
      <c r="H239" s="87"/>
      <c r="I239" s="49"/>
      <c r="J239" s="43"/>
      <c r="K239" s="48"/>
      <c r="L239" s="49">
        <f>SUMIF(CD52:CD221, 2, AR52:AR221)+SUMIF(CD52:CD221, 2, AT52:AT221)+SUMIF(CD52:CD221, 2, AV52:AV221)</f>
        <v>5869.18</v>
      </c>
    </row>
    <row r="240" spans="1:12" ht="14.25" x14ac:dyDescent="0.2">
      <c r="A240" s="43"/>
      <c r="B240" s="46"/>
      <c r="C240" s="87" t="s">
        <v>428</v>
      </c>
      <c r="D240" s="87"/>
      <c r="E240" s="87"/>
      <c r="F240" s="87"/>
      <c r="G240" s="87"/>
      <c r="H240" s="87"/>
      <c r="I240" s="49"/>
      <c r="J240" s="43"/>
      <c r="K240" s="48"/>
      <c r="L240" s="49">
        <f>SUMIF(CD52:CD221, 2, AZ52:AZ221)</f>
        <v>5378.02</v>
      </c>
    </row>
    <row r="241" spans="1:12" ht="14.25" x14ac:dyDescent="0.2">
      <c r="A241" s="43"/>
      <c r="B241" s="46"/>
      <c r="C241" s="87" t="s">
        <v>429</v>
      </c>
      <c r="D241" s="87"/>
      <c r="E241" s="87"/>
      <c r="F241" s="87"/>
      <c r="G241" s="87"/>
      <c r="H241" s="87"/>
      <c r="I241" s="49"/>
      <c r="J241" s="43"/>
      <c r="K241" s="48"/>
      <c r="L241" s="49">
        <f>SUMIF(CD52:CD221, 2, BA52:BA221)</f>
        <v>2768.21</v>
      </c>
    </row>
    <row r="242" spans="1:12" hidden="1" x14ac:dyDescent="0.2"/>
    <row r="243" spans="1:12" ht="15" hidden="1" x14ac:dyDescent="0.2">
      <c r="A243" s="50"/>
      <c r="B243" s="51"/>
      <c r="C243" s="90" t="s">
        <v>431</v>
      </c>
      <c r="D243" s="90"/>
      <c r="E243" s="90"/>
      <c r="F243" s="90"/>
      <c r="G243" s="90"/>
      <c r="H243" s="90"/>
      <c r="I243" s="52"/>
      <c r="J243" s="50"/>
      <c r="K243" s="53"/>
      <c r="L243" s="52">
        <f>L245+L246</f>
        <v>0</v>
      </c>
    </row>
    <row r="244" spans="1:12" ht="14.25" hidden="1" x14ac:dyDescent="0.2">
      <c r="A244" s="43"/>
      <c r="B244" s="46"/>
      <c r="C244" s="92" t="s">
        <v>367</v>
      </c>
      <c r="D244" s="87"/>
      <c r="E244" s="87"/>
      <c r="F244" s="87"/>
      <c r="G244" s="87"/>
      <c r="H244" s="87"/>
      <c r="I244" s="49"/>
      <c r="J244" s="43"/>
      <c r="K244" s="48"/>
      <c r="L244" s="49"/>
    </row>
    <row r="245" spans="1:12" ht="14.25" hidden="1" x14ac:dyDescent="0.2">
      <c r="A245" s="43"/>
      <c r="B245" s="46"/>
      <c r="C245" s="87" t="s">
        <v>381</v>
      </c>
      <c r="D245" s="87"/>
      <c r="E245" s="87"/>
      <c r="F245" s="87"/>
      <c r="G245" s="87"/>
      <c r="H245" s="87"/>
      <c r="I245" s="49"/>
      <c r="J245" s="43"/>
      <c r="K245" s="48"/>
      <c r="L245" s="49">
        <f>SUMIF(CD52:CD241, 3, BK52:BK241)</f>
        <v>0</v>
      </c>
    </row>
    <row r="246" spans="1:12" ht="14.25" hidden="1" x14ac:dyDescent="0.2">
      <c r="A246" s="43"/>
      <c r="B246" s="46"/>
      <c r="C246" s="87" t="s">
        <v>382</v>
      </c>
      <c r="D246" s="87"/>
      <c r="E246" s="87"/>
      <c r="F246" s="87"/>
      <c r="G246" s="87"/>
      <c r="H246" s="87"/>
      <c r="I246" s="49"/>
      <c r="J246" s="43"/>
      <c r="K246" s="48"/>
      <c r="L246" s="49">
        <f>SUMIF(CD52:CD241, 3, BD52:BD241)</f>
        <v>0</v>
      </c>
    </row>
    <row r="247" spans="1:12" hidden="1" x14ac:dyDescent="0.2"/>
    <row r="248" spans="1:12" ht="15" hidden="1" x14ac:dyDescent="0.2">
      <c r="A248" s="50"/>
      <c r="B248" s="51"/>
      <c r="C248" s="90" t="s">
        <v>432</v>
      </c>
      <c r="D248" s="90"/>
      <c r="E248" s="90"/>
      <c r="F248" s="90"/>
      <c r="G248" s="90"/>
      <c r="H248" s="90"/>
      <c r="I248" s="52"/>
      <c r="J248" s="50"/>
      <c r="K248" s="53"/>
      <c r="L248" s="52">
        <f>L256+L271+L272+L250+L251+L252+L253</f>
        <v>0</v>
      </c>
    </row>
    <row r="249" spans="1:12" ht="14.25" hidden="1" x14ac:dyDescent="0.2">
      <c r="A249" s="43"/>
      <c r="B249" s="46"/>
      <c r="C249" s="92" t="s">
        <v>367</v>
      </c>
      <c r="D249" s="87"/>
      <c r="E249" s="87"/>
      <c r="F249" s="87"/>
      <c r="G249" s="87"/>
      <c r="H249" s="87"/>
      <c r="I249" s="49"/>
      <c r="J249" s="43"/>
      <c r="K249" s="48"/>
      <c r="L249" s="49"/>
    </row>
    <row r="250" spans="1:12" ht="14.25" hidden="1" x14ac:dyDescent="0.2">
      <c r="A250" s="43"/>
      <c r="B250" s="46"/>
      <c r="C250" s="87" t="s">
        <v>433</v>
      </c>
      <c r="D250" s="87"/>
      <c r="E250" s="87"/>
      <c r="F250" s="87"/>
      <c r="G250" s="87"/>
      <c r="H250" s="87"/>
      <c r="I250" s="49"/>
      <c r="J250" s="43"/>
      <c r="K250" s="48"/>
      <c r="L250" s="49"/>
    </row>
    <row r="251" spans="1:12" ht="14.25" hidden="1" x14ac:dyDescent="0.2">
      <c r="A251" s="43"/>
      <c r="B251" s="46"/>
      <c r="C251" s="87" t="s">
        <v>433</v>
      </c>
      <c r="D251" s="87"/>
      <c r="E251" s="87"/>
      <c r="F251" s="87"/>
      <c r="G251" s="87"/>
      <c r="H251" s="87"/>
      <c r="I251" s="49"/>
      <c r="J251" s="43"/>
      <c r="K251" s="48"/>
      <c r="L251" s="49">
        <f>SUM(BQ52:BQ246)</f>
        <v>0</v>
      </c>
    </row>
    <row r="252" spans="1:12" ht="14.25" hidden="1" x14ac:dyDescent="0.2">
      <c r="A252" s="43"/>
      <c r="B252" s="46"/>
      <c r="C252" s="87" t="s">
        <v>434</v>
      </c>
      <c r="D252" s="87"/>
      <c r="E252" s="87"/>
      <c r="F252" s="87"/>
      <c r="G252" s="87"/>
      <c r="H252" s="87"/>
      <c r="I252" s="49"/>
      <c r="J252" s="43"/>
      <c r="K252" s="48"/>
      <c r="L252" s="49">
        <f>SUMIF(CD52:CD246, 4, BB52:BB246)+SUMIF(CD52:CD246, 4, BC52:BC246)+SUMIF(CD52:CD246, 4, BD52:BD246)</f>
        <v>0</v>
      </c>
    </row>
    <row r="253" spans="1:12" ht="14.25" hidden="1" x14ac:dyDescent="0.2">
      <c r="A253" s="43"/>
      <c r="B253" s="46"/>
      <c r="C253" s="87" t="s">
        <v>435</v>
      </c>
      <c r="D253" s="87"/>
      <c r="E253" s="87"/>
      <c r="F253" s="87"/>
      <c r="G253" s="87"/>
      <c r="H253" s="87"/>
      <c r="I253" s="49"/>
      <c r="J253" s="43"/>
      <c r="K253" s="48"/>
      <c r="L253" s="49">
        <f>SUM(BO52:BO246)</f>
        <v>0</v>
      </c>
    </row>
    <row r="254" spans="1:12" ht="14.25" hidden="1" x14ac:dyDescent="0.2">
      <c r="A254" s="43"/>
      <c r="B254" s="46"/>
      <c r="C254" s="87" t="s">
        <v>436</v>
      </c>
      <c r="D254" s="87"/>
      <c r="E254" s="87"/>
      <c r="F254" s="87"/>
      <c r="G254" s="87"/>
      <c r="H254" s="87"/>
      <c r="I254" s="49"/>
      <c r="J254" s="43"/>
      <c r="K254" s="48"/>
      <c r="L254" s="49">
        <f>L256+L271+L272</f>
        <v>0</v>
      </c>
    </row>
    <row r="255" spans="1:12" ht="14.25" hidden="1" x14ac:dyDescent="0.2">
      <c r="A255" s="43"/>
      <c r="B255" s="46"/>
      <c r="C255" s="92" t="s">
        <v>367</v>
      </c>
      <c r="D255" s="87"/>
      <c r="E255" s="87"/>
      <c r="F255" s="87"/>
      <c r="G255" s="87"/>
      <c r="H255" s="87"/>
      <c r="I255" s="49"/>
      <c r="J255" s="43"/>
      <c r="K255" s="48"/>
      <c r="L255" s="49"/>
    </row>
    <row r="256" spans="1:12" ht="14.25" hidden="1" x14ac:dyDescent="0.2">
      <c r="A256" s="43"/>
      <c r="B256" s="46"/>
      <c r="C256" s="87" t="s">
        <v>425</v>
      </c>
      <c r="D256" s="87"/>
      <c r="E256" s="87"/>
      <c r="F256" s="87"/>
      <c r="G256" s="87"/>
      <c r="H256" s="87"/>
      <c r="I256" s="49"/>
      <c r="J256" s="43"/>
      <c r="K256" s="48"/>
      <c r="L256" s="49">
        <f>L258+L259+L265+L269</f>
        <v>0</v>
      </c>
    </row>
    <row r="257" spans="1:12" ht="14.25" hidden="1" x14ac:dyDescent="0.2">
      <c r="A257" s="43"/>
      <c r="B257" s="46"/>
      <c r="C257" s="92" t="s">
        <v>367</v>
      </c>
      <c r="D257" s="87"/>
      <c r="E257" s="87"/>
      <c r="F257" s="87"/>
      <c r="G257" s="87"/>
      <c r="H257" s="87"/>
      <c r="I257" s="49"/>
      <c r="J257" s="43"/>
      <c r="K257" s="48"/>
      <c r="L257" s="49"/>
    </row>
    <row r="258" spans="1:12" ht="14.25" hidden="1" x14ac:dyDescent="0.2">
      <c r="A258" s="43"/>
      <c r="B258" s="46"/>
      <c r="C258" s="87" t="s">
        <v>426</v>
      </c>
      <c r="D258" s="87"/>
      <c r="E258" s="87"/>
      <c r="F258" s="87"/>
      <c r="G258" s="87"/>
      <c r="H258" s="87"/>
      <c r="I258" s="49"/>
      <c r="J258" s="43"/>
      <c r="K258" s="48"/>
      <c r="L258" s="49">
        <f>SUMIF(CD52:CD246, 4, AR52:AR246)</f>
        <v>0</v>
      </c>
    </row>
    <row r="259" spans="1:12" ht="14.25" hidden="1" x14ac:dyDescent="0.2">
      <c r="A259" s="43"/>
      <c r="B259" s="46"/>
      <c r="C259" s="87" t="s">
        <v>369</v>
      </c>
      <c r="D259" s="87"/>
      <c r="E259" s="87"/>
      <c r="F259" s="87"/>
      <c r="G259" s="87"/>
      <c r="H259" s="87"/>
      <c r="I259" s="49"/>
      <c r="J259" s="43"/>
      <c r="K259" s="48"/>
      <c r="L259" s="49">
        <f>L261+L264+L263</f>
        <v>0</v>
      </c>
    </row>
    <row r="260" spans="1:12" ht="14.25" hidden="1" x14ac:dyDescent="0.2">
      <c r="A260" s="43"/>
      <c r="B260" s="46"/>
      <c r="C260" s="92" t="s">
        <v>370</v>
      </c>
      <c r="D260" s="87"/>
      <c r="E260" s="87"/>
      <c r="F260" s="87"/>
      <c r="G260" s="87"/>
      <c r="H260" s="87"/>
      <c r="I260" s="49"/>
      <c r="J260" s="43"/>
      <c r="K260" s="48"/>
      <c r="L260" s="49"/>
    </row>
    <row r="261" spans="1:12" ht="14.25" hidden="1" x14ac:dyDescent="0.2">
      <c r="A261" s="43"/>
      <c r="B261" s="46"/>
      <c r="C261" s="87" t="s">
        <v>369</v>
      </c>
      <c r="D261" s="87"/>
      <c r="E261" s="87"/>
      <c r="F261" s="87"/>
      <c r="G261" s="87"/>
      <c r="H261" s="87"/>
      <c r="I261" s="49"/>
      <c r="J261" s="43"/>
      <c r="K261" s="48"/>
      <c r="L261" s="49">
        <f>SUMIF(CD52:CD246, 4, AO52:AO246)</f>
        <v>0</v>
      </c>
    </row>
    <row r="262" spans="1:12" ht="14.25" hidden="1" x14ac:dyDescent="0.2">
      <c r="A262" s="43"/>
      <c r="B262" s="46"/>
      <c r="C262" s="92" t="s">
        <v>371</v>
      </c>
      <c r="D262" s="87"/>
      <c r="E262" s="87"/>
      <c r="F262" s="87"/>
      <c r="G262" s="87"/>
      <c r="H262" s="87"/>
      <c r="I262" s="49"/>
      <c r="J262" s="43"/>
      <c r="K262" s="48"/>
      <c r="L262" s="49"/>
    </row>
    <row r="263" spans="1:12" ht="14.25" hidden="1" x14ac:dyDescent="0.2">
      <c r="A263" s="43"/>
      <c r="B263" s="46"/>
      <c r="C263" s="87" t="s">
        <v>391</v>
      </c>
      <c r="D263" s="87"/>
      <c r="E263" s="87"/>
      <c r="F263" s="87"/>
      <c r="G263" s="87"/>
      <c r="H263" s="87"/>
      <c r="I263" s="49"/>
      <c r="J263" s="43"/>
      <c r="K263" s="48"/>
      <c r="L263" s="49">
        <f>SUMIF(CD52:CD246, 4, AT52:AT246)</f>
        <v>0</v>
      </c>
    </row>
    <row r="264" spans="1:12" ht="14.25" hidden="1" x14ac:dyDescent="0.2">
      <c r="A264" s="43"/>
      <c r="B264" s="46"/>
      <c r="C264" s="87" t="s">
        <v>372</v>
      </c>
      <c r="D264" s="87"/>
      <c r="E264" s="87"/>
      <c r="F264" s="87"/>
      <c r="G264" s="87"/>
      <c r="H264" s="87"/>
      <c r="I264" s="49"/>
      <c r="J264" s="43"/>
      <c r="K264" s="48"/>
      <c r="L264" s="49">
        <f>SUMIF(CD52:CD246, 4, AV52:AV246)</f>
        <v>0</v>
      </c>
    </row>
    <row r="265" spans="1:12" ht="14.25" hidden="1" x14ac:dyDescent="0.2">
      <c r="A265" s="43"/>
      <c r="B265" s="46"/>
      <c r="C265" s="87" t="s">
        <v>373</v>
      </c>
      <c r="D265" s="87"/>
      <c r="E265" s="87"/>
      <c r="F265" s="87"/>
      <c r="G265" s="87"/>
      <c r="H265" s="87"/>
      <c r="I265" s="49"/>
      <c r="J265" s="43"/>
      <c r="K265" s="48"/>
      <c r="L265" s="49">
        <f>L267+L268</f>
        <v>0</v>
      </c>
    </row>
    <row r="266" spans="1:12" ht="14.25" hidden="1" x14ac:dyDescent="0.2">
      <c r="A266" s="43"/>
      <c r="B266" s="46"/>
      <c r="C266" s="92" t="s">
        <v>370</v>
      </c>
      <c r="D266" s="87"/>
      <c r="E266" s="87"/>
      <c r="F266" s="87"/>
      <c r="G266" s="87"/>
      <c r="H266" s="87"/>
      <c r="I266" s="49"/>
      <c r="J266" s="43"/>
      <c r="K266" s="48"/>
      <c r="L266" s="49"/>
    </row>
    <row r="267" spans="1:12" ht="14.25" hidden="1" x14ac:dyDescent="0.2">
      <c r="A267" s="43"/>
      <c r="B267" s="46"/>
      <c r="C267" s="87" t="s">
        <v>374</v>
      </c>
      <c r="D267" s="87"/>
      <c r="E267" s="87"/>
      <c r="F267" s="87"/>
      <c r="G267" s="87"/>
      <c r="H267" s="87"/>
      <c r="I267" s="49"/>
      <c r="J267" s="43"/>
      <c r="K267" s="48"/>
      <c r="L267" s="49">
        <f>SUMIF(CD52:CD246, 4, AW52:AW246)-SUMIF(CD52:CD246, 4, BK52:BK246)</f>
        <v>0</v>
      </c>
    </row>
    <row r="268" spans="1:12" ht="14.25" hidden="1" x14ac:dyDescent="0.2">
      <c r="A268" s="43"/>
      <c r="B268" s="46"/>
      <c r="C268" s="87" t="s">
        <v>375</v>
      </c>
      <c r="D268" s="87"/>
      <c r="E268" s="87"/>
      <c r="F268" s="87"/>
      <c r="G268" s="87"/>
      <c r="H268" s="87"/>
      <c r="I268" s="49"/>
      <c r="J268" s="43"/>
      <c r="K268" s="48"/>
      <c r="L268" s="49">
        <f>SUMIF(CD52:CD246, 4, BC52:BC246)</f>
        <v>0</v>
      </c>
    </row>
    <row r="269" spans="1:12" ht="14.25" hidden="1" x14ac:dyDescent="0.2">
      <c r="A269" s="43"/>
      <c r="B269" s="46"/>
      <c r="C269" s="87" t="s">
        <v>376</v>
      </c>
      <c r="D269" s="87"/>
      <c r="E269" s="87"/>
      <c r="F269" s="87"/>
      <c r="G269" s="87"/>
      <c r="H269" s="87"/>
      <c r="I269" s="49"/>
      <c r="J269" s="43"/>
      <c r="K269" s="48"/>
      <c r="L269" s="49">
        <f>SUMIF(CD52:CD246, 4, BB52:BB246)</f>
        <v>0</v>
      </c>
    </row>
    <row r="270" spans="1:12" ht="14.25" hidden="1" x14ac:dyDescent="0.2">
      <c r="A270" s="43"/>
      <c r="B270" s="46"/>
      <c r="C270" s="87" t="s">
        <v>427</v>
      </c>
      <c r="D270" s="87"/>
      <c r="E270" s="87"/>
      <c r="F270" s="87"/>
      <c r="G270" s="87"/>
      <c r="H270" s="87"/>
      <c r="I270" s="49"/>
      <c r="J270" s="43"/>
      <c r="K270" s="48"/>
      <c r="L270" s="49">
        <f>SUMIF(CD52:CD246, 4, AR52:AR246)+SUMIF(CD52:CD246, 4, AT52:AT246)+SUMIF(CD52:CD246, 4, AV52:AV246)</f>
        <v>0</v>
      </c>
    </row>
    <row r="271" spans="1:12" ht="14.25" hidden="1" x14ac:dyDescent="0.2">
      <c r="A271" s="43"/>
      <c r="B271" s="46"/>
      <c r="C271" s="87" t="s">
        <v>428</v>
      </c>
      <c r="D271" s="87"/>
      <c r="E271" s="87"/>
      <c r="F271" s="87"/>
      <c r="G271" s="87"/>
      <c r="H271" s="87"/>
      <c r="I271" s="49"/>
      <c r="J271" s="43"/>
      <c r="K271" s="48"/>
      <c r="L271" s="49">
        <f>SUMIF(CD52:CD246, 4, AZ52:AZ246)</f>
        <v>0</v>
      </c>
    </row>
    <row r="272" spans="1:12" ht="14.25" hidden="1" x14ac:dyDescent="0.2">
      <c r="A272" s="43"/>
      <c r="B272" s="46"/>
      <c r="C272" s="87" t="s">
        <v>429</v>
      </c>
      <c r="D272" s="87"/>
      <c r="E272" s="87"/>
      <c r="F272" s="87"/>
      <c r="G272" s="87"/>
      <c r="H272" s="87"/>
      <c r="I272" s="49"/>
      <c r="J272" s="43"/>
      <c r="K272" s="48"/>
      <c r="L272" s="49">
        <f>SUMIF(CD52:CD246, 4, BA52:BA246)</f>
        <v>0</v>
      </c>
    </row>
    <row r="274" spans="1:12" ht="15" x14ac:dyDescent="0.2">
      <c r="A274" s="50"/>
      <c r="B274" s="51"/>
      <c r="C274" s="90" t="s">
        <v>445</v>
      </c>
      <c r="D274" s="90"/>
      <c r="E274" s="90"/>
      <c r="F274" s="90"/>
      <c r="G274" s="90"/>
      <c r="H274" s="90"/>
      <c r="I274" s="52"/>
      <c r="J274" s="50"/>
      <c r="K274" s="53"/>
      <c r="L274" s="52">
        <f>L203+L223+L243+L248</f>
        <v>59225.200000000004</v>
      </c>
    </row>
    <row r="275" spans="1:12" ht="14.25" x14ac:dyDescent="0.2">
      <c r="A275" s="43"/>
      <c r="B275" s="46"/>
      <c r="C275" s="92" t="s">
        <v>367</v>
      </c>
      <c r="D275" s="87"/>
      <c r="E275" s="87"/>
      <c r="F275" s="87"/>
      <c r="G275" s="87"/>
      <c r="H275" s="87"/>
      <c r="I275" s="49"/>
      <c r="J275" s="43"/>
      <c r="K275" s="48"/>
      <c r="L275" s="49"/>
    </row>
    <row r="276" spans="1:12" ht="14.25" x14ac:dyDescent="0.2">
      <c r="A276" s="43"/>
      <c r="B276" s="46"/>
      <c r="C276" s="87" t="s">
        <v>425</v>
      </c>
      <c r="D276" s="87"/>
      <c r="E276" s="87"/>
      <c r="F276" s="87"/>
      <c r="G276" s="87"/>
      <c r="H276" s="87"/>
      <c r="I276" s="49"/>
      <c r="J276" s="43"/>
      <c r="K276" s="48"/>
      <c r="L276" s="49">
        <f>L278+L279+L285+L289</f>
        <v>49316.7</v>
      </c>
    </row>
    <row r="277" spans="1:12" ht="14.25" x14ac:dyDescent="0.2">
      <c r="A277" s="43"/>
      <c r="B277" s="46"/>
      <c r="C277" s="92" t="s">
        <v>367</v>
      </c>
      <c r="D277" s="87"/>
      <c r="E277" s="87"/>
      <c r="F277" s="87"/>
      <c r="G277" s="87"/>
      <c r="H277" s="87"/>
      <c r="I277" s="49"/>
      <c r="J277" s="43"/>
      <c r="K277" s="48"/>
      <c r="L277" s="49"/>
    </row>
    <row r="278" spans="1:12" ht="14.25" x14ac:dyDescent="0.2">
      <c r="A278" s="43"/>
      <c r="B278" s="46"/>
      <c r="C278" s="87" t="s">
        <v>426</v>
      </c>
      <c r="D278" s="87"/>
      <c r="E278" s="87"/>
      <c r="F278" s="87"/>
      <c r="G278" s="87"/>
      <c r="H278" s="87"/>
      <c r="I278" s="49"/>
      <c r="J278" s="43"/>
      <c r="K278" s="48"/>
      <c r="L278" s="49">
        <f>SUM(AR52:AR272)</f>
        <v>7015.4500000000007</v>
      </c>
    </row>
    <row r="279" spans="1:12" ht="14.25" hidden="1" x14ac:dyDescent="0.2">
      <c r="A279" s="43"/>
      <c r="B279" s="46"/>
      <c r="C279" s="87" t="s">
        <v>369</v>
      </c>
      <c r="D279" s="87"/>
      <c r="E279" s="87"/>
      <c r="F279" s="87"/>
      <c r="G279" s="87"/>
      <c r="H279" s="87"/>
      <c r="I279" s="49"/>
      <c r="J279" s="43"/>
      <c r="K279" s="48"/>
      <c r="L279" s="49">
        <f>L281+L284+L283</f>
        <v>141.28999999999996</v>
      </c>
    </row>
    <row r="280" spans="1:12" ht="14.25" hidden="1" x14ac:dyDescent="0.2">
      <c r="A280" s="43"/>
      <c r="B280" s="46"/>
      <c r="C280" s="92" t="s">
        <v>370</v>
      </c>
      <c r="D280" s="87"/>
      <c r="E280" s="87"/>
      <c r="F280" s="87"/>
      <c r="G280" s="87"/>
      <c r="H280" s="87"/>
      <c r="I280" s="49"/>
      <c r="J280" s="43"/>
      <c r="K280" s="48"/>
      <c r="L280" s="49"/>
    </row>
    <row r="281" spans="1:12" ht="14.25" x14ac:dyDescent="0.2">
      <c r="A281" s="43"/>
      <c r="B281" s="46"/>
      <c r="C281" s="87" t="s">
        <v>369</v>
      </c>
      <c r="D281" s="87"/>
      <c r="E281" s="87"/>
      <c r="F281" s="87"/>
      <c r="G281" s="87"/>
      <c r="H281" s="87"/>
      <c r="I281" s="49"/>
      <c r="J281" s="43"/>
      <c r="K281" s="48"/>
      <c r="L281" s="49">
        <f>SUM(AO52:AO272)</f>
        <v>130.89999999999998</v>
      </c>
    </row>
    <row r="282" spans="1:12" ht="14.25" hidden="1" x14ac:dyDescent="0.2">
      <c r="A282" s="43"/>
      <c r="B282" s="46"/>
      <c r="C282" s="92" t="s">
        <v>371</v>
      </c>
      <c r="D282" s="87"/>
      <c r="E282" s="87"/>
      <c r="F282" s="87"/>
      <c r="G282" s="87"/>
      <c r="H282" s="87"/>
      <c r="I282" s="49"/>
      <c r="J282" s="43"/>
      <c r="K282" s="48"/>
      <c r="L282" s="49"/>
    </row>
    <row r="283" spans="1:12" ht="14.25" x14ac:dyDescent="0.2">
      <c r="A283" s="43"/>
      <c r="B283" s="46"/>
      <c r="C283" s="87" t="s">
        <v>391</v>
      </c>
      <c r="D283" s="87"/>
      <c r="E283" s="87"/>
      <c r="F283" s="87"/>
      <c r="G283" s="87"/>
      <c r="H283" s="87"/>
      <c r="I283" s="49"/>
      <c r="J283" s="43"/>
      <c r="K283" s="48"/>
      <c r="L283" s="49">
        <f>SUM(AT52:AT272)</f>
        <v>10.389999999999999</v>
      </c>
    </row>
    <row r="284" spans="1:12" ht="14.25" hidden="1" x14ac:dyDescent="0.2">
      <c r="A284" s="43"/>
      <c r="B284" s="46"/>
      <c r="C284" s="87" t="s">
        <v>372</v>
      </c>
      <c r="D284" s="87"/>
      <c r="E284" s="87"/>
      <c r="F284" s="87"/>
      <c r="G284" s="87"/>
      <c r="H284" s="87"/>
      <c r="I284" s="49"/>
      <c r="J284" s="43"/>
      <c r="K284" s="48"/>
      <c r="L284" s="49">
        <f>SUM(AV52:AV272)</f>
        <v>0</v>
      </c>
    </row>
    <row r="285" spans="1:12" ht="14.25" x14ac:dyDescent="0.2">
      <c r="A285" s="43"/>
      <c r="B285" s="46"/>
      <c r="C285" s="87" t="s">
        <v>373</v>
      </c>
      <c r="D285" s="87"/>
      <c r="E285" s="87"/>
      <c r="F285" s="87"/>
      <c r="G285" s="87"/>
      <c r="H285" s="87"/>
      <c r="I285" s="49"/>
      <c r="J285" s="43"/>
      <c r="K285" s="48"/>
      <c r="L285" s="49">
        <f>L287+L288</f>
        <v>42159.96</v>
      </c>
    </row>
    <row r="286" spans="1:12" ht="14.25" x14ac:dyDescent="0.2">
      <c r="A286" s="43"/>
      <c r="B286" s="46"/>
      <c r="C286" s="92" t="s">
        <v>370</v>
      </c>
      <c r="D286" s="87"/>
      <c r="E286" s="87"/>
      <c r="F286" s="87"/>
      <c r="G286" s="87"/>
      <c r="H286" s="87"/>
      <c r="I286" s="49"/>
      <c r="J286" s="43"/>
      <c r="K286" s="48"/>
      <c r="L286" s="49"/>
    </row>
    <row r="287" spans="1:12" ht="14.25" x14ac:dyDescent="0.2">
      <c r="A287" s="43"/>
      <c r="B287" s="46"/>
      <c r="C287" s="87" t="s">
        <v>374</v>
      </c>
      <c r="D287" s="87"/>
      <c r="E287" s="87"/>
      <c r="F287" s="87"/>
      <c r="G287" s="87"/>
      <c r="H287" s="87"/>
      <c r="I287" s="49"/>
      <c r="J287" s="43"/>
      <c r="K287" s="48"/>
      <c r="L287" s="49">
        <f>SUM(AW52:AW272)-SUM(BK52:BK272)</f>
        <v>42159.96</v>
      </c>
    </row>
    <row r="288" spans="1:12" ht="14.25" hidden="1" x14ac:dyDescent="0.2">
      <c r="A288" s="43"/>
      <c r="B288" s="46"/>
      <c r="C288" s="87" t="s">
        <v>375</v>
      </c>
      <c r="D288" s="87"/>
      <c r="E288" s="87"/>
      <c r="F288" s="87"/>
      <c r="G288" s="87"/>
      <c r="H288" s="87"/>
      <c r="I288" s="49"/>
      <c r="J288" s="43"/>
      <c r="K288" s="48"/>
      <c r="L288" s="49">
        <f>SUM(BC52:BC272)</f>
        <v>0</v>
      </c>
    </row>
    <row r="289" spans="1:15" ht="14.25" hidden="1" x14ac:dyDescent="0.2">
      <c r="A289" s="43"/>
      <c r="B289" s="46"/>
      <c r="C289" s="87" t="s">
        <v>376</v>
      </c>
      <c r="D289" s="87"/>
      <c r="E289" s="87"/>
      <c r="F289" s="87"/>
      <c r="G289" s="87"/>
      <c r="H289" s="87"/>
      <c r="I289" s="49"/>
      <c r="J289" s="43"/>
      <c r="K289" s="48"/>
      <c r="L289" s="49">
        <f>SUM(BB52:BB272)</f>
        <v>0</v>
      </c>
    </row>
    <row r="290" spans="1:15" ht="14.25" x14ac:dyDescent="0.2">
      <c r="A290" s="43"/>
      <c r="B290" s="46"/>
      <c r="C290" s="87" t="s">
        <v>377</v>
      </c>
      <c r="D290" s="87"/>
      <c r="E290" s="87"/>
      <c r="F290" s="87"/>
      <c r="G290" s="87"/>
      <c r="H290" s="87"/>
      <c r="I290" s="49"/>
      <c r="J290" s="43"/>
      <c r="K290" s="48"/>
      <c r="L290" s="49">
        <f>SUM(AR52:AR272)+SUM(AT52:AT272)+SUM(AV52:AV272)</f>
        <v>7025.8400000000011</v>
      </c>
    </row>
    <row r="291" spans="1:15" ht="14.25" x14ac:dyDescent="0.2">
      <c r="A291" s="43"/>
      <c r="B291" s="46"/>
      <c r="C291" s="87" t="s">
        <v>378</v>
      </c>
      <c r="D291" s="87"/>
      <c r="E291" s="87"/>
      <c r="F291" s="87"/>
      <c r="G291" s="87"/>
      <c r="H291" s="87"/>
      <c r="I291" s="49"/>
      <c r="J291" s="43"/>
      <c r="K291" s="48"/>
      <c r="L291" s="49">
        <f>SUM(AZ52:AZ272)</f>
        <v>6511.1900000000005</v>
      </c>
    </row>
    <row r="292" spans="1:15" ht="14.25" x14ac:dyDescent="0.2">
      <c r="A292" s="43"/>
      <c r="B292" s="46"/>
      <c r="C292" s="87" t="s">
        <v>379</v>
      </c>
      <c r="D292" s="87"/>
      <c r="E292" s="87"/>
      <c r="F292" s="87"/>
      <c r="G292" s="87"/>
      <c r="H292" s="87"/>
      <c r="I292" s="49"/>
      <c r="J292" s="43"/>
      <c r="K292" s="48"/>
      <c r="L292" s="49">
        <f>SUM(BA52:BA272)</f>
        <v>3397.3100000000004</v>
      </c>
    </row>
    <row r="293" spans="1:15" ht="14.25" hidden="1" x14ac:dyDescent="0.2">
      <c r="A293" s="43"/>
      <c r="B293" s="46"/>
      <c r="C293" s="87" t="s">
        <v>437</v>
      </c>
      <c r="D293" s="87"/>
      <c r="E293" s="87"/>
      <c r="F293" s="87"/>
      <c r="G293" s="87"/>
      <c r="H293" s="87"/>
      <c r="I293" s="49"/>
      <c r="J293" s="43"/>
      <c r="K293" s="48"/>
      <c r="L293" s="49">
        <f>L295+L296</f>
        <v>0</v>
      </c>
    </row>
    <row r="294" spans="1:15" ht="14.25" hidden="1" x14ac:dyDescent="0.2">
      <c r="A294" s="43"/>
      <c r="B294" s="46"/>
      <c r="C294" s="92" t="s">
        <v>367</v>
      </c>
      <c r="D294" s="87"/>
      <c r="E294" s="87"/>
      <c r="F294" s="87"/>
      <c r="G294" s="87"/>
      <c r="H294" s="87"/>
      <c r="I294" s="49"/>
      <c r="J294" s="43"/>
      <c r="K294" s="48"/>
      <c r="L294" s="49"/>
    </row>
    <row r="295" spans="1:15" ht="14.25" hidden="1" x14ac:dyDescent="0.2">
      <c r="A295" s="43"/>
      <c r="B295" s="46"/>
      <c r="C295" s="87" t="s">
        <v>381</v>
      </c>
      <c r="D295" s="87"/>
      <c r="E295" s="87"/>
      <c r="F295" s="87"/>
      <c r="G295" s="87"/>
      <c r="H295" s="87"/>
      <c r="I295" s="49"/>
      <c r="J295" s="43"/>
      <c r="K295" s="48"/>
      <c r="L295" s="49">
        <f>SUM(BK52:BK272)</f>
        <v>0</v>
      </c>
    </row>
    <row r="296" spans="1:15" ht="14.25" hidden="1" x14ac:dyDescent="0.2">
      <c r="A296" s="43"/>
      <c r="B296" s="46"/>
      <c r="C296" s="87" t="s">
        <v>382</v>
      </c>
      <c r="D296" s="87"/>
      <c r="E296" s="87"/>
      <c r="F296" s="87"/>
      <c r="G296" s="87"/>
      <c r="H296" s="87"/>
      <c r="I296" s="49"/>
      <c r="J296" s="43"/>
      <c r="K296" s="48"/>
      <c r="L296" s="49">
        <f>SUM(BD52:BD272)</f>
        <v>0</v>
      </c>
    </row>
    <row r="297" spans="1:15" ht="14.25" hidden="1" x14ac:dyDescent="0.2">
      <c r="A297" s="43"/>
      <c r="B297" s="46"/>
      <c r="C297" s="87" t="s">
        <v>438</v>
      </c>
      <c r="D297" s="87"/>
      <c r="E297" s="87"/>
      <c r="F297" s="87"/>
      <c r="G297" s="87"/>
      <c r="H297" s="87"/>
      <c r="I297" s="49"/>
      <c r="J297" s="43"/>
      <c r="K297" s="48"/>
      <c r="L297" s="49">
        <f>L248</f>
        <v>0</v>
      </c>
    </row>
    <row r="298" spans="1:15" ht="14.25" x14ac:dyDescent="0.2">
      <c r="A298" s="43"/>
      <c r="B298" s="46"/>
      <c r="C298" s="47"/>
      <c r="D298" s="47"/>
      <c r="E298" s="47"/>
      <c r="F298" s="47"/>
      <c r="G298" s="47"/>
      <c r="H298" s="47"/>
      <c r="I298" s="49"/>
      <c r="J298" s="43"/>
      <c r="K298" s="48"/>
      <c r="L298" s="49"/>
    </row>
    <row r="299" spans="1:15" ht="14.25" customHeight="1" x14ac:dyDescent="0.2">
      <c r="A299" s="43"/>
      <c r="B299" s="46"/>
      <c r="C299" s="117" t="s">
        <v>448</v>
      </c>
      <c r="D299" s="117"/>
      <c r="E299" s="117"/>
      <c r="F299" s="117"/>
      <c r="G299" s="117"/>
      <c r="H299" s="117"/>
      <c r="I299" s="82"/>
      <c r="J299" s="82"/>
      <c r="K299" s="82"/>
      <c r="L299" s="84">
        <v>63045.23</v>
      </c>
      <c r="M299" s="82"/>
      <c r="N299" s="82"/>
      <c r="O299" s="82"/>
    </row>
    <row r="300" spans="1:15" ht="14.25" customHeight="1" x14ac:dyDescent="0.2">
      <c r="A300" s="43"/>
      <c r="B300" s="46"/>
      <c r="C300" s="117" t="s">
        <v>449</v>
      </c>
      <c r="D300" s="117"/>
      <c r="E300" s="117"/>
      <c r="F300" s="117"/>
      <c r="G300" s="117"/>
      <c r="H300" s="117"/>
      <c r="I300" s="82"/>
      <c r="J300" s="82"/>
      <c r="K300" s="82"/>
      <c r="L300" s="84">
        <v>63328.93</v>
      </c>
      <c r="M300" s="82"/>
      <c r="N300" s="82"/>
      <c r="O300" s="82"/>
    </row>
    <row r="301" spans="1:15" ht="14.25" x14ac:dyDescent="0.2">
      <c r="A301" s="43"/>
      <c r="B301" s="46"/>
      <c r="C301" s="82" t="s">
        <v>447</v>
      </c>
      <c r="D301" s="82"/>
      <c r="E301" s="82"/>
      <c r="F301" s="82"/>
      <c r="G301" s="82"/>
      <c r="H301" s="82"/>
      <c r="I301" s="82"/>
      <c r="J301" s="82"/>
      <c r="K301" s="82"/>
      <c r="L301" s="84">
        <v>13932.36</v>
      </c>
      <c r="M301" s="82"/>
      <c r="N301" s="82"/>
      <c r="O301" s="82"/>
    </row>
    <row r="302" spans="1:15" ht="15" x14ac:dyDescent="0.2">
      <c r="A302" s="43"/>
      <c r="B302" s="46"/>
      <c r="C302" s="83" t="s">
        <v>446</v>
      </c>
      <c r="D302" s="83"/>
      <c r="E302" s="83"/>
      <c r="F302" s="83"/>
      <c r="G302" s="83"/>
      <c r="H302" s="83"/>
      <c r="I302" s="83"/>
      <c r="J302" s="83"/>
      <c r="K302" s="83"/>
      <c r="L302" s="85">
        <v>77261.289999999994</v>
      </c>
      <c r="M302" s="83"/>
      <c r="N302" s="83"/>
      <c r="O302" s="83"/>
    </row>
    <row r="303" spans="1:15" ht="14.25" x14ac:dyDescent="0.2">
      <c r="A303" s="43"/>
      <c r="B303" s="46"/>
      <c r="C303" s="91"/>
      <c r="D303" s="91"/>
      <c r="E303" s="91"/>
      <c r="F303" s="91"/>
      <c r="G303" s="91"/>
      <c r="H303" s="91"/>
      <c r="I303" s="49"/>
      <c r="J303" s="43"/>
      <c r="K303" s="48"/>
      <c r="L303" s="86"/>
    </row>
    <row r="304" spans="1:15" ht="14.25" x14ac:dyDescent="0.2">
      <c r="A304" s="43"/>
      <c r="B304" s="46"/>
      <c r="C304" s="90" t="s">
        <v>386</v>
      </c>
      <c r="D304" s="87"/>
      <c r="E304" s="87"/>
      <c r="F304" s="87"/>
      <c r="G304" s="87"/>
      <c r="H304" s="87"/>
      <c r="I304" s="49"/>
      <c r="J304" s="43"/>
      <c r="K304" s="48"/>
      <c r="L304" s="49"/>
    </row>
    <row r="305" spans="1:12" ht="14.25" hidden="1" x14ac:dyDescent="0.2">
      <c r="A305" s="43"/>
      <c r="B305" s="46"/>
      <c r="C305" s="87" t="s">
        <v>387</v>
      </c>
      <c r="D305" s="87"/>
      <c r="E305" s="87"/>
      <c r="F305" s="87"/>
      <c r="G305" s="87"/>
      <c r="H305" s="87"/>
      <c r="I305" s="49"/>
      <c r="J305" s="43"/>
      <c r="K305" s="48"/>
      <c r="L305" s="49">
        <f>SUM(AX52:AX272)</f>
        <v>0</v>
      </c>
    </row>
    <row r="306" spans="1:12" ht="14.25" hidden="1" x14ac:dyDescent="0.2">
      <c r="A306" s="43"/>
      <c r="B306" s="46"/>
      <c r="C306" s="87" t="s">
        <v>388</v>
      </c>
      <c r="D306" s="87"/>
      <c r="E306" s="87"/>
      <c r="F306" s="87"/>
      <c r="G306" s="87"/>
      <c r="H306" s="87"/>
      <c r="I306" s="49"/>
      <c r="J306" s="43"/>
      <c r="K306" s="48"/>
      <c r="L306" s="49">
        <f>SUM(AY52:AY272)</f>
        <v>0</v>
      </c>
    </row>
    <row r="307" spans="1:12" ht="14.25" x14ac:dyDescent="0.2">
      <c r="A307" s="43"/>
      <c r="B307" s="46"/>
      <c r="C307" s="87" t="s">
        <v>389</v>
      </c>
      <c r="D307" s="87"/>
      <c r="E307" s="87"/>
      <c r="F307" s="88"/>
      <c r="G307" s="55">
        <f>Source!F303</f>
        <v>21.243079999999999</v>
      </c>
      <c r="H307" s="43"/>
      <c r="I307" s="43"/>
      <c r="J307" s="43"/>
      <c r="K307" s="43"/>
      <c r="L307" s="43"/>
    </row>
    <row r="308" spans="1:12" ht="14.25" x14ac:dyDescent="0.2">
      <c r="A308" s="43"/>
      <c r="B308" s="46"/>
      <c r="C308" s="87" t="s">
        <v>390</v>
      </c>
      <c r="D308" s="87"/>
      <c r="E308" s="87"/>
      <c r="F308" s="88"/>
      <c r="G308" s="55">
        <f>Source!F304</f>
        <v>3.0200000000000001E-2</v>
      </c>
      <c r="H308" s="43"/>
      <c r="I308" s="43"/>
      <c r="J308" s="43"/>
      <c r="K308" s="43"/>
      <c r="L308" s="43"/>
    </row>
    <row r="312" spans="1:12" ht="14.25" customHeight="1" x14ac:dyDescent="0.2">
      <c r="A312" s="77"/>
      <c r="B312" s="78" t="s">
        <v>439</v>
      </c>
      <c r="C312" s="80" t="str">
        <f>IF(Source!AC12&lt;&gt;"", Source!AC12," ")</f>
        <v xml:space="preserve"> </v>
      </c>
      <c r="D312" s="36"/>
      <c r="E312" s="36"/>
      <c r="F312" s="36"/>
      <c r="G312" s="36"/>
      <c r="H312" s="79"/>
      <c r="I312" s="26"/>
      <c r="J312" s="26"/>
      <c r="K312" s="40"/>
      <c r="L312" s="40"/>
    </row>
    <row r="313" spans="1:12" ht="14.25" customHeight="1" x14ac:dyDescent="0.2">
      <c r="A313" s="77"/>
      <c r="B313" s="81"/>
      <c r="C313" s="89" t="s">
        <v>440</v>
      </c>
      <c r="D313" s="89"/>
      <c r="E313" s="89"/>
      <c r="F313" s="89"/>
      <c r="G313" s="89"/>
      <c r="H313" s="26"/>
      <c r="I313" s="26"/>
      <c r="J313" s="26"/>
      <c r="K313" s="40"/>
      <c r="L313" s="40"/>
    </row>
    <row r="314" spans="1:12" ht="14.25" customHeight="1" x14ac:dyDescent="0.2">
      <c r="A314" s="77"/>
      <c r="B314" s="81"/>
      <c r="C314" s="22"/>
      <c r="D314" s="22"/>
      <c r="E314" s="22"/>
      <c r="F314" s="22"/>
      <c r="G314" s="22"/>
      <c r="H314" s="26"/>
      <c r="I314" s="26"/>
      <c r="J314" s="26"/>
      <c r="K314" s="40"/>
      <c r="L314" s="40"/>
    </row>
    <row r="315" spans="1:12" ht="14.25" customHeight="1" x14ac:dyDescent="0.2">
      <c r="A315" s="77"/>
      <c r="B315" s="78" t="s">
        <v>441</v>
      </c>
      <c r="C315" s="80" t="str">
        <f>IF(Source!AE12&lt;&gt;"", Source!AE12," ")</f>
        <v xml:space="preserve"> </v>
      </c>
      <c r="D315" s="36"/>
      <c r="E315" s="36"/>
      <c r="F315" s="36"/>
      <c r="G315" s="36"/>
      <c r="H315" s="79"/>
      <c r="I315" s="26"/>
      <c r="J315" s="26"/>
      <c r="K315" s="40"/>
      <c r="L315" s="40"/>
    </row>
    <row r="316" spans="1:12" ht="14.25" customHeight="1" x14ac:dyDescent="0.2">
      <c r="A316" s="22"/>
      <c r="B316" s="22"/>
      <c r="C316" s="89" t="s">
        <v>440</v>
      </c>
      <c r="D316" s="89"/>
      <c r="E316" s="89"/>
      <c r="F316" s="89"/>
      <c r="G316" s="89"/>
      <c r="H316" s="26"/>
      <c r="I316" s="26"/>
      <c r="J316" s="26"/>
      <c r="K316" s="40"/>
      <c r="L316" s="40"/>
    </row>
  </sheetData>
  <mergeCells count="211">
    <mergeCell ref="A2:E2"/>
    <mergeCell ref="F2:L2"/>
    <mergeCell ref="A4:E4"/>
    <mergeCell ref="F4:L4"/>
    <mergeCell ref="A6:E6"/>
    <mergeCell ref="F6:L6"/>
    <mergeCell ref="C299:H299"/>
    <mergeCell ref="C300:H300"/>
    <mergeCell ref="A14:E14"/>
    <mergeCell ref="F14:L14"/>
    <mergeCell ref="A16:E16"/>
    <mergeCell ref="F16:L16"/>
    <mergeCell ref="A19:L19"/>
    <mergeCell ref="A20:L20"/>
    <mergeCell ref="A8:E8"/>
    <mergeCell ref="F8:L8"/>
    <mergeCell ref="A10:E10"/>
    <mergeCell ref="F10:L10"/>
    <mergeCell ref="A12:E12"/>
    <mergeCell ref="F12:L12"/>
    <mergeCell ref="C34:L34"/>
    <mergeCell ref="C38:D38"/>
    <mergeCell ref="C41:D41"/>
    <mergeCell ref="C42:D42"/>
    <mergeCell ref="C43:D43"/>
    <mergeCell ref="C44:D44"/>
    <mergeCell ref="A22:L22"/>
    <mergeCell ref="A23:L23"/>
    <mergeCell ref="A25:L25"/>
    <mergeCell ref="A27:L27"/>
    <mergeCell ref="A28:L28"/>
    <mergeCell ref="C33:L33"/>
    <mergeCell ref="A54:L54"/>
    <mergeCell ref="C66:H66"/>
    <mergeCell ref="I66:J66"/>
    <mergeCell ref="K66:L66"/>
    <mergeCell ref="C81:H81"/>
    <mergeCell ref="I81:J81"/>
    <mergeCell ref="K81:L81"/>
    <mergeCell ref="A46:A50"/>
    <mergeCell ref="B46:B50"/>
    <mergeCell ref="C46:C50"/>
    <mergeCell ref="D46:D50"/>
    <mergeCell ref="E46:G49"/>
    <mergeCell ref="H46:L49"/>
    <mergeCell ref="C94:H94"/>
    <mergeCell ref="I94:J94"/>
    <mergeCell ref="K94:L94"/>
    <mergeCell ref="C96:H96"/>
    <mergeCell ref="I96:J96"/>
    <mergeCell ref="K96:L96"/>
    <mergeCell ref="C83:H83"/>
    <mergeCell ref="I83:J83"/>
    <mergeCell ref="K83:L83"/>
    <mergeCell ref="C92:H92"/>
    <mergeCell ref="I92:J92"/>
    <mergeCell ref="K92:L92"/>
    <mergeCell ref="C112:H112"/>
    <mergeCell ref="I112:J112"/>
    <mergeCell ref="K112:L112"/>
    <mergeCell ref="C131:H131"/>
    <mergeCell ref="I131:J131"/>
    <mergeCell ref="K131:L131"/>
    <mergeCell ref="C98:H98"/>
    <mergeCell ref="I98:J98"/>
    <mergeCell ref="K98:L98"/>
    <mergeCell ref="C100:H100"/>
    <mergeCell ref="I100:J100"/>
    <mergeCell ref="K100:L100"/>
    <mergeCell ref="C152:H152"/>
    <mergeCell ref="I152:J152"/>
    <mergeCell ref="K152:L152"/>
    <mergeCell ref="C167:H167"/>
    <mergeCell ref="I167:J167"/>
    <mergeCell ref="K167:L167"/>
    <mergeCell ref="C134:H134"/>
    <mergeCell ref="I134:J134"/>
    <mergeCell ref="K134:L134"/>
    <mergeCell ref="C136:H136"/>
    <mergeCell ref="I136:J136"/>
    <mergeCell ref="K136:L136"/>
    <mergeCell ref="C175:H175"/>
    <mergeCell ref="C176:H176"/>
    <mergeCell ref="C177:H177"/>
    <mergeCell ref="C178:H178"/>
    <mergeCell ref="C179:H179"/>
    <mergeCell ref="C180:H180"/>
    <mergeCell ref="C169:H169"/>
    <mergeCell ref="C170:H170"/>
    <mergeCell ref="C171:H171"/>
    <mergeCell ref="C172:H172"/>
    <mergeCell ref="C173:H173"/>
    <mergeCell ref="C174:H174"/>
    <mergeCell ref="C187:H187"/>
    <mergeCell ref="C188:H188"/>
    <mergeCell ref="C189:H189"/>
    <mergeCell ref="C190:H190"/>
    <mergeCell ref="C191:H191"/>
    <mergeCell ref="C192:H192"/>
    <mergeCell ref="C181:H181"/>
    <mergeCell ref="C182:H182"/>
    <mergeCell ref="C183:H183"/>
    <mergeCell ref="C184:H184"/>
    <mergeCell ref="C185:H185"/>
    <mergeCell ref="C186:H186"/>
    <mergeCell ref="C201:H201"/>
    <mergeCell ref="C203:H203"/>
    <mergeCell ref="C204:H204"/>
    <mergeCell ref="C205:H205"/>
    <mergeCell ref="C206:H206"/>
    <mergeCell ref="C207:H207"/>
    <mergeCell ref="C193:H193"/>
    <mergeCell ref="C194:H194"/>
    <mergeCell ref="C195:H195"/>
    <mergeCell ref="C196:H196"/>
    <mergeCell ref="C197:F197"/>
    <mergeCell ref="C198:F198"/>
    <mergeCell ref="C214:H214"/>
    <mergeCell ref="C215:H215"/>
    <mergeCell ref="C216:H216"/>
    <mergeCell ref="C217:H217"/>
    <mergeCell ref="C218:H218"/>
    <mergeCell ref="C219:H219"/>
    <mergeCell ref="C208:H208"/>
    <mergeCell ref="C209:H209"/>
    <mergeCell ref="C210:H210"/>
    <mergeCell ref="C211:H211"/>
    <mergeCell ref="C212:H212"/>
    <mergeCell ref="C213:H213"/>
    <mergeCell ref="C227:H227"/>
    <mergeCell ref="C228:H228"/>
    <mergeCell ref="C229:H229"/>
    <mergeCell ref="C230:H230"/>
    <mergeCell ref="C231:H231"/>
    <mergeCell ref="C232:H232"/>
    <mergeCell ref="C220:H220"/>
    <mergeCell ref="C221:H221"/>
    <mergeCell ref="C223:H223"/>
    <mergeCell ref="C224:H224"/>
    <mergeCell ref="C225:H225"/>
    <mergeCell ref="C226:H226"/>
    <mergeCell ref="C239:H239"/>
    <mergeCell ref="C240:H240"/>
    <mergeCell ref="C241:H241"/>
    <mergeCell ref="C243:H243"/>
    <mergeCell ref="C244:H244"/>
    <mergeCell ref="C245:H245"/>
    <mergeCell ref="C233:H233"/>
    <mergeCell ref="C234:H234"/>
    <mergeCell ref="C235:H235"/>
    <mergeCell ref="C236:H236"/>
    <mergeCell ref="C237:H237"/>
    <mergeCell ref="C238:H238"/>
    <mergeCell ref="C253:H253"/>
    <mergeCell ref="C254:H254"/>
    <mergeCell ref="C255:H255"/>
    <mergeCell ref="C256:H256"/>
    <mergeCell ref="C257:H257"/>
    <mergeCell ref="C258:H258"/>
    <mergeCell ref="C246:H246"/>
    <mergeCell ref="C248:H248"/>
    <mergeCell ref="C249:H249"/>
    <mergeCell ref="C250:H250"/>
    <mergeCell ref="C251:H251"/>
    <mergeCell ref="C252:H252"/>
    <mergeCell ref="C265:H265"/>
    <mergeCell ref="C266:H266"/>
    <mergeCell ref="C267:H267"/>
    <mergeCell ref="C268:H268"/>
    <mergeCell ref="C269:H269"/>
    <mergeCell ref="C270:H270"/>
    <mergeCell ref="C259:H259"/>
    <mergeCell ref="C260:H260"/>
    <mergeCell ref="C261:H261"/>
    <mergeCell ref="C262:H262"/>
    <mergeCell ref="C263:H263"/>
    <mergeCell ref="C264:H264"/>
    <mergeCell ref="C278:H278"/>
    <mergeCell ref="C279:H279"/>
    <mergeCell ref="C280:H280"/>
    <mergeCell ref="C281:H281"/>
    <mergeCell ref="C282:H282"/>
    <mergeCell ref="C283:H283"/>
    <mergeCell ref="C271:H271"/>
    <mergeCell ref="C272:H272"/>
    <mergeCell ref="C274:H274"/>
    <mergeCell ref="C275:H275"/>
    <mergeCell ref="C276:H276"/>
    <mergeCell ref="C277:H277"/>
    <mergeCell ref="C290:H290"/>
    <mergeCell ref="C291:H291"/>
    <mergeCell ref="C292:H292"/>
    <mergeCell ref="C293:H293"/>
    <mergeCell ref="C294:H294"/>
    <mergeCell ref="C295:H295"/>
    <mergeCell ref="C284:H284"/>
    <mergeCell ref="C285:H285"/>
    <mergeCell ref="C286:H286"/>
    <mergeCell ref="C287:H287"/>
    <mergeCell ref="C288:H288"/>
    <mergeCell ref="C289:H289"/>
    <mergeCell ref="C308:F308"/>
    <mergeCell ref="C313:G313"/>
    <mergeCell ref="C316:G316"/>
    <mergeCell ref="C296:H296"/>
    <mergeCell ref="C297:H297"/>
    <mergeCell ref="C304:H304"/>
    <mergeCell ref="C305:H305"/>
    <mergeCell ref="C306:H306"/>
    <mergeCell ref="C307:F307"/>
    <mergeCell ref="C303:H303"/>
  </mergeCells>
  <pageMargins left="0.4" right="0.2" top="0.4" bottom="0.4" header="0.2" footer="0.2"/>
  <pageSetup paperSize="9" scale="70" fitToHeight="0" orientation="landscape" verticalDpi="0" r:id="rId1"/>
  <headerFooter>
    <oddHeader>&amp;L&amp;8Федеральное государственное бюджетное образовательное учреждение высшего образования "Орловский государственный институт культуры"  Доп. раб. место  FStS-0042245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76"/>
  <sheetViews>
    <sheetView workbookViewId="0">
      <selection activeCell="A372" sqref="A372:AN372"/>
    </sheetView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42245</v>
      </c>
      <c r="M1">
        <v>10</v>
      </c>
      <c r="N1">
        <v>12</v>
      </c>
      <c r="O1">
        <v>1</v>
      </c>
      <c r="P1">
        <v>0</v>
      </c>
      <c r="Q1">
        <v>4</v>
      </c>
    </row>
    <row r="12" spans="1:133" x14ac:dyDescent="0.2">
      <c r="A12" s="1">
        <v>1</v>
      </c>
      <c r="B12" s="1">
        <v>370</v>
      </c>
      <c r="C12" s="1">
        <v>0</v>
      </c>
      <c r="D12" s="1">
        <f>ROW(A313)</f>
        <v>313</v>
      </c>
      <c r="E12" s="1">
        <v>0</v>
      </c>
      <c r="F12" s="1" t="s">
        <v>4</v>
      </c>
      <c r="G12" s="1" t="s">
        <v>5</v>
      </c>
      <c r="H12" s="1" t="s">
        <v>6</v>
      </c>
      <c r="I12" s="1">
        <v>0</v>
      </c>
      <c r="J12" s="1" t="s">
        <v>6</v>
      </c>
      <c r="K12" s="1">
        <v>0</v>
      </c>
      <c r="L12" s="1">
        <v>0</v>
      </c>
      <c r="M12" s="1">
        <v>131595</v>
      </c>
      <c r="N12" s="1"/>
      <c r="O12" s="1">
        <v>0</v>
      </c>
      <c r="P12" s="1">
        <v>0</v>
      </c>
      <c r="Q12" s="1">
        <v>7</v>
      </c>
      <c r="R12" s="1">
        <v>0</v>
      </c>
      <c r="S12" s="1"/>
      <c r="T12" s="1">
        <v>4</v>
      </c>
      <c r="U12" s="1" t="s">
        <v>6</v>
      </c>
      <c r="V12" s="1">
        <v>0</v>
      </c>
      <c r="W12" s="1" t="s">
        <v>6</v>
      </c>
      <c r="X12" s="1" t="s">
        <v>6</v>
      </c>
      <c r="Y12" s="1" t="s">
        <v>6</v>
      </c>
      <c r="Z12" s="1" t="s">
        <v>6</v>
      </c>
      <c r="AA12" s="1" t="s">
        <v>6</v>
      </c>
      <c r="AB12" s="1" t="s">
        <v>7</v>
      </c>
      <c r="AC12" s="1" t="s">
        <v>6</v>
      </c>
      <c r="AD12" s="1" t="s">
        <v>8</v>
      </c>
      <c r="AE12" s="1" t="s">
        <v>6</v>
      </c>
      <c r="AF12" s="1" t="s">
        <v>6</v>
      </c>
      <c r="AG12" s="1" t="s">
        <v>6</v>
      </c>
      <c r="AH12" s="1" t="s">
        <v>6</v>
      </c>
      <c r="AI12" s="1" t="s">
        <v>6</v>
      </c>
      <c r="AJ12" s="1" t="s">
        <v>6</v>
      </c>
      <c r="AK12" s="1"/>
      <c r="AL12" s="1" t="s">
        <v>6</v>
      </c>
      <c r="AM12" s="1" t="s">
        <v>6</v>
      </c>
      <c r="AN12" s="1" t="s">
        <v>6</v>
      </c>
      <c r="AO12" s="1"/>
      <c r="AP12" s="1" t="s">
        <v>6</v>
      </c>
      <c r="AQ12" s="1" t="s">
        <v>6</v>
      </c>
      <c r="AR12" s="1" t="s">
        <v>6</v>
      </c>
      <c r="AS12" s="1"/>
      <c r="AT12" s="1"/>
      <c r="AU12" s="1"/>
      <c r="AV12" s="1"/>
      <c r="AW12" s="1"/>
      <c r="AX12" s="1" t="s">
        <v>6</v>
      </c>
      <c r="AY12" s="1" t="s">
        <v>6</v>
      </c>
      <c r="AZ12" s="1" t="s">
        <v>6</v>
      </c>
      <c r="BA12" s="1"/>
      <c r="BB12" s="1">
        <v>2</v>
      </c>
      <c r="BC12" s="1"/>
      <c r="BD12" s="1"/>
      <c r="BE12" s="1"/>
      <c r="BF12" s="1"/>
      <c r="BG12" s="1"/>
      <c r="BH12" s="1" t="s">
        <v>9</v>
      </c>
      <c r="BI12" s="1" t="s">
        <v>10</v>
      </c>
      <c r="BJ12" s="1">
        <v>1</v>
      </c>
      <c r="BK12" s="1">
        <v>1</v>
      </c>
      <c r="BL12" s="1">
        <v>0</v>
      </c>
      <c r="BM12" s="1">
        <v>0</v>
      </c>
      <c r="BN12" s="1">
        <v>0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1</v>
      </c>
      <c r="BW12" s="1">
        <v>0</v>
      </c>
      <c r="BX12" s="1">
        <v>0</v>
      </c>
      <c r="BY12" s="1" t="s">
        <v>11</v>
      </c>
      <c r="BZ12" s="1" t="s">
        <v>12</v>
      </c>
      <c r="CA12" s="1" t="s">
        <v>13</v>
      </c>
      <c r="CB12" s="1" t="s">
        <v>13</v>
      </c>
      <c r="CC12" s="1" t="s">
        <v>13</v>
      </c>
      <c r="CD12" s="1" t="s">
        <v>13</v>
      </c>
      <c r="CE12" s="1" t="s">
        <v>14</v>
      </c>
      <c r="CF12" s="1">
        <v>0</v>
      </c>
      <c r="CG12" s="1">
        <v>0</v>
      </c>
      <c r="CH12" s="1">
        <v>489201672</v>
      </c>
      <c r="CI12" s="1" t="s">
        <v>6</v>
      </c>
      <c r="CJ12" s="1" t="s">
        <v>6</v>
      </c>
      <c r="CK12" s="1">
        <v>14</v>
      </c>
      <c r="CL12" s="1"/>
      <c r="CM12" s="1"/>
      <c r="CN12" s="1"/>
      <c r="CO12" s="1"/>
      <c r="CP12" s="1"/>
      <c r="CQ12" s="1" t="s">
        <v>15</v>
      </c>
      <c r="CR12" s="1" t="s">
        <v>16</v>
      </c>
      <c r="CS12" s="1">
        <v>45796</v>
      </c>
      <c r="CT12" s="1">
        <v>533</v>
      </c>
      <c r="CU12" s="1">
        <v>14</v>
      </c>
      <c r="CV12" s="1" t="s">
        <v>322</v>
      </c>
      <c r="CW12" s="1"/>
      <c r="CX12" s="1"/>
      <c r="CY12" s="1">
        <v>0</v>
      </c>
      <c r="CZ12" s="1" t="s">
        <v>6</v>
      </c>
      <c r="DA12" s="1" t="s">
        <v>6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 x14ac:dyDescent="0.2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06" x14ac:dyDescent="0.2">
      <c r="A18" s="2">
        <v>52</v>
      </c>
      <c r="B18" s="2">
        <f t="shared" ref="B18:G18" si="0">B313</f>
        <v>370</v>
      </c>
      <c r="C18" s="2">
        <f t="shared" si="0"/>
        <v>1</v>
      </c>
      <c r="D18" s="2">
        <f t="shared" si="0"/>
        <v>12</v>
      </c>
      <c r="E18" s="2">
        <f t="shared" si="0"/>
        <v>0</v>
      </c>
      <c r="F18" s="2" t="str">
        <f t="shared" si="0"/>
        <v>ЛСР02-01-06_(Копия)</v>
      </c>
      <c r="G18" s="2" t="str">
        <f t="shared" si="0"/>
        <v>02-01-06 Электрика костюм.</v>
      </c>
      <c r="H18" s="2"/>
      <c r="I18" s="2"/>
      <c r="J18" s="2"/>
      <c r="K18" s="2"/>
      <c r="L18" s="2"/>
      <c r="M18" s="2"/>
      <c r="N18" s="2"/>
      <c r="O18" s="2">
        <f t="shared" ref="O18:AT18" si="1">O313</f>
        <v>49316.7</v>
      </c>
      <c r="P18" s="2">
        <f t="shared" si="1"/>
        <v>42159.96</v>
      </c>
      <c r="Q18" s="2">
        <f t="shared" si="1"/>
        <v>130.9</v>
      </c>
      <c r="R18" s="2">
        <f t="shared" si="1"/>
        <v>10.39</v>
      </c>
      <c r="S18" s="2">
        <f t="shared" si="1"/>
        <v>7015.45</v>
      </c>
      <c r="T18" s="2">
        <f t="shared" si="1"/>
        <v>0</v>
      </c>
      <c r="U18" s="2">
        <f t="shared" si="1"/>
        <v>21.243079999999999</v>
      </c>
      <c r="V18" s="2">
        <f t="shared" si="1"/>
        <v>3.0199999999999998E-2</v>
      </c>
      <c r="W18" s="2">
        <f t="shared" si="1"/>
        <v>0</v>
      </c>
      <c r="X18" s="2">
        <f t="shared" si="1"/>
        <v>6511.19</v>
      </c>
      <c r="Y18" s="2">
        <f t="shared" si="1"/>
        <v>3397.31</v>
      </c>
      <c r="Z18" s="2">
        <f t="shared" si="1"/>
        <v>0</v>
      </c>
      <c r="AA18" s="2">
        <f t="shared" si="1"/>
        <v>0</v>
      </c>
      <c r="AB18" s="2">
        <f t="shared" si="1"/>
        <v>0</v>
      </c>
      <c r="AC18" s="2">
        <f t="shared" si="1"/>
        <v>0</v>
      </c>
      <c r="AD18" s="2">
        <f t="shared" si="1"/>
        <v>0</v>
      </c>
      <c r="AE18" s="2">
        <f t="shared" si="1"/>
        <v>0</v>
      </c>
      <c r="AF18" s="2">
        <f t="shared" si="1"/>
        <v>0</v>
      </c>
      <c r="AG18" s="2">
        <f t="shared" si="1"/>
        <v>0</v>
      </c>
      <c r="AH18" s="2">
        <f t="shared" si="1"/>
        <v>0</v>
      </c>
      <c r="AI18" s="2">
        <f t="shared" si="1"/>
        <v>0</v>
      </c>
      <c r="AJ18" s="2">
        <f t="shared" si="1"/>
        <v>0</v>
      </c>
      <c r="AK18" s="2">
        <f t="shared" si="1"/>
        <v>0</v>
      </c>
      <c r="AL18" s="2">
        <f t="shared" si="1"/>
        <v>0</v>
      </c>
      <c r="AM18" s="2">
        <f t="shared" si="1"/>
        <v>0</v>
      </c>
      <c r="AN18" s="2">
        <f t="shared" si="1"/>
        <v>0</v>
      </c>
      <c r="AO18" s="2">
        <f t="shared" si="1"/>
        <v>0</v>
      </c>
      <c r="AP18" s="2">
        <f t="shared" si="1"/>
        <v>0</v>
      </c>
      <c r="AQ18" s="2">
        <f t="shared" si="1"/>
        <v>0</v>
      </c>
      <c r="AR18" s="2">
        <f t="shared" si="1"/>
        <v>59225.2</v>
      </c>
      <c r="AS18" s="2">
        <f t="shared" si="1"/>
        <v>3029.44</v>
      </c>
      <c r="AT18" s="2">
        <f t="shared" si="1"/>
        <v>56195.76</v>
      </c>
      <c r="AU18" s="2">
        <f t="shared" ref="AU18:BZ18" si="2">AU313</f>
        <v>0</v>
      </c>
      <c r="AV18" s="2">
        <f t="shared" si="2"/>
        <v>42159.96</v>
      </c>
      <c r="AW18" s="2">
        <f t="shared" si="2"/>
        <v>42159.96</v>
      </c>
      <c r="AX18" s="2">
        <f t="shared" si="2"/>
        <v>0</v>
      </c>
      <c r="AY18" s="2">
        <f t="shared" si="2"/>
        <v>42159.96</v>
      </c>
      <c r="AZ18" s="2">
        <f t="shared" si="2"/>
        <v>0</v>
      </c>
      <c r="BA18" s="2">
        <f t="shared" si="2"/>
        <v>0</v>
      </c>
      <c r="BB18" s="2">
        <f t="shared" si="2"/>
        <v>0</v>
      </c>
      <c r="BC18" s="2">
        <f t="shared" si="2"/>
        <v>0</v>
      </c>
      <c r="BD18" s="2">
        <f t="shared" si="2"/>
        <v>0</v>
      </c>
      <c r="BE18" s="2">
        <f t="shared" si="2"/>
        <v>0</v>
      </c>
      <c r="BF18" s="2">
        <f t="shared" si="2"/>
        <v>0</v>
      </c>
      <c r="BG18" s="2">
        <f t="shared" si="2"/>
        <v>0</v>
      </c>
      <c r="BH18" s="2">
        <f t="shared" si="2"/>
        <v>0</v>
      </c>
      <c r="BI18" s="2">
        <f t="shared" si="2"/>
        <v>0</v>
      </c>
      <c r="BJ18" s="2">
        <f t="shared" si="2"/>
        <v>0</v>
      </c>
      <c r="BK18" s="2">
        <f t="shared" si="2"/>
        <v>0</v>
      </c>
      <c r="BL18" s="2">
        <f t="shared" si="2"/>
        <v>0</v>
      </c>
      <c r="BM18" s="2">
        <f t="shared" si="2"/>
        <v>0</v>
      </c>
      <c r="BN18" s="2">
        <f t="shared" si="2"/>
        <v>0</v>
      </c>
      <c r="BO18" s="2">
        <f t="shared" si="2"/>
        <v>0</v>
      </c>
      <c r="BP18" s="2">
        <f t="shared" si="2"/>
        <v>0</v>
      </c>
      <c r="BQ18" s="2">
        <f t="shared" si="2"/>
        <v>0</v>
      </c>
      <c r="BR18" s="2">
        <f t="shared" si="2"/>
        <v>0</v>
      </c>
      <c r="BS18" s="2">
        <f t="shared" si="2"/>
        <v>0</v>
      </c>
      <c r="BT18" s="2">
        <f t="shared" si="2"/>
        <v>0</v>
      </c>
      <c r="BU18" s="2">
        <f t="shared" si="2"/>
        <v>0</v>
      </c>
      <c r="BV18" s="2">
        <f t="shared" si="2"/>
        <v>0</v>
      </c>
      <c r="BW18" s="2">
        <f t="shared" si="2"/>
        <v>0</v>
      </c>
      <c r="BX18" s="2">
        <f t="shared" si="2"/>
        <v>0</v>
      </c>
      <c r="BY18" s="2">
        <f t="shared" si="2"/>
        <v>0</v>
      </c>
      <c r="BZ18" s="2">
        <f t="shared" si="2"/>
        <v>0</v>
      </c>
      <c r="CA18" s="2">
        <f t="shared" ref="CA18:DF18" si="3">CA313</f>
        <v>0</v>
      </c>
      <c r="CB18" s="2">
        <f t="shared" si="3"/>
        <v>0</v>
      </c>
      <c r="CC18" s="2">
        <f t="shared" si="3"/>
        <v>0</v>
      </c>
      <c r="CD18" s="2">
        <f t="shared" si="3"/>
        <v>0</v>
      </c>
      <c r="CE18" s="2">
        <f t="shared" si="3"/>
        <v>0</v>
      </c>
      <c r="CF18" s="2">
        <f t="shared" si="3"/>
        <v>0</v>
      </c>
      <c r="CG18" s="2">
        <f t="shared" si="3"/>
        <v>0</v>
      </c>
      <c r="CH18" s="2">
        <f t="shared" si="3"/>
        <v>0</v>
      </c>
      <c r="CI18" s="2">
        <f t="shared" si="3"/>
        <v>0</v>
      </c>
      <c r="CJ18" s="2">
        <f t="shared" si="3"/>
        <v>0</v>
      </c>
      <c r="CK18" s="2">
        <f t="shared" si="3"/>
        <v>0</v>
      </c>
      <c r="CL18" s="2">
        <f t="shared" si="3"/>
        <v>0</v>
      </c>
      <c r="CM18" s="2">
        <f t="shared" si="3"/>
        <v>0</v>
      </c>
      <c r="CN18" s="2">
        <f t="shared" si="3"/>
        <v>0</v>
      </c>
      <c r="CO18" s="2">
        <f t="shared" si="3"/>
        <v>0</v>
      </c>
      <c r="CP18" s="2">
        <f t="shared" si="3"/>
        <v>0</v>
      </c>
      <c r="CQ18" s="2">
        <f t="shared" si="3"/>
        <v>0</v>
      </c>
      <c r="CR18" s="2">
        <f t="shared" si="3"/>
        <v>0</v>
      </c>
      <c r="CS18" s="2">
        <f t="shared" si="3"/>
        <v>0</v>
      </c>
      <c r="CT18" s="2">
        <f t="shared" si="3"/>
        <v>0</v>
      </c>
      <c r="CU18" s="2">
        <f t="shared" si="3"/>
        <v>0</v>
      </c>
      <c r="CV18" s="2">
        <f t="shared" si="3"/>
        <v>0</v>
      </c>
      <c r="CW18" s="2">
        <f t="shared" si="3"/>
        <v>0</v>
      </c>
      <c r="CX18" s="2">
        <f t="shared" si="3"/>
        <v>0</v>
      </c>
      <c r="CY18" s="2">
        <f t="shared" si="3"/>
        <v>0</v>
      </c>
      <c r="CZ18" s="2">
        <f t="shared" si="3"/>
        <v>0</v>
      </c>
      <c r="DA18" s="2">
        <f t="shared" si="3"/>
        <v>0</v>
      </c>
      <c r="DB18" s="2">
        <f t="shared" si="3"/>
        <v>0</v>
      </c>
      <c r="DC18" s="2">
        <f t="shared" si="3"/>
        <v>0</v>
      </c>
      <c r="DD18" s="2">
        <f t="shared" si="3"/>
        <v>0</v>
      </c>
      <c r="DE18" s="2">
        <f t="shared" si="3"/>
        <v>0</v>
      </c>
      <c r="DF18" s="2">
        <f t="shared" si="3"/>
        <v>0</v>
      </c>
      <c r="DG18" s="3">
        <f t="shared" ref="DG18:EL18" si="4">DG313</f>
        <v>0</v>
      </c>
      <c r="DH18" s="3">
        <f t="shared" si="4"/>
        <v>0</v>
      </c>
      <c r="DI18" s="3">
        <f t="shared" si="4"/>
        <v>0</v>
      </c>
      <c r="DJ18" s="3">
        <f t="shared" si="4"/>
        <v>0</v>
      </c>
      <c r="DK18" s="3">
        <f t="shared" si="4"/>
        <v>0</v>
      </c>
      <c r="DL18" s="3">
        <f t="shared" si="4"/>
        <v>0</v>
      </c>
      <c r="DM18" s="3">
        <f t="shared" si="4"/>
        <v>0</v>
      </c>
      <c r="DN18" s="3">
        <f t="shared" si="4"/>
        <v>0</v>
      </c>
      <c r="DO18" s="3">
        <f t="shared" si="4"/>
        <v>0</v>
      </c>
      <c r="DP18" s="3">
        <f t="shared" si="4"/>
        <v>0</v>
      </c>
      <c r="DQ18" s="3">
        <f t="shared" si="4"/>
        <v>0</v>
      </c>
      <c r="DR18" s="3">
        <f t="shared" si="4"/>
        <v>0</v>
      </c>
      <c r="DS18" s="3">
        <f t="shared" si="4"/>
        <v>0</v>
      </c>
      <c r="DT18" s="3">
        <f t="shared" si="4"/>
        <v>0</v>
      </c>
      <c r="DU18" s="3">
        <f t="shared" si="4"/>
        <v>0</v>
      </c>
      <c r="DV18" s="3">
        <f t="shared" si="4"/>
        <v>0</v>
      </c>
      <c r="DW18" s="3">
        <f t="shared" si="4"/>
        <v>0</v>
      </c>
      <c r="DX18" s="3">
        <f t="shared" si="4"/>
        <v>0</v>
      </c>
      <c r="DY18" s="3">
        <f t="shared" si="4"/>
        <v>0</v>
      </c>
      <c r="DZ18" s="3">
        <f t="shared" si="4"/>
        <v>0</v>
      </c>
      <c r="EA18" s="3">
        <f t="shared" si="4"/>
        <v>0</v>
      </c>
      <c r="EB18" s="3">
        <f t="shared" si="4"/>
        <v>0</v>
      </c>
      <c r="EC18" s="3">
        <f t="shared" si="4"/>
        <v>0</v>
      </c>
      <c r="ED18" s="3">
        <f t="shared" si="4"/>
        <v>0</v>
      </c>
      <c r="EE18" s="3">
        <f t="shared" si="4"/>
        <v>0</v>
      </c>
      <c r="EF18" s="3">
        <f t="shared" si="4"/>
        <v>0</v>
      </c>
      <c r="EG18" s="3">
        <f t="shared" si="4"/>
        <v>0</v>
      </c>
      <c r="EH18" s="3">
        <f t="shared" si="4"/>
        <v>0</v>
      </c>
      <c r="EI18" s="3">
        <f t="shared" si="4"/>
        <v>0</v>
      </c>
      <c r="EJ18" s="3">
        <f t="shared" si="4"/>
        <v>0</v>
      </c>
      <c r="EK18" s="3">
        <f t="shared" si="4"/>
        <v>0</v>
      </c>
      <c r="EL18" s="3">
        <f t="shared" si="4"/>
        <v>0</v>
      </c>
      <c r="EM18" s="3">
        <f t="shared" ref="EM18:FR18" si="5">EM313</f>
        <v>0</v>
      </c>
      <c r="EN18" s="3">
        <f t="shared" si="5"/>
        <v>0</v>
      </c>
      <c r="EO18" s="3">
        <f t="shared" si="5"/>
        <v>0</v>
      </c>
      <c r="EP18" s="3">
        <f t="shared" si="5"/>
        <v>0</v>
      </c>
      <c r="EQ18" s="3">
        <f t="shared" si="5"/>
        <v>0</v>
      </c>
      <c r="ER18" s="3">
        <f t="shared" si="5"/>
        <v>0</v>
      </c>
      <c r="ES18" s="3">
        <f t="shared" si="5"/>
        <v>0</v>
      </c>
      <c r="ET18" s="3">
        <f t="shared" si="5"/>
        <v>0</v>
      </c>
      <c r="EU18" s="3">
        <f t="shared" si="5"/>
        <v>0</v>
      </c>
      <c r="EV18" s="3">
        <f t="shared" si="5"/>
        <v>0</v>
      </c>
      <c r="EW18" s="3">
        <f t="shared" si="5"/>
        <v>0</v>
      </c>
      <c r="EX18" s="3">
        <f t="shared" si="5"/>
        <v>0</v>
      </c>
      <c r="EY18" s="3">
        <f t="shared" si="5"/>
        <v>0</v>
      </c>
      <c r="EZ18" s="3">
        <f t="shared" si="5"/>
        <v>0</v>
      </c>
      <c r="FA18" s="3">
        <f t="shared" si="5"/>
        <v>0</v>
      </c>
      <c r="FB18" s="3">
        <f t="shared" si="5"/>
        <v>0</v>
      </c>
      <c r="FC18" s="3">
        <f t="shared" si="5"/>
        <v>0</v>
      </c>
      <c r="FD18" s="3">
        <f t="shared" si="5"/>
        <v>0</v>
      </c>
      <c r="FE18" s="3">
        <f t="shared" si="5"/>
        <v>0</v>
      </c>
      <c r="FF18" s="3">
        <f t="shared" si="5"/>
        <v>0</v>
      </c>
      <c r="FG18" s="3">
        <f t="shared" si="5"/>
        <v>0</v>
      </c>
      <c r="FH18" s="3">
        <f t="shared" si="5"/>
        <v>0</v>
      </c>
      <c r="FI18" s="3">
        <f t="shared" si="5"/>
        <v>0</v>
      </c>
      <c r="FJ18" s="3">
        <f t="shared" si="5"/>
        <v>0</v>
      </c>
      <c r="FK18" s="3">
        <f t="shared" si="5"/>
        <v>0</v>
      </c>
      <c r="FL18" s="3">
        <f t="shared" si="5"/>
        <v>0</v>
      </c>
      <c r="FM18" s="3">
        <f t="shared" si="5"/>
        <v>0</v>
      </c>
      <c r="FN18" s="3">
        <f t="shared" si="5"/>
        <v>0</v>
      </c>
      <c r="FO18" s="3">
        <f t="shared" si="5"/>
        <v>0</v>
      </c>
      <c r="FP18" s="3">
        <f t="shared" si="5"/>
        <v>0</v>
      </c>
      <c r="FQ18" s="3">
        <f t="shared" si="5"/>
        <v>0</v>
      </c>
      <c r="FR18" s="3">
        <f t="shared" si="5"/>
        <v>0</v>
      </c>
      <c r="FS18" s="3">
        <f t="shared" ref="FS18:GX18" si="6">FS313</f>
        <v>0</v>
      </c>
      <c r="FT18" s="3">
        <f t="shared" si="6"/>
        <v>0</v>
      </c>
      <c r="FU18" s="3">
        <f t="shared" si="6"/>
        <v>0</v>
      </c>
      <c r="FV18" s="3">
        <f t="shared" si="6"/>
        <v>0</v>
      </c>
      <c r="FW18" s="3">
        <f t="shared" si="6"/>
        <v>0</v>
      </c>
      <c r="FX18" s="3">
        <f t="shared" si="6"/>
        <v>0</v>
      </c>
      <c r="FY18" s="3">
        <f t="shared" si="6"/>
        <v>0</v>
      </c>
      <c r="FZ18" s="3">
        <f t="shared" si="6"/>
        <v>0</v>
      </c>
      <c r="GA18" s="3">
        <f t="shared" si="6"/>
        <v>0</v>
      </c>
      <c r="GB18" s="3">
        <f t="shared" si="6"/>
        <v>0</v>
      </c>
      <c r="GC18" s="3">
        <f t="shared" si="6"/>
        <v>0</v>
      </c>
      <c r="GD18" s="3">
        <f t="shared" si="6"/>
        <v>0</v>
      </c>
      <c r="GE18" s="3">
        <f t="shared" si="6"/>
        <v>0</v>
      </c>
      <c r="GF18" s="3">
        <f t="shared" si="6"/>
        <v>0</v>
      </c>
      <c r="GG18" s="3">
        <f t="shared" si="6"/>
        <v>0</v>
      </c>
      <c r="GH18" s="3">
        <f t="shared" si="6"/>
        <v>0</v>
      </c>
      <c r="GI18" s="3">
        <f t="shared" si="6"/>
        <v>0</v>
      </c>
      <c r="GJ18" s="3">
        <f t="shared" si="6"/>
        <v>0</v>
      </c>
      <c r="GK18" s="3">
        <f t="shared" si="6"/>
        <v>0</v>
      </c>
      <c r="GL18" s="3">
        <f t="shared" si="6"/>
        <v>0</v>
      </c>
      <c r="GM18" s="3">
        <f t="shared" si="6"/>
        <v>0</v>
      </c>
      <c r="GN18" s="3">
        <f t="shared" si="6"/>
        <v>0</v>
      </c>
      <c r="GO18" s="3">
        <f t="shared" si="6"/>
        <v>0</v>
      </c>
      <c r="GP18" s="3">
        <f t="shared" si="6"/>
        <v>0</v>
      </c>
      <c r="GQ18" s="3">
        <f t="shared" si="6"/>
        <v>0</v>
      </c>
      <c r="GR18" s="3">
        <f t="shared" si="6"/>
        <v>0</v>
      </c>
      <c r="GS18" s="3">
        <f t="shared" si="6"/>
        <v>0</v>
      </c>
      <c r="GT18" s="3">
        <f t="shared" si="6"/>
        <v>0</v>
      </c>
      <c r="GU18" s="3">
        <f t="shared" si="6"/>
        <v>0</v>
      </c>
      <c r="GV18" s="3">
        <f t="shared" si="6"/>
        <v>0</v>
      </c>
      <c r="GW18" s="3">
        <f t="shared" si="6"/>
        <v>0</v>
      </c>
      <c r="GX18" s="3">
        <f t="shared" si="6"/>
        <v>0</v>
      </c>
    </row>
    <row r="20" spans="1:206" x14ac:dyDescent="0.2">
      <c r="A20" s="1">
        <v>3</v>
      </c>
      <c r="B20" s="1">
        <v>1</v>
      </c>
      <c r="C20" s="1"/>
      <c r="D20" s="1">
        <f>ROW(A281)</f>
        <v>281</v>
      </c>
      <c r="E20" s="1"/>
      <c r="F20" s="1" t="s">
        <v>17</v>
      </c>
      <c r="G20" s="1" t="s">
        <v>18</v>
      </c>
      <c r="H20" s="1" t="s">
        <v>6</v>
      </c>
      <c r="I20" s="1">
        <v>0</v>
      </c>
      <c r="J20" s="1" t="s">
        <v>6</v>
      </c>
      <c r="K20" s="1">
        <v>0</v>
      </c>
      <c r="L20" s="1" t="s">
        <v>17</v>
      </c>
      <c r="M20" s="1" t="s">
        <v>6</v>
      </c>
      <c r="N20" s="1"/>
      <c r="O20" s="1"/>
      <c r="P20" s="1"/>
      <c r="Q20" s="1"/>
      <c r="R20" s="1"/>
      <c r="S20" s="1">
        <v>0</v>
      </c>
      <c r="T20" s="1"/>
      <c r="U20" s="1" t="s">
        <v>19</v>
      </c>
      <c r="V20" s="1">
        <v>0</v>
      </c>
      <c r="W20" s="1"/>
      <c r="X20" s="1"/>
      <c r="Y20" s="1"/>
      <c r="Z20" s="1"/>
      <c r="AA20" s="1"/>
      <c r="AB20" s="1" t="s">
        <v>6</v>
      </c>
      <c r="AC20" s="1" t="s">
        <v>6</v>
      </c>
      <c r="AD20" s="1" t="s">
        <v>6</v>
      </c>
      <c r="AE20" s="1" t="s">
        <v>6</v>
      </c>
      <c r="AF20" s="1" t="s">
        <v>6</v>
      </c>
      <c r="AG20" s="1" t="s">
        <v>6</v>
      </c>
      <c r="AH20" s="1"/>
      <c r="AI20" s="1"/>
      <c r="AJ20" s="1"/>
      <c r="AK20" s="1"/>
      <c r="AL20" s="1"/>
      <c r="AM20" s="1"/>
      <c r="AN20" s="1"/>
      <c r="AO20" s="1"/>
      <c r="AP20" s="1" t="s">
        <v>6</v>
      </c>
      <c r="AQ20" s="1" t="s">
        <v>6</v>
      </c>
      <c r="AR20" s="1" t="s">
        <v>6</v>
      </c>
      <c r="AS20" s="1"/>
      <c r="AT20" s="1"/>
      <c r="AU20" s="1"/>
      <c r="AV20" s="1"/>
      <c r="AW20" s="1"/>
      <c r="AX20" s="1"/>
      <c r="AY20" s="1"/>
      <c r="AZ20" s="1" t="s">
        <v>6</v>
      </c>
      <c r="BA20" s="1"/>
      <c r="BB20" s="1" t="s">
        <v>6</v>
      </c>
      <c r="BC20" s="1" t="s">
        <v>6</v>
      </c>
      <c r="BD20" s="1" t="s">
        <v>6</v>
      </c>
      <c r="BE20" s="1" t="s">
        <v>6</v>
      </c>
      <c r="BF20" s="1" t="s">
        <v>6</v>
      </c>
      <c r="BG20" s="1" t="s">
        <v>6</v>
      </c>
      <c r="BH20" s="1" t="s">
        <v>6</v>
      </c>
      <c r="BI20" s="1" t="s">
        <v>6</v>
      </c>
      <c r="BJ20" s="1" t="s">
        <v>6</v>
      </c>
      <c r="BK20" s="1" t="s">
        <v>6</v>
      </c>
      <c r="BL20" s="1" t="s">
        <v>6</v>
      </c>
      <c r="BM20" s="1" t="s">
        <v>6</v>
      </c>
      <c r="BN20" s="1" t="s">
        <v>6</v>
      </c>
      <c r="BO20" s="1" t="s">
        <v>6</v>
      </c>
      <c r="BP20" s="1" t="s">
        <v>6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6</v>
      </c>
      <c r="CJ20" s="1" t="s">
        <v>6</v>
      </c>
      <c r="CK20" t="s">
        <v>6</v>
      </c>
      <c r="CL20" t="s">
        <v>6</v>
      </c>
      <c r="CM20" t="s">
        <v>6</v>
      </c>
      <c r="CN20" t="s">
        <v>6</v>
      </c>
      <c r="CO20" t="s">
        <v>6</v>
      </c>
      <c r="CP20" t="s">
        <v>6</v>
      </c>
      <c r="CQ20" t="s">
        <v>6</v>
      </c>
    </row>
    <row r="22" spans="1:206" x14ac:dyDescent="0.2">
      <c r="A22" s="2">
        <v>52</v>
      </c>
      <c r="B22" s="2">
        <f t="shared" ref="B22:G22" si="7">B281</f>
        <v>1</v>
      </c>
      <c r="C22" s="2">
        <f t="shared" si="7"/>
        <v>3</v>
      </c>
      <c r="D22" s="2">
        <f t="shared" si="7"/>
        <v>20</v>
      </c>
      <c r="E22" s="2">
        <f t="shared" si="7"/>
        <v>0</v>
      </c>
      <c r="F22" s="2" t="str">
        <f t="shared" si="7"/>
        <v>ЛСР02-01-06</v>
      </c>
      <c r="G22" s="2" t="str">
        <f t="shared" si="7"/>
        <v>02-01-06 Электрика.</v>
      </c>
      <c r="H22" s="2"/>
      <c r="I22" s="2"/>
      <c r="J22" s="2"/>
      <c r="K22" s="2"/>
      <c r="L22" s="2"/>
      <c r="M22" s="2"/>
      <c r="N22" s="2"/>
      <c r="O22" s="2">
        <f t="shared" ref="O22:AT22" si="8">O281</f>
        <v>49316.7</v>
      </c>
      <c r="P22" s="2">
        <f t="shared" si="8"/>
        <v>42159.96</v>
      </c>
      <c r="Q22" s="2">
        <f t="shared" si="8"/>
        <v>130.9</v>
      </c>
      <c r="R22" s="2">
        <f t="shared" si="8"/>
        <v>10.39</v>
      </c>
      <c r="S22" s="2">
        <f t="shared" si="8"/>
        <v>7015.45</v>
      </c>
      <c r="T22" s="2">
        <f t="shared" si="8"/>
        <v>0</v>
      </c>
      <c r="U22" s="2">
        <f t="shared" si="8"/>
        <v>21.243079999999999</v>
      </c>
      <c r="V22" s="2">
        <f t="shared" si="8"/>
        <v>3.0199999999999998E-2</v>
      </c>
      <c r="W22" s="2">
        <f t="shared" si="8"/>
        <v>0</v>
      </c>
      <c r="X22" s="2">
        <f t="shared" si="8"/>
        <v>6511.19</v>
      </c>
      <c r="Y22" s="2">
        <f t="shared" si="8"/>
        <v>3397.31</v>
      </c>
      <c r="Z22" s="2">
        <f t="shared" si="8"/>
        <v>0</v>
      </c>
      <c r="AA22" s="2">
        <f t="shared" si="8"/>
        <v>0</v>
      </c>
      <c r="AB22" s="2">
        <f t="shared" si="8"/>
        <v>0</v>
      </c>
      <c r="AC22" s="2">
        <f t="shared" si="8"/>
        <v>0</v>
      </c>
      <c r="AD22" s="2">
        <f t="shared" si="8"/>
        <v>0</v>
      </c>
      <c r="AE22" s="2">
        <f t="shared" si="8"/>
        <v>0</v>
      </c>
      <c r="AF22" s="2">
        <f t="shared" si="8"/>
        <v>0</v>
      </c>
      <c r="AG22" s="2">
        <f t="shared" si="8"/>
        <v>0</v>
      </c>
      <c r="AH22" s="2">
        <f t="shared" si="8"/>
        <v>0</v>
      </c>
      <c r="AI22" s="2">
        <f t="shared" si="8"/>
        <v>0</v>
      </c>
      <c r="AJ22" s="2">
        <f t="shared" si="8"/>
        <v>0</v>
      </c>
      <c r="AK22" s="2">
        <f t="shared" si="8"/>
        <v>0</v>
      </c>
      <c r="AL22" s="2">
        <f t="shared" si="8"/>
        <v>0</v>
      </c>
      <c r="AM22" s="2">
        <f t="shared" si="8"/>
        <v>0</v>
      </c>
      <c r="AN22" s="2">
        <f t="shared" si="8"/>
        <v>0</v>
      </c>
      <c r="AO22" s="2">
        <f t="shared" si="8"/>
        <v>0</v>
      </c>
      <c r="AP22" s="2">
        <f t="shared" si="8"/>
        <v>0</v>
      </c>
      <c r="AQ22" s="2">
        <f t="shared" si="8"/>
        <v>0</v>
      </c>
      <c r="AR22" s="2">
        <f t="shared" si="8"/>
        <v>59225.2</v>
      </c>
      <c r="AS22" s="2">
        <f t="shared" si="8"/>
        <v>3029.44</v>
      </c>
      <c r="AT22" s="2">
        <f t="shared" si="8"/>
        <v>56195.76</v>
      </c>
      <c r="AU22" s="2">
        <f t="shared" ref="AU22:BZ22" si="9">AU281</f>
        <v>0</v>
      </c>
      <c r="AV22" s="2">
        <f t="shared" si="9"/>
        <v>42159.96</v>
      </c>
      <c r="AW22" s="2">
        <f t="shared" si="9"/>
        <v>42159.96</v>
      </c>
      <c r="AX22" s="2">
        <f t="shared" si="9"/>
        <v>0</v>
      </c>
      <c r="AY22" s="2">
        <f t="shared" si="9"/>
        <v>42159.96</v>
      </c>
      <c r="AZ22" s="2">
        <f t="shared" si="9"/>
        <v>0</v>
      </c>
      <c r="BA22" s="2">
        <f t="shared" si="9"/>
        <v>0</v>
      </c>
      <c r="BB22" s="2">
        <f t="shared" si="9"/>
        <v>0</v>
      </c>
      <c r="BC22" s="2">
        <f t="shared" si="9"/>
        <v>0</v>
      </c>
      <c r="BD22" s="2">
        <f t="shared" si="9"/>
        <v>0</v>
      </c>
      <c r="BE22" s="2">
        <f t="shared" si="9"/>
        <v>0</v>
      </c>
      <c r="BF22" s="2">
        <f t="shared" si="9"/>
        <v>0</v>
      </c>
      <c r="BG22" s="2">
        <f t="shared" si="9"/>
        <v>0</v>
      </c>
      <c r="BH22" s="2">
        <f t="shared" si="9"/>
        <v>0</v>
      </c>
      <c r="BI22" s="2">
        <f t="shared" si="9"/>
        <v>0</v>
      </c>
      <c r="BJ22" s="2">
        <f t="shared" si="9"/>
        <v>0</v>
      </c>
      <c r="BK22" s="2">
        <f t="shared" si="9"/>
        <v>0</v>
      </c>
      <c r="BL22" s="2">
        <f t="shared" si="9"/>
        <v>0</v>
      </c>
      <c r="BM22" s="2">
        <f t="shared" si="9"/>
        <v>0</v>
      </c>
      <c r="BN22" s="2">
        <f t="shared" si="9"/>
        <v>0</v>
      </c>
      <c r="BO22" s="2">
        <f t="shared" si="9"/>
        <v>0</v>
      </c>
      <c r="BP22" s="2">
        <f t="shared" si="9"/>
        <v>0</v>
      </c>
      <c r="BQ22" s="2">
        <f t="shared" si="9"/>
        <v>0</v>
      </c>
      <c r="BR22" s="2">
        <f t="shared" si="9"/>
        <v>0</v>
      </c>
      <c r="BS22" s="2">
        <f t="shared" si="9"/>
        <v>0</v>
      </c>
      <c r="BT22" s="2">
        <f t="shared" si="9"/>
        <v>0</v>
      </c>
      <c r="BU22" s="2">
        <f t="shared" si="9"/>
        <v>0</v>
      </c>
      <c r="BV22" s="2">
        <f t="shared" si="9"/>
        <v>0</v>
      </c>
      <c r="BW22" s="2">
        <f t="shared" si="9"/>
        <v>0</v>
      </c>
      <c r="BX22" s="2">
        <f t="shared" si="9"/>
        <v>0</v>
      </c>
      <c r="BY22" s="2">
        <f t="shared" si="9"/>
        <v>0</v>
      </c>
      <c r="BZ22" s="2">
        <f t="shared" si="9"/>
        <v>0</v>
      </c>
      <c r="CA22" s="2">
        <f t="shared" ref="CA22:DF22" si="10">CA281</f>
        <v>0</v>
      </c>
      <c r="CB22" s="2">
        <f t="shared" si="10"/>
        <v>0</v>
      </c>
      <c r="CC22" s="2">
        <f t="shared" si="10"/>
        <v>0</v>
      </c>
      <c r="CD22" s="2">
        <f t="shared" si="10"/>
        <v>0</v>
      </c>
      <c r="CE22" s="2">
        <f t="shared" si="10"/>
        <v>0</v>
      </c>
      <c r="CF22" s="2">
        <f t="shared" si="10"/>
        <v>0</v>
      </c>
      <c r="CG22" s="2">
        <f t="shared" si="10"/>
        <v>0</v>
      </c>
      <c r="CH22" s="2">
        <f t="shared" si="10"/>
        <v>0</v>
      </c>
      <c r="CI22" s="2">
        <f t="shared" si="10"/>
        <v>0</v>
      </c>
      <c r="CJ22" s="2">
        <f t="shared" si="10"/>
        <v>0</v>
      </c>
      <c r="CK22" s="2">
        <f t="shared" si="10"/>
        <v>0</v>
      </c>
      <c r="CL22" s="2">
        <f t="shared" si="10"/>
        <v>0</v>
      </c>
      <c r="CM22" s="2">
        <f t="shared" si="10"/>
        <v>0</v>
      </c>
      <c r="CN22" s="2">
        <f t="shared" si="10"/>
        <v>0</v>
      </c>
      <c r="CO22" s="2">
        <f t="shared" si="10"/>
        <v>0</v>
      </c>
      <c r="CP22" s="2">
        <f t="shared" si="10"/>
        <v>0</v>
      </c>
      <c r="CQ22" s="2">
        <f t="shared" si="10"/>
        <v>0</v>
      </c>
      <c r="CR22" s="2">
        <f t="shared" si="10"/>
        <v>0</v>
      </c>
      <c r="CS22" s="2">
        <f t="shared" si="10"/>
        <v>0</v>
      </c>
      <c r="CT22" s="2">
        <f t="shared" si="10"/>
        <v>0</v>
      </c>
      <c r="CU22" s="2">
        <f t="shared" si="10"/>
        <v>0</v>
      </c>
      <c r="CV22" s="2">
        <f t="shared" si="10"/>
        <v>0</v>
      </c>
      <c r="CW22" s="2">
        <f t="shared" si="10"/>
        <v>0</v>
      </c>
      <c r="CX22" s="2">
        <f t="shared" si="10"/>
        <v>0</v>
      </c>
      <c r="CY22" s="2">
        <f t="shared" si="10"/>
        <v>0</v>
      </c>
      <c r="CZ22" s="2">
        <f t="shared" si="10"/>
        <v>0</v>
      </c>
      <c r="DA22" s="2">
        <f t="shared" si="10"/>
        <v>0</v>
      </c>
      <c r="DB22" s="2">
        <f t="shared" si="10"/>
        <v>0</v>
      </c>
      <c r="DC22" s="2">
        <f t="shared" si="10"/>
        <v>0</v>
      </c>
      <c r="DD22" s="2">
        <f t="shared" si="10"/>
        <v>0</v>
      </c>
      <c r="DE22" s="2">
        <f t="shared" si="10"/>
        <v>0</v>
      </c>
      <c r="DF22" s="2">
        <f t="shared" si="10"/>
        <v>0</v>
      </c>
      <c r="DG22" s="3">
        <f t="shared" ref="DG22:EL22" si="11">DG281</f>
        <v>0</v>
      </c>
      <c r="DH22" s="3">
        <f t="shared" si="11"/>
        <v>0</v>
      </c>
      <c r="DI22" s="3">
        <f t="shared" si="11"/>
        <v>0</v>
      </c>
      <c r="DJ22" s="3">
        <f t="shared" si="11"/>
        <v>0</v>
      </c>
      <c r="DK22" s="3">
        <f t="shared" si="11"/>
        <v>0</v>
      </c>
      <c r="DL22" s="3">
        <f t="shared" si="11"/>
        <v>0</v>
      </c>
      <c r="DM22" s="3">
        <f t="shared" si="11"/>
        <v>0</v>
      </c>
      <c r="DN22" s="3">
        <f t="shared" si="11"/>
        <v>0</v>
      </c>
      <c r="DO22" s="3">
        <f t="shared" si="11"/>
        <v>0</v>
      </c>
      <c r="DP22" s="3">
        <f t="shared" si="11"/>
        <v>0</v>
      </c>
      <c r="DQ22" s="3">
        <f t="shared" si="11"/>
        <v>0</v>
      </c>
      <c r="DR22" s="3">
        <f t="shared" si="11"/>
        <v>0</v>
      </c>
      <c r="DS22" s="3">
        <f t="shared" si="11"/>
        <v>0</v>
      </c>
      <c r="DT22" s="3">
        <f t="shared" si="11"/>
        <v>0</v>
      </c>
      <c r="DU22" s="3">
        <f t="shared" si="11"/>
        <v>0</v>
      </c>
      <c r="DV22" s="3">
        <f t="shared" si="11"/>
        <v>0</v>
      </c>
      <c r="DW22" s="3">
        <f t="shared" si="11"/>
        <v>0</v>
      </c>
      <c r="DX22" s="3">
        <f t="shared" si="11"/>
        <v>0</v>
      </c>
      <c r="DY22" s="3">
        <f t="shared" si="11"/>
        <v>0</v>
      </c>
      <c r="DZ22" s="3">
        <f t="shared" si="11"/>
        <v>0</v>
      </c>
      <c r="EA22" s="3">
        <f t="shared" si="11"/>
        <v>0</v>
      </c>
      <c r="EB22" s="3">
        <f t="shared" si="11"/>
        <v>0</v>
      </c>
      <c r="EC22" s="3">
        <f t="shared" si="11"/>
        <v>0</v>
      </c>
      <c r="ED22" s="3">
        <f t="shared" si="11"/>
        <v>0</v>
      </c>
      <c r="EE22" s="3">
        <f t="shared" si="11"/>
        <v>0</v>
      </c>
      <c r="EF22" s="3">
        <f t="shared" si="11"/>
        <v>0</v>
      </c>
      <c r="EG22" s="3">
        <f t="shared" si="11"/>
        <v>0</v>
      </c>
      <c r="EH22" s="3">
        <f t="shared" si="11"/>
        <v>0</v>
      </c>
      <c r="EI22" s="3">
        <f t="shared" si="11"/>
        <v>0</v>
      </c>
      <c r="EJ22" s="3">
        <f t="shared" si="11"/>
        <v>0</v>
      </c>
      <c r="EK22" s="3">
        <f t="shared" si="11"/>
        <v>0</v>
      </c>
      <c r="EL22" s="3">
        <f t="shared" si="11"/>
        <v>0</v>
      </c>
      <c r="EM22" s="3">
        <f t="shared" ref="EM22:FR22" si="12">EM281</f>
        <v>0</v>
      </c>
      <c r="EN22" s="3">
        <f t="shared" si="12"/>
        <v>0</v>
      </c>
      <c r="EO22" s="3">
        <f t="shared" si="12"/>
        <v>0</v>
      </c>
      <c r="EP22" s="3">
        <f t="shared" si="12"/>
        <v>0</v>
      </c>
      <c r="EQ22" s="3">
        <f t="shared" si="12"/>
        <v>0</v>
      </c>
      <c r="ER22" s="3">
        <f t="shared" si="12"/>
        <v>0</v>
      </c>
      <c r="ES22" s="3">
        <f t="shared" si="12"/>
        <v>0</v>
      </c>
      <c r="ET22" s="3">
        <f t="shared" si="12"/>
        <v>0</v>
      </c>
      <c r="EU22" s="3">
        <f t="shared" si="12"/>
        <v>0</v>
      </c>
      <c r="EV22" s="3">
        <f t="shared" si="12"/>
        <v>0</v>
      </c>
      <c r="EW22" s="3">
        <f t="shared" si="12"/>
        <v>0</v>
      </c>
      <c r="EX22" s="3">
        <f t="shared" si="12"/>
        <v>0</v>
      </c>
      <c r="EY22" s="3">
        <f t="shared" si="12"/>
        <v>0</v>
      </c>
      <c r="EZ22" s="3">
        <f t="shared" si="12"/>
        <v>0</v>
      </c>
      <c r="FA22" s="3">
        <f t="shared" si="12"/>
        <v>0</v>
      </c>
      <c r="FB22" s="3">
        <f t="shared" si="12"/>
        <v>0</v>
      </c>
      <c r="FC22" s="3">
        <f t="shared" si="12"/>
        <v>0</v>
      </c>
      <c r="FD22" s="3">
        <f t="shared" si="12"/>
        <v>0</v>
      </c>
      <c r="FE22" s="3">
        <f t="shared" si="12"/>
        <v>0</v>
      </c>
      <c r="FF22" s="3">
        <f t="shared" si="12"/>
        <v>0</v>
      </c>
      <c r="FG22" s="3">
        <f t="shared" si="12"/>
        <v>0</v>
      </c>
      <c r="FH22" s="3">
        <f t="shared" si="12"/>
        <v>0</v>
      </c>
      <c r="FI22" s="3">
        <f t="shared" si="12"/>
        <v>0</v>
      </c>
      <c r="FJ22" s="3">
        <f t="shared" si="12"/>
        <v>0</v>
      </c>
      <c r="FK22" s="3">
        <f t="shared" si="12"/>
        <v>0</v>
      </c>
      <c r="FL22" s="3">
        <f t="shared" si="12"/>
        <v>0</v>
      </c>
      <c r="FM22" s="3">
        <f t="shared" si="12"/>
        <v>0</v>
      </c>
      <c r="FN22" s="3">
        <f t="shared" si="12"/>
        <v>0</v>
      </c>
      <c r="FO22" s="3">
        <f t="shared" si="12"/>
        <v>0</v>
      </c>
      <c r="FP22" s="3">
        <f t="shared" si="12"/>
        <v>0</v>
      </c>
      <c r="FQ22" s="3">
        <f t="shared" si="12"/>
        <v>0</v>
      </c>
      <c r="FR22" s="3">
        <f t="shared" si="12"/>
        <v>0</v>
      </c>
      <c r="FS22" s="3">
        <f t="shared" ref="FS22:GX22" si="13">FS281</f>
        <v>0</v>
      </c>
      <c r="FT22" s="3">
        <f t="shared" si="13"/>
        <v>0</v>
      </c>
      <c r="FU22" s="3">
        <f t="shared" si="13"/>
        <v>0</v>
      </c>
      <c r="FV22" s="3">
        <f t="shared" si="13"/>
        <v>0</v>
      </c>
      <c r="FW22" s="3">
        <f t="shared" si="13"/>
        <v>0</v>
      </c>
      <c r="FX22" s="3">
        <f t="shared" si="13"/>
        <v>0</v>
      </c>
      <c r="FY22" s="3">
        <f t="shared" si="13"/>
        <v>0</v>
      </c>
      <c r="FZ22" s="3">
        <f t="shared" si="13"/>
        <v>0</v>
      </c>
      <c r="GA22" s="3">
        <f t="shared" si="13"/>
        <v>0</v>
      </c>
      <c r="GB22" s="3">
        <f t="shared" si="13"/>
        <v>0</v>
      </c>
      <c r="GC22" s="3">
        <f t="shared" si="13"/>
        <v>0</v>
      </c>
      <c r="GD22" s="3">
        <f t="shared" si="13"/>
        <v>0</v>
      </c>
      <c r="GE22" s="3">
        <f t="shared" si="13"/>
        <v>0</v>
      </c>
      <c r="GF22" s="3">
        <f t="shared" si="13"/>
        <v>0</v>
      </c>
      <c r="GG22" s="3">
        <f t="shared" si="13"/>
        <v>0</v>
      </c>
      <c r="GH22" s="3">
        <f t="shared" si="13"/>
        <v>0</v>
      </c>
      <c r="GI22" s="3">
        <f t="shared" si="13"/>
        <v>0</v>
      </c>
      <c r="GJ22" s="3">
        <f t="shared" si="13"/>
        <v>0</v>
      </c>
      <c r="GK22" s="3">
        <f t="shared" si="13"/>
        <v>0</v>
      </c>
      <c r="GL22" s="3">
        <f t="shared" si="13"/>
        <v>0</v>
      </c>
      <c r="GM22" s="3">
        <f t="shared" si="13"/>
        <v>0</v>
      </c>
      <c r="GN22" s="3">
        <f t="shared" si="13"/>
        <v>0</v>
      </c>
      <c r="GO22" s="3">
        <f t="shared" si="13"/>
        <v>0</v>
      </c>
      <c r="GP22" s="3">
        <f t="shared" si="13"/>
        <v>0</v>
      </c>
      <c r="GQ22" s="3">
        <f t="shared" si="13"/>
        <v>0</v>
      </c>
      <c r="GR22" s="3">
        <f t="shared" si="13"/>
        <v>0</v>
      </c>
      <c r="GS22" s="3">
        <f t="shared" si="13"/>
        <v>0</v>
      </c>
      <c r="GT22" s="3">
        <f t="shared" si="13"/>
        <v>0</v>
      </c>
      <c r="GU22" s="3">
        <f t="shared" si="13"/>
        <v>0</v>
      </c>
      <c r="GV22" s="3">
        <f t="shared" si="13"/>
        <v>0</v>
      </c>
      <c r="GW22" s="3">
        <f t="shared" si="13"/>
        <v>0</v>
      </c>
      <c r="GX22" s="3">
        <f t="shared" si="13"/>
        <v>0</v>
      </c>
    </row>
    <row r="24" spans="1:206" x14ac:dyDescent="0.2">
      <c r="A24" s="1">
        <v>4</v>
      </c>
      <c r="B24" s="1">
        <v>1</v>
      </c>
      <c r="C24" s="1"/>
      <c r="D24" s="1">
        <f>ROW(A28)</f>
        <v>28</v>
      </c>
      <c r="E24" s="1"/>
      <c r="F24" s="1" t="s">
        <v>20</v>
      </c>
      <c r="G24" s="1" t="s">
        <v>21</v>
      </c>
      <c r="H24" s="1" t="s">
        <v>6</v>
      </c>
      <c r="I24" s="1">
        <v>0</v>
      </c>
      <c r="J24" s="1"/>
      <c r="K24" s="1">
        <v>-1</v>
      </c>
      <c r="L24" s="1"/>
      <c r="M24" s="1" t="s">
        <v>6</v>
      </c>
      <c r="N24" s="1"/>
      <c r="O24" s="1"/>
      <c r="P24" s="1"/>
      <c r="Q24" s="1"/>
      <c r="R24" s="1"/>
      <c r="S24" s="1">
        <v>0</v>
      </c>
      <c r="T24" s="1"/>
      <c r="U24" s="1" t="s">
        <v>6</v>
      </c>
      <c r="V24" s="1">
        <v>0</v>
      </c>
      <c r="W24" s="1"/>
      <c r="X24" s="1"/>
      <c r="Y24" s="1"/>
      <c r="Z24" s="1"/>
      <c r="AA24" s="1"/>
      <c r="AB24" s="1" t="s">
        <v>6</v>
      </c>
      <c r="AC24" s="1" t="s">
        <v>6</v>
      </c>
      <c r="AD24" s="1" t="s">
        <v>6</v>
      </c>
      <c r="AE24" s="1" t="s">
        <v>6</v>
      </c>
      <c r="AF24" s="1" t="s">
        <v>6</v>
      </c>
      <c r="AG24" s="1" t="s">
        <v>6</v>
      </c>
      <c r="AH24" s="1"/>
      <c r="AI24" s="1"/>
      <c r="AJ24" s="1"/>
      <c r="AK24" s="1"/>
      <c r="AL24" s="1"/>
      <c r="AM24" s="1"/>
      <c r="AN24" s="1"/>
      <c r="AO24" s="1"/>
      <c r="AP24" s="1" t="s">
        <v>6</v>
      </c>
      <c r="AQ24" s="1" t="s">
        <v>6</v>
      </c>
      <c r="AR24" s="1" t="s">
        <v>6</v>
      </c>
      <c r="AS24" s="1"/>
      <c r="AT24" s="1"/>
      <c r="AU24" s="1"/>
      <c r="AV24" s="1"/>
      <c r="AW24" s="1"/>
      <c r="AX24" s="1"/>
      <c r="AY24" s="1"/>
      <c r="AZ24" s="1" t="s">
        <v>6</v>
      </c>
      <c r="BA24" s="1"/>
      <c r="BB24" s="1" t="s">
        <v>6</v>
      </c>
      <c r="BC24" s="1" t="s">
        <v>6</v>
      </c>
      <c r="BD24" s="1" t="s">
        <v>6</v>
      </c>
      <c r="BE24" s="1" t="s">
        <v>6</v>
      </c>
      <c r="BF24" s="1" t="s">
        <v>6</v>
      </c>
      <c r="BG24" s="1" t="s">
        <v>6</v>
      </c>
      <c r="BH24" s="1" t="s">
        <v>6</v>
      </c>
      <c r="BI24" s="1" t="s">
        <v>6</v>
      </c>
      <c r="BJ24" s="1" t="s">
        <v>6</v>
      </c>
      <c r="BK24" s="1" t="s">
        <v>6</v>
      </c>
      <c r="BL24" s="1" t="s">
        <v>6</v>
      </c>
      <c r="BM24" s="1" t="s">
        <v>6</v>
      </c>
      <c r="BN24" s="1" t="s">
        <v>6</v>
      </c>
      <c r="BO24" s="1" t="s">
        <v>6</v>
      </c>
      <c r="BP24" s="1" t="s">
        <v>6</v>
      </c>
      <c r="BQ24" s="1"/>
      <c r="BR24" s="1"/>
      <c r="BS24" s="1"/>
      <c r="BT24" s="1"/>
      <c r="BU24" s="1"/>
      <c r="BV24" s="1"/>
      <c r="BW24" s="1"/>
      <c r="BX24" s="1">
        <v>0</v>
      </c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>
        <v>0</v>
      </c>
    </row>
    <row r="26" spans="1:206" x14ac:dyDescent="0.2">
      <c r="A26" s="2">
        <v>52</v>
      </c>
      <c r="B26" s="2">
        <f t="shared" ref="B26:G26" si="14">B28</f>
        <v>1</v>
      </c>
      <c r="C26" s="2">
        <f t="shared" si="14"/>
        <v>4</v>
      </c>
      <c r="D26" s="2">
        <f t="shared" si="14"/>
        <v>24</v>
      </c>
      <c r="E26" s="2">
        <f t="shared" si="14"/>
        <v>0</v>
      </c>
      <c r="F26" s="2" t="str">
        <f t="shared" si="14"/>
        <v>7</v>
      </c>
      <c r="G26" s="2" t="str">
        <f t="shared" si="14"/>
        <v>БЛОК САНУЗЛОВ 1 (2-ой ЭТАЖ)</v>
      </c>
      <c r="H26" s="2"/>
      <c r="I26" s="2"/>
      <c r="J26" s="2"/>
      <c r="K26" s="2"/>
      <c r="L26" s="2"/>
      <c r="M26" s="2"/>
      <c r="N26" s="2"/>
      <c r="O26" s="2">
        <f t="shared" ref="O26:AT26" si="15">O28</f>
        <v>0</v>
      </c>
      <c r="P26" s="2">
        <f t="shared" si="15"/>
        <v>0</v>
      </c>
      <c r="Q26" s="2">
        <f t="shared" si="15"/>
        <v>0</v>
      </c>
      <c r="R26" s="2">
        <f t="shared" si="15"/>
        <v>0</v>
      </c>
      <c r="S26" s="2">
        <f t="shared" si="15"/>
        <v>0</v>
      </c>
      <c r="T26" s="2">
        <f t="shared" si="15"/>
        <v>0</v>
      </c>
      <c r="U26" s="2">
        <f t="shared" si="15"/>
        <v>0</v>
      </c>
      <c r="V26" s="2">
        <f t="shared" si="15"/>
        <v>0</v>
      </c>
      <c r="W26" s="2">
        <f t="shared" si="15"/>
        <v>0</v>
      </c>
      <c r="X26" s="2">
        <f t="shared" si="15"/>
        <v>0</v>
      </c>
      <c r="Y26" s="2">
        <f t="shared" si="15"/>
        <v>0</v>
      </c>
      <c r="Z26" s="2">
        <f t="shared" si="15"/>
        <v>0</v>
      </c>
      <c r="AA26" s="2">
        <f t="shared" si="15"/>
        <v>0</v>
      </c>
      <c r="AB26" s="2">
        <f t="shared" si="15"/>
        <v>0</v>
      </c>
      <c r="AC26" s="2">
        <f t="shared" si="15"/>
        <v>0</v>
      </c>
      <c r="AD26" s="2">
        <f t="shared" si="15"/>
        <v>0</v>
      </c>
      <c r="AE26" s="2">
        <f t="shared" si="15"/>
        <v>0</v>
      </c>
      <c r="AF26" s="2">
        <f t="shared" si="15"/>
        <v>0</v>
      </c>
      <c r="AG26" s="2">
        <f t="shared" si="15"/>
        <v>0</v>
      </c>
      <c r="AH26" s="2">
        <f t="shared" si="15"/>
        <v>0</v>
      </c>
      <c r="AI26" s="2">
        <f t="shared" si="15"/>
        <v>0</v>
      </c>
      <c r="AJ26" s="2">
        <f t="shared" si="15"/>
        <v>0</v>
      </c>
      <c r="AK26" s="2">
        <f t="shared" si="15"/>
        <v>0</v>
      </c>
      <c r="AL26" s="2">
        <f t="shared" si="15"/>
        <v>0</v>
      </c>
      <c r="AM26" s="2">
        <f t="shared" si="15"/>
        <v>0</v>
      </c>
      <c r="AN26" s="2">
        <f t="shared" si="15"/>
        <v>0</v>
      </c>
      <c r="AO26" s="2">
        <f t="shared" si="15"/>
        <v>0</v>
      </c>
      <c r="AP26" s="2">
        <f t="shared" si="15"/>
        <v>0</v>
      </c>
      <c r="AQ26" s="2">
        <f t="shared" si="15"/>
        <v>0</v>
      </c>
      <c r="AR26" s="2">
        <f t="shared" si="15"/>
        <v>0</v>
      </c>
      <c r="AS26" s="2">
        <f t="shared" si="15"/>
        <v>0</v>
      </c>
      <c r="AT26" s="2">
        <f t="shared" si="15"/>
        <v>0</v>
      </c>
      <c r="AU26" s="2">
        <f t="shared" ref="AU26:BZ26" si="16">AU28</f>
        <v>0</v>
      </c>
      <c r="AV26" s="2">
        <f t="shared" si="16"/>
        <v>0</v>
      </c>
      <c r="AW26" s="2">
        <f t="shared" si="16"/>
        <v>0</v>
      </c>
      <c r="AX26" s="2">
        <f t="shared" si="16"/>
        <v>0</v>
      </c>
      <c r="AY26" s="2">
        <f t="shared" si="16"/>
        <v>0</v>
      </c>
      <c r="AZ26" s="2">
        <f t="shared" si="16"/>
        <v>0</v>
      </c>
      <c r="BA26" s="2">
        <f t="shared" si="16"/>
        <v>0</v>
      </c>
      <c r="BB26" s="2">
        <f t="shared" si="16"/>
        <v>0</v>
      </c>
      <c r="BC26" s="2">
        <f t="shared" si="16"/>
        <v>0</v>
      </c>
      <c r="BD26" s="2">
        <f t="shared" si="16"/>
        <v>0</v>
      </c>
      <c r="BE26" s="2">
        <f t="shared" si="16"/>
        <v>0</v>
      </c>
      <c r="BF26" s="2">
        <f t="shared" si="16"/>
        <v>0</v>
      </c>
      <c r="BG26" s="2">
        <f t="shared" si="16"/>
        <v>0</v>
      </c>
      <c r="BH26" s="2">
        <f t="shared" si="16"/>
        <v>0</v>
      </c>
      <c r="BI26" s="2">
        <f t="shared" si="16"/>
        <v>0</v>
      </c>
      <c r="BJ26" s="2">
        <f t="shared" si="16"/>
        <v>0</v>
      </c>
      <c r="BK26" s="2">
        <f t="shared" si="16"/>
        <v>0</v>
      </c>
      <c r="BL26" s="2">
        <f t="shared" si="16"/>
        <v>0</v>
      </c>
      <c r="BM26" s="2">
        <f t="shared" si="16"/>
        <v>0</v>
      </c>
      <c r="BN26" s="2">
        <f t="shared" si="16"/>
        <v>0</v>
      </c>
      <c r="BO26" s="2">
        <f t="shared" si="16"/>
        <v>0</v>
      </c>
      <c r="BP26" s="2">
        <f t="shared" si="16"/>
        <v>0</v>
      </c>
      <c r="BQ26" s="2">
        <f t="shared" si="16"/>
        <v>0</v>
      </c>
      <c r="BR26" s="2">
        <f t="shared" si="16"/>
        <v>0</v>
      </c>
      <c r="BS26" s="2">
        <f t="shared" si="16"/>
        <v>0</v>
      </c>
      <c r="BT26" s="2">
        <f t="shared" si="16"/>
        <v>0</v>
      </c>
      <c r="BU26" s="2">
        <f t="shared" si="16"/>
        <v>0</v>
      </c>
      <c r="BV26" s="2">
        <f t="shared" si="16"/>
        <v>0</v>
      </c>
      <c r="BW26" s="2">
        <f t="shared" si="16"/>
        <v>0</v>
      </c>
      <c r="BX26" s="2">
        <f t="shared" si="16"/>
        <v>0</v>
      </c>
      <c r="BY26" s="2">
        <f t="shared" si="16"/>
        <v>0</v>
      </c>
      <c r="BZ26" s="2">
        <f t="shared" si="16"/>
        <v>0</v>
      </c>
      <c r="CA26" s="2">
        <f t="shared" ref="CA26:DF26" si="17">CA28</f>
        <v>0</v>
      </c>
      <c r="CB26" s="2">
        <f t="shared" si="17"/>
        <v>0</v>
      </c>
      <c r="CC26" s="2">
        <f t="shared" si="17"/>
        <v>0</v>
      </c>
      <c r="CD26" s="2">
        <f t="shared" si="17"/>
        <v>0</v>
      </c>
      <c r="CE26" s="2">
        <f t="shared" si="17"/>
        <v>0</v>
      </c>
      <c r="CF26" s="2">
        <f t="shared" si="17"/>
        <v>0</v>
      </c>
      <c r="CG26" s="2">
        <f t="shared" si="17"/>
        <v>0</v>
      </c>
      <c r="CH26" s="2">
        <f t="shared" si="17"/>
        <v>0</v>
      </c>
      <c r="CI26" s="2">
        <f t="shared" si="17"/>
        <v>0</v>
      </c>
      <c r="CJ26" s="2">
        <f t="shared" si="17"/>
        <v>0</v>
      </c>
      <c r="CK26" s="2">
        <f t="shared" si="17"/>
        <v>0</v>
      </c>
      <c r="CL26" s="2">
        <f t="shared" si="17"/>
        <v>0</v>
      </c>
      <c r="CM26" s="2">
        <f t="shared" si="17"/>
        <v>0</v>
      </c>
      <c r="CN26" s="2">
        <f t="shared" si="17"/>
        <v>0</v>
      </c>
      <c r="CO26" s="2">
        <f t="shared" si="17"/>
        <v>0</v>
      </c>
      <c r="CP26" s="2">
        <f t="shared" si="17"/>
        <v>0</v>
      </c>
      <c r="CQ26" s="2">
        <f t="shared" si="17"/>
        <v>0</v>
      </c>
      <c r="CR26" s="2">
        <f t="shared" si="17"/>
        <v>0</v>
      </c>
      <c r="CS26" s="2">
        <f t="shared" si="17"/>
        <v>0</v>
      </c>
      <c r="CT26" s="2">
        <f t="shared" si="17"/>
        <v>0</v>
      </c>
      <c r="CU26" s="2">
        <f t="shared" si="17"/>
        <v>0</v>
      </c>
      <c r="CV26" s="2">
        <f t="shared" si="17"/>
        <v>0</v>
      </c>
      <c r="CW26" s="2">
        <f t="shared" si="17"/>
        <v>0</v>
      </c>
      <c r="CX26" s="2">
        <f t="shared" si="17"/>
        <v>0</v>
      </c>
      <c r="CY26" s="2">
        <f t="shared" si="17"/>
        <v>0</v>
      </c>
      <c r="CZ26" s="2">
        <f t="shared" si="17"/>
        <v>0</v>
      </c>
      <c r="DA26" s="2">
        <f t="shared" si="17"/>
        <v>0</v>
      </c>
      <c r="DB26" s="2">
        <f t="shared" si="17"/>
        <v>0</v>
      </c>
      <c r="DC26" s="2">
        <f t="shared" si="17"/>
        <v>0</v>
      </c>
      <c r="DD26" s="2">
        <f t="shared" si="17"/>
        <v>0</v>
      </c>
      <c r="DE26" s="2">
        <f t="shared" si="17"/>
        <v>0</v>
      </c>
      <c r="DF26" s="2">
        <f t="shared" si="17"/>
        <v>0</v>
      </c>
      <c r="DG26" s="3">
        <f t="shared" ref="DG26:EL26" si="18">DG28</f>
        <v>0</v>
      </c>
      <c r="DH26" s="3">
        <f t="shared" si="18"/>
        <v>0</v>
      </c>
      <c r="DI26" s="3">
        <f t="shared" si="18"/>
        <v>0</v>
      </c>
      <c r="DJ26" s="3">
        <f t="shared" si="18"/>
        <v>0</v>
      </c>
      <c r="DK26" s="3">
        <f t="shared" si="18"/>
        <v>0</v>
      </c>
      <c r="DL26" s="3">
        <f t="shared" si="18"/>
        <v>0</v>
      </c>
      <c r="DM26" s="3">
        <f t="shared" si="18"/>
        <v>0</v>
      </c>
      <c r="DN26" s="3">
        <f t="shared" si="18"/>
        <v>0</v>
      </c>
      <c r="DO26" s="3">
        <f t="shared" si="18"/>
        <v>0</v>
      </c>
      <c r="DP26" s="3">
        <f t="shared" si="18"/>
        <v>0</v>
      </c>
      <c r="DQ26" s="3">
        <f t="shared" si="18"/>
        <v>0</v>
      </c>
      <c r="DR26" s="3">
        <f t="shared" si="18"/>
        <v>0</v>
      </c>
      <c r="DS26" s="3">
        <f t="shared" si="18"/>
        <v>0</v>
      </c>
      <c r="DT26" s="3">
        <f t="shared" si="18"/>
        <v>0</v>
      </c>
      <c r="DU26" s="3">
        <f t="shared" si="18"/>
        <v>0</v>
      </c>
      <c r="DV26" s="3">
        <f t="shared" si="18"/>
        <v>0</v>
      </c>
      <c r="DW26" s="3">
        <f t="shared" si="18"/>
        <v>0</v>
      </c>
      <c r="DX26" s="3">
        <f t="shared" si="18"/>
        <v>0</v>
      </c>
      <c r="DY26" s="3">
        <f t="shared" si="18"/>
        <v>0</v>
      </c>
      <c r="DZ26" s="3">
        <f t="shared" si="18"/>
        <v>0</v>
      </c>
      <c r="EA26" s="3">
        <f t="shared" si="18"/>
        <v>0</v>
      </c>
      <c r="EB26" s="3">
        <f t="shared" si="18"/>
        <v>0</v>
      </c>
      <c r="EC26" s="3">
        <f t="shared" si="18"/>
        <v>0</v>
      </c>
      <c r="ED26" s="3">
        <f t="shared" si="18"/>
        <v>0</v>
      </c>
      <c r="EE26" s="3">
        <f t="shared" si="18"/>
        <v>0</v>
      </c>
      <c r="EF26" s="3">
        <f t="shared" si="18"/>
        <v>0</v>
      </c>
      <c r="EG26" s="3">
        <f t="shared" si="18"/>
        <v>0</v>
      </c>
      <c r="EH26" s="3">
        <f t="shared" si="18"/>
        <v>0</v>
      </c>
      <c r="EI26" s="3">
        <f t="shared" si="18"/>
        <v>0</v>
      </c>
      <c r="EJ26" s="3">
        <f t="shared" si="18"/>
        <v>0</v>
      </c>
      <c r="EK26" s="3">
        <f t="shared" si="18"/>
        <v>0</v>
      </c>
      <c r="EL26" s="3">
        <f t="shared" si="18"/>
        <v>0</v>
      </c>
      <c r="EM26" s="3">
        <f t="shared" ref="EM26:FR26" si="19">EM28</f>
        <v>0</v>
      </c>
      <c r="EN26" s="3">
        <f t="shared" si="19"/>
        <v>0</v>
      </c>
      <c r="EO26" s="3">
        <f t="shared" si="19"/>
        <v>0</v>
      </c>
      <c r="EP26" s="3">
        <f t="shared" si="19"/>
        <v>0</v>
      </c>
      <c r="EQ26" s="3">
        <f t="shared" si="19"/>
        <v>0</v>
      </c>
      <c r="ER26" s="3">
        <f t="shared" si="19"/>
        <v>0</v>
      </c>
      <c r="ES26" s="3">
        <f t="shared" si="19"/>
        <v>0</v>
      </c>
      <c r="ET26" s="3">
        <f t="shared" si="19"/>
        <v>0</v>
      </c>
      <c r="EU26" s="3">
        <f t="shared" si="19"/>
        <v>0</v>
      </c>
      <c r="EV26" s="3">
        <f t="shared" si="19"/>
        <v>0</v>
      </c>
      <c r="EW26" s="3">
        <f t="shared" si="19"/>
        <v>0</v>
      </c>
      <c r="EX26" s="3">
        <f t="shared" si="19"/>
        <v>0</v>
      </c>
      <c r="EY26" s="3">
        <f t="shared" si="19"/>
        <v>0</v>
      </c>
      <c r="EZ26" s="3">
        <f t="shared" si="19"/>
        <v>0</v>
      </c>
      <c r="FA26" s="3">
        <f t="shared" si="19"/>
        <v>0</v>
      </c>
      <c r="FB26" s="3">
        <f t="shared" si="19"/>
        <v>0</v>
      </c>
      <c r="FC26" s="3">
        <f t="shared" si="19"/>
        <v>0</v>
      </c>
      <c r="FD26" s="3">
        <f t="shared" si="19"/>
        <v>0</v>
      </c>
      <c r="FE26" s="3">
        <f t="shared" si="19"/>
        <v>0</v>
      </c>
      <c r="FF26" s="3">
        <f t="shared" si="19"/>
        <v>0</v>
      </c>
      <c r="FG26" s="3">
        <f t="shared" si="19"/>
        <v>0</v>
      </c>
      <c r="FH26" s="3">
        <f t="shared" si="19"/>
        <v>0</v>
      </c>
      <c r="FI26" s="3">
        <f t="shared" si="19"/>
        <v>0</v>
      </c>
      <c r="FJ26" s="3">
        <f t="shared" si="19"/>
        <v>0</v>
      </c>
      <c r="FK26" s="3">
        <f t="shared" si="19"/>
        <v>0</v>
      </c>
      <c r="FL26" s="3">
        <f t="shared" si="19"/>
        <v>0</v>
      </c>
      <c r="FM26" s="3">
        <f t="shared" si="19"/>
        <v>0</v>
      </c>
      <c r="FN26" s="3">
        <f t="shared" si="19"/>
        <v>0</v>
      </c>
      <c r="FO26" s="3">
        <f t="shared" si="19"/>
        <v>0</v>
      </c>
      <c r="FP26" s="3">
        <f t="shared" si="19"/>
        <v>0</v>
      </c>
      <c r="FQ26" s="3">
        <f t="shared" si="19"/>
        <v>0</v>
      </c>
      <c r="FR26" s="3">
        <f t="shared" si="19"/>
        <v>0</v>
      </c>
      <c r="FS26" s="3">
        <f t="shared" ref="FS26:GX26" si="20">FS28</f>
        <v>0</v>
      </c>
      <c r="FT26" s="3">
        <f t="shared" si="20"/>
        <v>0</v>
      </c>
      <c r="FU26" s="3">
        <f t="shared" si="20"/>
        <v>0</v>
      </c>
      <c r="FV26" s="3">
        <f t="shared" si="20"/>
        <v>0</v>
      </c>
      <c r="FW26" s="3">
        <f t="shared" si="20"/>
        <v>0</v>
      </c>
      <c r="FX26" s="3">
        <f t="shared" si="20"/>
        <v>0</v>
      </c>
      <c r="FY26" s="3">
        <f t="shared" si="20"/>
        <v>0</v>
      </c>
      <c r="FZ26" s="3">
        <f t="shared" si="20"/>
        <v>0</v>
      </c>
      <c r="GA26" s="3">
        <f t="shared" si="20"/>
        <v>0</v>
      </c>
      <c r="GB26" s="3">
        <f t="shared" si="20"/>
        <v>0</v>
      </c>
      <c r="GC26" s="3">
        <f t="shared" si="20"/>
        <v>0</v>
      </c>
      <c r="GD26" s="3">
        <f t="shared" si="20"/>
        <v>0</v>
      </c>
      <c r="GE26" s="3">
        <f t="shared" si="20"/>
        <v>0</v>
      </c>
      <c r="GF26" s="3">
        <f t="shared" si="20"/>
        <v>0</v>
      </c>
      <c r="GG26" s="3">
        <f t="shared" si="20"/>
        <v>0</v>
      </c>
      <c r="GH26" s="3">
        <f t="shared" si="20"/>
        <v>0</v>
      </c>
      <c r="GI26" s="3">
        <f t="shared" si="20"/>
        <v>0</v>
      </c>
      <c r="GJ26" s="3">
        <f t="shared" si="20"/>
        <v>0</v>
      </c>
      <c r="GK26" s="3">
        <f t="shared" si="20"/>
        <v>0</v>
      </c>
      <c r="GL26" s="3">
        <f t="shared" si="20"/>
        <v>0</v>
      </c>
      <c r="GM26" s="3">
        <f t="shared" si="20"/>
        <v>0</v>
      </c>
      <c r="GN26" s="3">
        <f t="shared" si="20"/>
        <v>0</v>
      </c>
      <c r="GO26" s="3">
        <f t="shared" si="20"/>
        <v>0</v>
      </c>
      <c r="GP26" s="3">
        <f t="shared" si="20"/>
        <v>0</v>
      </c>
      <c r="GQ26" s="3">
        <f t="shared" si="20"/>
        <v>0</v>
      </c>
      <c r="GR26" s="3">
        <f t="shared" si="20"/>
        <v>0</v>
      </c>
      <c r="GS26" s="3">
        <f t="shared" si="20"/>
        <v>0</v>
      </c>
      <c r="GT26" s="3">
        <f t="shared" si="20"/>
        <v>0</v>
      </c>
      <c r="GU26" s="3">
        <f t="shared" si="20"/>
        <v>0</v>
      </c>
      <c r="GV26" s="3">
        <f t="shared" si="20"/>
        <v>0</v>
      </c>
      <c r="GW26" s="3">
        <f t="shared" si="20"/>
        <v>0</v>
      </c>
      <c r="GX26" s="3">
        <f t="shared" si="20"/>
        <v>0</v>
      </c>
    </row>
    <row r="28" spans="1:206" x14ac:dyDescent="0.2">
      <c r="A28" s="2">
        <v>51</v>
      </c>
      <c r="B28" s="2">
        <f>B24</f>
        <v>1</v>
      </c>
      <c r="C28" s="2">
        <f>A24</f>
        <v>4</v>
      </c>
      <c r="D28" s="2">
        <f>ROW(A24)</f>
        <v>24</v>
      </c>
      <c r="E28" s="2"/>
      <c r="F28" s="2" t="str">
        <f>IF(F24&lt;&gt;"",F24,"")</f>
        <v>7</v>
      </c>
      <c r="G28" s="2" t="str">
        <f>IF(G24&lt;&gt;"",G24,"")</f>
        <v>БЛОК САНУЗЛОВ 1 (2-ой ЭТАЖ)</v>
      </c>
      <c r="H28" s="2">
        <v>0</v>
      </c>
      <c r="I28" s="2"/>
      <c r="J28" s="2"/>
      <c r="K28" s="2"/>
      <c r="L28" s="2"/>
      <c r="M28" s="2"/>
      <c r="N28" s="2"/>
      <c r="O28" s="2">
        <f t="shared" ref="O28:Y28" si="21">AB28</f>
        <v>0</v>
      </c>
      <c r="P28" s="2">
        <f t="shared" si="21"/>
        <v>0</v>
      </c>
      <c r="Q28" s="2">
        <f t="shared" si="21"/>
        <v>0</v>
      </c>
      <c r="R28" s="2">
        <f t="shared" si="21"/>
        <v>0</v>
      </c>
      <c r="S28" s="2">
        <f t="shared" si="21"/>
        <v>0</v>
      </c>
      <c r="T28" s="2">
        <f t="shared" si="21"/>
        <v>0</v>
      </c>
      <c r="U28" s="2">
        <f t="shared" si="21"/>
        <v>0</v>
      </c>
      <c r="V28" s="2">
        <f t="shared" si="21"/>
        <v>0</v>
      </c>
      <c r="W28" s="2">
        <f t="shared" si="21"/>
        <v>0</v>
      </c>
      <c r="X28" s="2">
        <f t="shared" si="21"/>
        <v>0</v>
      </c>
      <c r="Y28" s="2">
        <f t="shared" si="21"/>
        <v>0</v>
      </c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>
        <f t="shared" ref="AO28:BD28" si="22">BX28</f>
        <v>0</v>
      </c>
      <c r="AP28" s="2">
        <f t="shared" si="22"/>
        <v>0</v>
      </c>
      <c r="AQ28" s="2">
        <f t="shared" si="22"/>
        <v>0</v>
      </c>
      <c r="AR28" s="2">
        <f t="shared" si="22"/>
        <v>0</v>
      </c>
      <c r="AS28" s="2">
        <f t="shared" si="22"/>
        <v>0</v>
      </c>
      <c r="AT28" s="2">
        <f t="shared" si="22"/>
        <v>0</v>
      </c>
      <c r="AU28" s="2">
        <f t="shared" si="22"/>
        <v>0</v>
      </c>
      <c r="AV28" s="2">
        <f t="shared" si="22"/>
        <v>0</v>
      </c>
      <c r="AW28" s="2">
        <f t="shared" si="22"/>
        <v>0</v>
      </c>
      <c r="AX28" s="2">
        <f t="shared" si="22"/>
        <v>0</v>
      </c>
      <c r="AY28" s="2">
        <f t="shared" si="22"/>
        <v>0</v>
      </c>
      <c r="AZ28" s="2">
        <f t="shared" si="22"/>
        <v>0</v>
      </c>
      <c r="BA28" s="2">
        <f t="shared" si="22"/>
        <v>0</v>
      </c>
      <c r="BB28" s="2">
        <f t="shared" si="22"/>
        <v>0</v>
      </c>
      <c r="BC28" s="2">
        <f t="shared" si="22"/>
        <v>0</v>
      </c>
      <c r="BD28" s="2">
        <f t="shared" si="22"/>
        <v>0</v>
      </c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>
        <v>0</v>
      </c>
    </row>
    <row r="30" spans="1:206" x14ac:dyDescent="0.2">
      <c r="A30" s="4">
        <v>50</v>
      </c>
      <c r="B30" s="4">
        <v>0</v>
      </c>
      <c r="C30" s="4">
        <v>0</v>
      </c>
      <c r="D30" s="4">
        <v>1</v>
      </c>
      <c r="E30" s="4">
        <v>201</v>
      </c>
      <c r="F30" s="4">
        <f>ROUND(Source!O28,O30)</f>
        <v>0</v>
      </c>
      <c r="G30" s="4" t="s">
        <v>22</v>
      </c>
      <c r="H30" s="4" t="s">
        <v>23</v>
      </c>
      <c r="I30" s="4"/>
      <c r="J30" s="4"/>
      <c r="K30" s="4">
        <v>201</v>
      </c>
      <c r="L30" s="4">
        <v>1</v>
      </c>
      <c r="M30" s="4">
        <v>3</v>
      </c>
      <c r="N30" s="4" t="s">
        <v>6</v>
      </c>
      <c r="O30" s="4">
        <v>0</v>
      </c>
      <c r="P30" s="4"/>
      <c r="Q30" s="4"/>
      <c r="R30" s="4"/>
      <c r="S30" s="4"/>
      <c r="T30" s="4"/>
      <c r="U30" s="4"/>
      <c r="V30" s="4"/>
      <c r="W30" s="4">
        <v>0</v>
      </c>
      <c r="X30" s="4">
        <v>1</v>
      </c>
      <c r="Y30" s="4">
        <v>0</v>
      </c>
      <c r="Z30" s="4"/>
      <c r="AA30" s="4"/>
      <c r="AB30" s="4"/>
    </row>
    <row r="31" spans="1:206" x14ac:dyDescent="0.2">
      <c r="A31" s="4">
        <v>50</v>
      </c>
      <c r="B31" s="4">
        <v>0</v>
      </c>
      <c r="C31" s="4">
        <v>0</v>
      </c>
      <c r="D31" s="4">
        <v>1</v>
      </c>
      <c r="E31" s="4">
        <v>202</v>
      </c>
      <c r="F31" s="4">
        <f>ROUND(Source!P28,O31)</f>
        <v>0</v>
      </c>
      <c r="G31" s="4" t="s">
        <v>24</v>
      </c>
      <c r="H31" s="4" t="s">
        <v>25</v>
      </c>
      <c r="I31" s="4"/>
      <c r="J31" s="4"/>
      <c r="K31" s="4">
        <v>202</v>
      </c>
      <c r="L31" s="4">
        <v>2</v>
      </c>
      <c r="M31" s="4">
        <v>3</v>
      </c>
      <c r="N31" s="4" t="s">
        <v>6</v>
      </c>
      <c r="O31" s="4">
        <v>0</v>
      </c>
      <c r="P31" s="4"/>
      <c r="Q31" s="4"/>
      <c r="R31" s="4"/>
      <c r="S31" s="4"/>
      <c r="T31" s="4"/>
      <c r="U31" s="4"/>
      <c r="V31" s="4"/>
      <c r="W31" s="4">
        <v>0</v>
      </c>
      <c r="X31" s="4">
        <v>1</v>
      </c>
      <c r="Y31" s="4">
        <v>0</v>
      </c>
      <c r="Z31" s="4"/>
      <c r="AA31" s="4"/>
      <c r="AB31" s="4"/>
    </row>
    <row r="32" spans="1:206" x14ac:dyDescent="0.2">
      <c r="A32" s="4">
        <v>50</v>
      </c>
      <c r="B32" s="4">
        <v>0</v>
      </c>
      <c r="C32" s="4">
        <v>0</v>
      </c>
      <c r="D32" s="4">
        <v>1</v>
      </c>
      <c r="E32" s="4">
        <v>222</v>
      </c>
      <c r="F32" s="4">
        <f>ROUND(Source!AO28,O32)</f>
        <v>0</v>
      </c>
      <c r="G32" s="4" t="s">
        <v>26</v>
      </c>
      <c r="H32" s="4" t="s">
        <v>27</v>
      </c>
      <c r="I32" s="4"/>
      <c r="J32" s="4"/>
      <c r="K32" s="4">
        <v>222</v>
      </c>
      <c r="L32" s="4">
        <v>3</v>
      </c>
      <c r="M32" s="4">
        <v>3</v>
      </c>
      <c r="N32" s="4" t="s">
        <v>6</v>
      </c>
      <c r="O32" s="4">
        <v>0</v>
      </c>
      <c r="P32" s="4"/>
      <c r="Q32" s="4"/>
      <c r="R32" s="4"/>
      <c r="S32" s="4"/>
      <c r="T32" s="4"/>
      <c r="U32" s="4"/>
      <c r="V32" s="4"/>
      <c r="W32" s="4">
        <v>0</v>
      </c>
      <c r="X32" s="4">
        <v>1</v>
      </c>
      <c r="Y32" s="4">
        <v>0</v>
      </c>
      <c r="Z32" s="4"/>
      <c r="AA32" s="4"/>
      <c r="AB32" s="4"/>
    </row>
    <row r="33" spans="1:28" x14ac:dyDescent="0.2">
      <c r="A33" s="4">
        <v>50</v>
      </c>
      <c r="B33" s="4">
        <v>0</v>
      </c>
      <c r="C33" s="4">
        <v>0</v>
      </c>
      <c r="D33" s="4">
        <v>1</v>
      </c>
      <c r="E33" s="4">
        <v>225</v>
      </c>
      <c r="F33" s="4">
        <f>ROUND(Source!AV28,O33)</f>
        <v>0</v>
      </c>
      <c r="G33" s="4" t="s">
        <v>28</v>
      </c>
      <c r="H33" s="4" t="s">
        <v>29</v>
      </c>
      <c r="I33" s="4"/>
      <c r="J33" s="4"/>
      <c r="K33" s="4">
        <v>225</v>
      </c>
      <c r="L33" s="4">
        <v>4</v>
      </c>
      <c r="M33" s="4">
        <v>3</v>
      </c>
      <c r="N33" s="4" t="s">
        <v>6</v>
      </c>
      <c r="O33" s="4">
        <v>0</v>
      </c>
      <c r="P33" s="4"/>
      <c r="Q33" s="4"/>
      <c r="R33" s="4"/>
      <c r="S33" s="4"/>
      <c r="T33" s="4"/>
      <c r="U33" s="4"/>
      <c r="V33" s="4"/>
      <c r="W33" s="4">
        <v>0</v>
      </c>
      <c r="X33" s="4">
        <v>1</v>
      </c>
      <c r="Y33" s="4">
        <v>0</v>
      </c>
      <c r="Z33" s="4"/>
      <c r="AA33" s="4"/>
      <c r="AB33" s="4"/>
    </row>
    <row r="34" spans="1:28" x14ac:dyDescent="0.2">
      <c r="A34" s="4">
        <v>50</v>
      </c>
      <c r="B34" s="4">
        <v>0</v>
      </c>
      <c r="C34" s="4">
        <v>0</v>
      </c>
      <c r="D34" s="4">
        <v>1</v>
      </c>
      <c r="E34" s="4">
        <v>226</v>
      </c>
      <c r="F34" s="4">
        <f>ROUND(Source!AW28,O34)</f>
        <v>0</v>
      </c>
      <c r="G34" s="4" t="s">
        <v>30</v>
      </c>
      <c r="H34" s="4" t="s">
        <v>31</v>
      </c>
      <c r="I34" s="4"/>
      <c r="J34" s="4"/>
      <c r="K34" s="4">
        <v>226</v>
      </c>
      <c r="L34" s="4">
        <v>5</v>
      </c>
      <c r="M34" s="4">
        <v>3</v>
      </c>
      <c r="N34" s="4" t="s">
        <v>6</v>
      </c>
      <c r="O34" s="4">
        <v>0</v>
      </c>
      <c r="P34" s="4"/>
      <c r="Q34" s="4"/>
      <c r="R34" s="4"/>
      <c r="S34" s="4"/>
      <c r="T34" s="4"/>
      <c r="U34" s="4"/>
      <c r="V34" s="4"/>
      <c r="W34" s="4">
        <v>0</v>
      </c>
      <c r="X34" s="4">
        <v>1</v>
      </c>
      <c r="Y34" s="4">
        <v>0</v>
      </c>
      <c r="Z34" s="4"/>
      <c r="AA34" s="4"/>
      <c r="AB34" s="4"/>
    </row>
    <row r="35" spans="1:28" x14ac:dyDescent="0.2">
      <c r="A35" s="4">
        <v>50</v>
      </c>
      <c r="B35" s="4">
        <v>0</v>
      </c>
      <c r="C35" s="4">
        <v>0</v>
      </c>
      <c r="D35" s="4">
        <v>1</v>
      </c>
      <c r="E35" s="4">
        <v>227</v>
      </c>
      <c r="F35" s="4">
        <f>ROUND(Source!AX28,O35)</f>
        <v>0</v>
      </c>
      <c r="G35" s="4" t="s">
        <v>32</v>
      </c>
      <c r="H35" s="4" t="s">
        <v>33</v>
      </c>
      <c r="I35" s="4"/>
      <c r="J35" s="4"/>
      <c r="K35" s="4">
        <v>227</v>
      </c>
      <c r="L35" s="4">
        <v>6</v>
      </c>
      <c r="M35" s="4">
        <v>3</v>
      </c>
      <c r="N35" s="4" t="s">
        <v>6</v>
      </c>
      <c r="O35" s="4">
        <v>0</v>
      </c>
      <c r="P35" s="4"/>
      <c r="Q35" s="4"/>
      <c r="R35" s="4"/>
      <c r="S35" s="4"/>
      <c r="T35" s="4"/>
      <c r="U35" s="4"/>
      <c r="V35" s="4"/>
      <c r="W35" s="4">
        <v>0</v>
      </c>
      <c r="X35" s="4">
        <v>1</v>
      </c>
      <c r="Y35" s="4">
        <v>0</v>
      </c>
      <c r="Z35" s="4"/>
      <c r="AA35" s="4"/>
      <c r="AB35" s="4"/>
    </row>
    <row r="36" spans="1:28" x14ac:dyDescent="0.2">
      <c r="A36" s="4">
        <v>50</v>
      </c>
      <c r="B36" s="4">
        <v>0</v>
      </c>
      <c r="C36" s="4">
        <v>0</v>
      </c>
      <c r="D36" s="4">
        <v>1</v>
      </c>
      <c r="E36" s="4">
        <v>228</v>
      </c>
      <c r="F36" s="4">
        <f>ROUND(Source!AY28,O36)</f>
        <v>0</v>
      </c>
      <c r="G36" s="4" t="s">
        <v>34</v>
      </c>
      <c r="H36" s="4" t="s">
        <v>35</v>
      </c>
      <c r="I36" s="4"/>
      <c r="J36" s="4"/>
      <c r="K36" s="4">
        <v>228</v>
      </c>
      <c r="L36" s="4">
        <v>7</v>
      </c>
      <c r="M36" s="4">
        <v>3</v>
      </c>
      <c r="N36" s="4" t="s">
        <v>6</v>
      </c>
      <c r="O36" s="4">
        <v>0</v>
      </c>
      <c r="P36" s="4"/>
      <c r="Q36" s="4"/>
      <c r="R36" s="4"/>
      <c r="S36" s="4"/>
      <c r="T36" s="4"/>
      <c r="U36" s="4"/>
      <c r="V36" s="4"/>
      <c r="W36" s="4">
        <v>0</v>
      </c>
      <c r="X36" s="4">
        <v>1</v>
      </c>
      <c r="Y36" s="4">
        <v>0</v>
      </c>
      <c r="Z36" s="4"/>
      <c r="AA36" s="4"/>
      <c r="AB36" s="4"/>
    </row>
    <row r="37" spans="1:28" x14ac:dyDescent="0.2">
      <c r="A37" s="4">
        <v>50</v>
      </c>
      <c r="B37" s="4">
        <v>0</v>
      </c>
      <c r="C37" s="4">
        <v>0</v>
      </c>
      <c r="D37" s="4">
        <v>1</v>
      </c>
      <c r="E37" s="4">
        <v>216</v>
      </c>
      <c r="F37" s="4">
        <f>ROUND(Source!AP28,O37)</f>
        <v>0</v>
      </c>
      <c r="G37" s="4" t="s">
        <v>36</v>
      </c>
      <c r="H37" s="4" t="s">
        <v>37</v>
      </c>
      <c r="I37" s="4"/>
      <c r="J37" s="4"/>
      <c r="K37" s="4">
        <v>216</v>
      </c>
      <c r="L37" s="4">
        <v>8</v>
      </c>
      <c r="M37" s="4">
        <v>3</v>
      </c>
      <c r="N37" s="4" t="s">
        <v>6</v>
      </c>
      <c r="O37" s="4">
        <v>0</v>
      </c>
      <c r="P37" s="4"/>
      <c r="Q37" s="4"/>
      <c r="R37" s="4"/>
      <c r="S37" s="4"/>
      <c r="T37" s="4"/>
      <c r="U37" s="4"/>
      <c r="V37" s="4"/>
      <c r="W37" s="4">
        <v>0</v>
      </c>
      <c r="X37" s="4">
        <v>1</v>
      </c>
      <c r="Y37" s="4">
        <v>0</v>
      </c>
      <c r="Z37" s="4"/>
      <c r="AA37" s="4"/>
      <c r="AB37" s="4"/>
    </row>
    <row r="38" spans="1:28" x14ac:dyDescent="0.2">
      <c r="A38" s="4">
        <v>50</v>
      </c>
      <c r="B38" s="4">
        <v>0</v>
      </c>
      <c r="C38" s="4">
        <v>0</v>
      </c>
      <c r="D38" s="4">
        <v>1</v>
      </c>
      <c r="E38" s="4">
        <v>223</v>
      </c>
      <c r="F38" s="4">
        <f>ROUND(Source!AQ28,O38)</f>
        <v>0</v>
      </c>
      <c r="G38" s="4" t="s">
        <v>38</v>
      </c>
      <c r="H38" s="4" t="s">
        <v>39</v>
      </c>
      <c r="I38" s="4"/>
      <c r="J38" s="4"/>
      <c r="K38" s="4">
        <v>223</v>
      </c>
      <c r="L38" s="4">
        <v>9</v>
      </c>
      <c r="M38" s="4">
        <v>3</v>
      </c>
      <c r="N38" s="4" t="s">
        <v>6</v>
      </c>
      <c r="O38" s="4">
        <v>0</v>
      </c>
      <c r="P38" s="4"/>
      <c r="Q38" s="4"/>
      <c r="R38" s="4"/>
      <c r="S38" s="4"/>
      <c r="T38" s="4"/>
      <c r="U38" s="4"/>
      <c r="V38" s="4"/>
      <c r="W38" s="4">
        <v>0</v>
      </c>
      <c r="X38" s="4">
        <v>1</v>
      </c>
      <c r="Y38" s="4">
        <v>0</v>
      </c>
      <c r="Z38" s="4"/>
      <c r="AA38" s="4"/>
      <c r="AB38" s="4"/>
    </row>
    <row r="39" spans="1:28" x14ac:dyDescent="0.2">
      <c r="A39" s="4">
        <v>50</v>
      </c>
      <c r="B39" s="4">
        <v>0</v>
      </c>
      <c r="C39" s="4">
        <v>0</v>
      </c>
      <c r="D39" s="4">
        <v>1</v>
      </c>
      <c r="E39" s="4">
        <v>229</v>
      </c>
      <c r="F39" s="4">
        <f>ROUND(Source!AZ28,O39)</f>
        <v>0</v>
      </c>
      <c r="G39" s="4" t="s">
        <v>40</v>
      </c>
      <c r="H39" s="4" t="s">
        <v>41</v>
      </c>
      <c r="I39" s="4"/>
      <c r="J39" s="4"/>
      <c r="K39" s="4">
        <v>229</v>
      </c>
      <c r="L39" s="4">
        <v>10</v>
      </c>
      <c r="M39" s="4">
        <v>3</v>
      </c>
      <c r="N39" s="4" t="s">
        <v>6</v>
      </c>
      <c r="O39" s="4">
        <v>0</v>
      </c>
      <c r="P39" s="4"/>
      <c r="Q39" s="4"/>
      <c r="R39" s="4"/>
      <c r="S39" s="4"/>
      <c r="T39" s="4"/>
      <c r="U39" s="4"/>
      <c r="V39" s="4"/>
      <c r="W39" s="4">
        <v>0</v>
      </c>
      <c r="X39" s="4">
        <v>1</v>
      </c>
      <c r="Y39" s="4">
        <v>0</v>
      </c>
      <c r="Z39" s="4"/>
      <c r="AA39" s="4"/>
      <c r="AB39" s="4"/>
    </row>
    <row r="40" spans="1:28" x14ac:dyDescent="0.2">
      <c r="A40" s="4">
        <v>50</v>
      </c>
      <c r="B40" s="4">
        <v>0</v>
      </c>
      <c r="C40" s="4">
        <v>0</v>
      </c>
      <c r="D40" s="4">
        <v>1</v>
      </c>
      <c r="E40" s="4">
        <v>203</v>
      </c>
      <c r="F40" s="4">
        <f>ROUND(Source!Q28,O40)</f>
        <v>0</v>
      </c>
      <c r="G40" s="4" t="s">
        <v>42</v>
      </c>
      <c r="H40" s="4" t="s">
        <v>43</v>
      </c>
      <c r="I40" s="4"/>
      <c r="J40" s="4"/>
      <c r="K40" s="4">
        <v>203</v>
      </c>
      <c r="L40" s="4">
        <v>11</v>
      </c>
      <c r="M40" s="4">
        <v>3</v>
      </c>
      <c r="N40" s="4" t="s">
        <v>6</v>
      </c>
      <c r="O40" s="4">
        <v>0</v>
      </c>
      <c r="P40" s="4"/>
      <c r="Q40" s="4"/>
      <c r="R40" s="4"/>
      <c r="S40" s="4"/>
      <c r="T40" s="4"/>
      <c r="U40" s="4"/>
      <c r="V40" s="4"/>
      <c r="W40" s="4">
        <v>0</v>
      </c>
      <c r="X40" s="4">
        <v>1</v>
      </c>
      <c r="Y40" s="4">
        <v>0</v>
      </c>
      <c r="Z40" s="4"/>
      <c r="AA40" s="4"/>
      <c r="AB40" s="4"/>
    </row>
    <row r="41" spans="1:28" x14ac:dyDescent="0.2">
      <c r="A41" s="4">
        <v>50</v>
      </c>
      <c r="B41" s="4">
        <v>0</v>
      </c>
      <c r="C41" s="4">
        <v>0</v>
      </c>
      <c r="D41" s="4">
        <v>1</v>
      </c>
      <c r="E41" s="4">
        <v>231</v>
      </c>
      <c r="F41" s="4">
        <f>ROUND(Source!BB28,O41)</f>
        <v>0</v>
      </c>
      <c r="G41" s="4" t="s">
        <v>44</v>
      </c>
      <c r="H41" s="4" t="s">
        <v>45</v>
      </c>
      <c r="I41" s="4"/>
      <c r="J41" s="4"/>
      <c r="K41" s="4">
        <v>231</v>
      </c>
      <c r="L41" s="4">
        <v>12</v>
      </c>
      <c r="M41" s="4">
        <v>3</v>
      </c>
      <c r="N41" s="4" t="s">
        <v>6</v>
      </c>
      <c r="O41" s="4">
        <v>0</v>
      </c>
      <c r="P41" s="4"/>
      <c r="Q41" s="4"/>
      <c r="R41" s="4"/>
      <c r="S41" s="4"/>
      <c r="T41" s="4"/>
      <c r="U41" s="4"/>
      <c r="V41" s="4"/>
      <c r="W41" s="4">
        <v>0</v>
      </c>
      <c r="X41" s="4">
        <v>1</v>
      </c>
      <c r="Y41" s="4">
        <v>0</v>
      </c>
      <c r="Z41" s="4"/>
      <c r="AA41" s="4"/>
      <c r="AB41" s="4"/>
    </row>
    <row r="42" spans="1:28" x14ac:dyDescent="0.2">
      <c r="A42" s="4">
        <v>50</v>
      </c>
      <c r="B42" s="4">
        <v>0</v>
      </c>
      <c r="C42" s="4">
        <v>0</v>
      </c>
      <c r="D42" s="4">
        <v>1</v>
      </c>
      <c r="E42" s="4">
        <v>204</v>
      </c>
      <c r="F42" s="4">
        <f>ROUND(Source!R28,O42)</f>
        <v>0</v>
      </c>
      <c r="G42" s="4" t="s">
        <v>46</v>
      </c>
      <c r="H42" s="4" t="s">
        <v>47</v>
      </c>
      <c r="I42" s="4"/>
      <c r="J42" s="4"/>
      <c r="K42" s="4">
        <v>204</v>
      </c>
      <c r="L42" s="4">
        <v>13</v>
      </c>
      <c r="M42" s="4">
        <v>3</v>
      </c>
      <c r="N42" s="4" t="s">
        <v>6</v>
      </c>
      <c r="O42" s="4">
        <v>0</v>
      </c>
      <c r="P42" s="4"/>
      <c r="Q42" s="4"/>
      <c r="R42" s="4"/>
      <c r="S42" s="4"/>
      <c r="T42" s="4"/>
      <c r="U42" s="4"/>
      <c r="V42" s="4"/>
      <c r="W42" s="4">
        <v>0</v>
      </c>
      <c r="X42" s="4">
        <v>1</v>
      </c>
      <c r="Y42" s="4">
        <v>0</v>
      </c>
      <c r="Z42" s="4"/>
      <c r="AA42" s="4"/>
      <c r="AB42" s="4"/>
    </row>
    <row r="43" spans="1:28" x14ac:dyDescent="0.2">
      <c r="A43" s="4">
        <v>50</v>
      </c>
      <c r="B43" s="4">
        <v>0</v>
      </c>
      <c r="C43" s="4">
        <v>0</v>
      </c>
      <c r="D43" s="4">
        <v>1</v>
      </c>
      <c r="E43" s="4">
        <v>205</v>
      </c>
      <c r="F43" s="4">
        <f>ROUND(Source!S28,O43)</f>
        <v>0</v>
      </c>
      <c r="G43" s="4" t="s">
        <v>48</v>
      </c>
      <c r="H43" s="4" t="s">
        <v>49</v>
      </c>
      <c r="I43" s="4"/>
      <c r="J43" s="4"/>
      <c r="K43" s="4">
        <v>205</v>
      </c>
      <c r="L43" s="4">
        <v>14</v>
      </c>
      <c r="M43" s="4">
        <v>3</v>
      </c>
      <c r="N43" s="4" t="s">
        <v>6</v>
      </c>
      <c r="O43" s="4">
        <v>0</v>
      </c>
      <c r="P43" s="4"/>
      <c r="Q43" s="4"/>
      <c r="R43" s="4"/>
      <c r="S43" s="4"/>
      <c r="T43" s="4"/>
      <c r="U43" s="4"/>
      <c r="V43" s="4"/>
      <c r="W43" s="4">
        <v>0</v>
      </c>
      <c r="X43" s="4">
        <v>1</v>
      </c>
      <c r="Y43" s="4">
        <v>0</v>
      </c>
      <c r="Z43" s="4"/>
      <c r="AA43" s="4"/>
      <c r="AB43" s="4"/>
    </row>
    <row r="44" spans="1:28" x14ac:dyDescent="0.2">
      <c r="A44" s="4">
        <v>50</v>
      </c>
      <c r="B44" s="4">
        <v>0</v>
      </c>
      <c r="C44" s="4">
        <v>0</v>
      </c>
      <c r="D44" s="4">
        <v>1</v>
      </c>
      <c r="E44" s="4">
        <v>232</v>
      </c>
      <c r="F44" s="4">
        <f>ROUND(Source!BC28,O44)</f>
        <v>0</v>
      </c>
      <c r="G44" s="4" t="s">
        <v>50</v>
      </c>
      <c r="H44" s="4" t="s">
        <v>51</v>
      </c>
      <c r="I44" s="4"/>
      <c r="J44" s="4"/>
      <c r="K44" s="4">
        <v>232</v>
      </c>
      <c r="L44" s="4">
        <v>15</v>
      </c>
      <c r="M44" s="4">
        <v>3</v>
      </c>
      <c r="N44" s="4" t="s">
        <v>6</v>
      </c>
      <c r="O44" s="4">
        <v>0</v>
      </c>
      <c r="P44" s="4"/>
      <c r="Q44" s="4"/>
      <c r="R44" s="4"/>
      <c r="S44" s="4"/>
      <c r="T44" s="4"/>
      <c r="U44" s="4"/>
      <c r="V44" s="4"/>
      <c r="W44" s="4">
        <v>0</v>
      </c>
      <c r="X44" s="4">
        <v>1</v>
      </c>
      <c r="Y44" s="4">
        <v>0</v>
      </c>
      <c r="Z44" s="4"/>
      <c r="AA44" s="4"/>
      <c r="AB44" s="4"/>
    </row>
    <row r="45" spans="1:28" x14ac:dyDescent="0.2">
      <c r="A45" s="4">
        <v>50</v>
      </c>
      <c r="B45" s="4">
        <v>0</v>
      </c>
      <c r="C45" s="4">
        <v>0</v>
      </c>
      <c r="D45" s="4">
        <v>1</v>
      </c>
      <c r="E45" s="4">
        <v>214</v>
      </c>
      <c r="F45" s="4">
        <f>ROUND(Source!AS28,O45)</f>
        <v>0</v>
      </c>
      <c r="G45" s="4" t="s">
        <v>52</v>
      </c>
      <c r="H45" s="4" t="s">
        <v>53</v>
      </c>
      <c r="I45" s="4"/>
      <c r="J45" s="4"/>
      <c r="K45" s="4">
        <v>214</v>
      </c>
      <c r="L45" s="4">
        <v>16</v>
      </c>
      <c r="M45" s="4">
        <v>3</v>
      </c>
      <c r="N45" s="4" t="s">
        <v>6</v>
      </c>
      <c r="O45" s="4">
        <v>0</v>
      </c>
      <c r="P45" s="4"/>
      <c r="Q45" s="4"/>
      <c r="R45" s="4"/>
      <c r="S45" s="4"/>
      <c r="T45" s="4"/>
      <c r="U45" s="4"/>
      <c r="V45" s="4"/>
      <c r="W45" s="4">
        <v>0</v>
      </c>
      <c r="X45" s="4">
        <v>1</v>
      </c>
      <c r="Y45" s="4">
        <v>0</v>
      </c>
      <c r="Z45" s="4"/>
      <c r="AA45" s="4"/>
      <c r="AB45" s="4"/>
    </row>
    <row r="46" spans="1:28" x14ac:dyDescent="0.2">
      <c r="A46" s="4">
        <v>50</v>
      </c>
      <c r="B46" s="4">
        <v>0</v>
      </c>
      <c r="C46" s="4">
        <v>0</v>
      </c>
      <c r="D46" s="4">
        <v>1</v>
      </c>
      <c r="E46" s="4">
        <v>215</v>
      </c>
      <c r="F46" s="4">
        <f>ROUND(Source!AT28,O46)</f>
        <v>0</v>
      </c>
      <c r="G46" s="4" t="s">
        <v>54</v>
      </c>
      <c r="H46" s="4" t="s">
        <v>55</v>
      </c>
      <c r="I46" s="4"/>
      <c r="J46" s="4"/>
      <c r="K46" s="4">
        <v>215</v>
      </c>
      <c r="L46" s="4">
        <v>17</v>
      </c>
      <c r="M46" s="4">
        <v>3</v>
      </c>
      <c r="N46" s="4" t="s">
        <v>6</v>
      </c>
      <c r="O46" s="4">
        <v>0</v>
      </c>
      <c r="P46" s="4"/>
      <c r="Q46" s="4"/>
      <c r="R46" s="4"/>
      <c r="S46" s="4"/>
      <c r="T46" s="4"/>
      <c r="U46" s="4"/>
      <c r="V46" s="4"/>
      <c r="W46" s="4">
        <v>0</v>
      </c>
      <c r="X46" s="4">
        <v>1</v>
      </c>
      <c r="Y46" s="4">
        <v>0</v>
      </c>
      <c r="Z46" s="4"/>
      <c r="AA46" s="4"/>
      <c r="AB46" s="4"/>
    </row>
    <row r="47" spans="1:28" x14ac:dyDescent="0.2">
      <c r="A47" s="4">
        <v>50</v>
      </c>
      <c r="B47" s="4">
        <v>0</v>
      </c>
      <c r="C47" s="4">
        <v>0</v>
      </c>
      <c r="D47" s="4">
        <v>1</v>
      </c>
      <c r="E47" s="4">
        <v>217</v>
      </c>
      <c r="F47" s="4">
        <f>ROUND(Source!AU28,O47)</f>
        <v>0</v>
      </c>
      <c r="G47" s="4" t="s">
        <v>56</v>
      </c>
      <c r="H47" s="4" t="s">
        <v>57</v>
      </c>
      <c r="I47" s="4"/>
      <c r="J47" s="4"/>
      <c r="K47" s="4">
        <v>217</v>
      </c>
      <c r="L47" s="4">
        <v>18</v>
      </c>
      <c r="M47" s="4">
        <v>3</v>
      </c>
      <c r="N47" s="4" t="s">
        <v>6</v>
      </c>
      <c r="O47" s="4">
        <v>0</v>
      </c>
      <c r="P47" s="4"/>
      <c r="Q47" s="4"/>
      <c r="R47" s="4"/>
      <c r="S47" s="4"/>
      <c r="T47" s="4"/>
      <c r="U47" s="4"/>
      <c r="V47" s="4"/>
      <c r="W47" s="4">
        <v>0</v>
      </c>
      <c r="X47" s="4">
        <v>1</v>
      </c>
      <c r="Y47" s="4">
        <v>0</v>
      </c>
      <c r="Z47" s="4"/>
      <c r="AA47" s="4"/>
      <c r="AB47" s="4"/>
    </row>
    <row r="48" spans="1:28" x14ac:dyDescent="0.2">
      <c r="A48" s="4">
        <v>50</v>
      </c>
      <c r="B48" s="4">
        <v>0</v>
      </c>
      <c r="C48" s="4">
        <v>0</v>
      </c>
      <c r="D48" s="4">
        <v>1</v>
      </c>
      <c r="E48" s="4">
        <v>230</v>
      </c>
      <c r="F48" s="4">
        <f>ROUND(Source!BA28,O48)</f>
        <v>0</v>
      </c>
      <c r="G48" s="4" t="s">
        <v>58</v>
      </c>
      <c r="H48" s="4" t="s">
        <v>59</v>
      </c>
      <c r="I48" s="4"/>
      <c r="J48" s="4"/>
      <c r="K48" s="4">
        <v>230</v>
      </c>
      <c r="L48" s="4">
        <v>19</v>
      </c>
      <c r="M48" s="4">
        <v>3</v>
      </c>
      <c r="N48" s="4" t="s">
        <v>6</v>
      </c>
      <c r="O48" s="4">
        <v>0</v>
      </c>
      <c r="P48" s="4"/>
      <c r="Q48" s="4"/>
      <c r="R48" s="4"/>
      <c r="S48" s="4"/>
      <c r="T48" s="4"/>
      <c r="U48" s="4"/>
      <c r="V48" s="4"/>
      <c r="W48" s="4">
        <v>0</v>
      </c>
      <c r="X48" s="4">
        <v>1</v>
      </c>
      <c r="Y48" s="4">
        <v>0</v>
      </c>
      <c r="Z48" s="4"/>
      <c r="AA48" s="4"/>
      <c r="AB48" s="4"/>
    </row>
    <row r="49" spans="1:206" x14ac:dyDescent="0.2">
      <c r="A49" s="4">
        <v>50</v>
      </c>
      <c r="B49" s="4">
        <v>0</v>
      </c>
      <c r="C49" s="4">
        <v>0</v>
      </c>
      <c r="D49" s="4">
        <v>1</v>
      </c>
      <c r="E49" s="4">
        <v>206</v>
      </c>
      <c r="F49" s="4">
        <f>ROUND(Source!T28,O49)</f>
        <v>0</v>
      </c>
      <c r="G49" s="4" t="s">
        <v>60</v>
      </c>
      <c r="H49" s="4" t="s">
        <v>61</v>
      </c>
      <c r="I49" s="4"/>
      <c r="J49" s="4"/>
      <c r="K49" s="4">
        <v>206</v>
      </c>
      <c r="L49" s="4">
        <v>20</v>
      </c>
      <c r="M49" s="4">
        <v>3</v>
      </c>
      <c r="N49" s="4" t="s">
        <v>6</v>
      </c>
      <c r="O49" s="4">
        <v>0</v>
      </c>
      <c r="P49" s="4"/>
      <c r="Q49" s="4"/>
      <c r="R49" s="4"/>
      <c r="S49" s="4"/>
      <c r="T49" s="4"/>
      <c r="U49" s="4"/>
      <c r="V49" s="4"/>
      <c r="W49" s="4">
        <v>0</v>
      </c>
      <c r="X49" s="4">
        <v>1</v>
      </c>
      <c r="Y49" s="4">
        <v>0</v>
      </c>
      <c r="Z49" s="4"/>
      <c r="AA49" s="4"/>
      <c r="AB49" s="4"/>
    </row>
    <row r="50" spans="1:206" x14ac:dyDescent="0.2">
      <c r="A50" s="4">
        <v>50</v>
      </c>
      <c r="B50" s="4">
        <v>0</v>
      </c>
      <c r="C50" s="4">
        <v>0</v>
      </c>
      <c r="D50" s="4">
        <v>1</v>
      </c>
      <c r="E50" s="4">
        <v>207</v>
      </c>
      <c r="F50" s="4">
        <f>ROUND(Source!U28,O50)</f>
        <v>0</v>
      </c>
      <c r="G50" s="4" t="s">
        <v>62</v>
      </c>
      <c r="H50" s="4" t="s">
        <v>63</v>
      </c>
      <c r="I50" s="4"/>
      <c r="J50" s="4"/>
      <c r="K50" s="4">
        <v>207</v>
      </c>
      <c r="L50" s="4">
        <v>21</v>
      </c>
      <c r="M50" s="4">
        <v>3</v>
      </c>
      <c r="N50" s="4" t="s">
        <v>6</v>
      </c>
      <c r="O50" s="4">
        <v>7</v>
      </c>
      <c r="P50" s="4"/>
      <c r="Q50" s="4"/>
      <c r="R50" s="4"/>
      <c r="S50" s="4"/>
      <c r="T50" s="4"/>
      <c r="U50" s="4"/>
      <c r="V50" s="4"/>
      <c r="W50" s="4">
        <v>0</v>
      </c>
      <c r="X50" s="4">
        <v>1</v>
      </c>
      <c r="Y50" s="4">
        <v>0</v>
      </c>
      <c r="Z50" s="4"/>
      <c r="AA50" s="4"/>
      <c r="AB50" s="4"/>
    </row>
    <row r="51" spans="1:206" x14ac:dyDescent="0.2">
      <c r="A51" s="4">
        <v>50</v>
      </c>
      <c r="B51" s="4">
        <v>0</v>
      </c>
      <c r="C51" s="4">
        <v>0</v>
      </c>
      <c r="D51" s="4">
        <v>1</v>
      </c>
      <c r="E51" s="4">
        <v>208</v>
      </c>
      <c r="F51" s="4">
        <f>ROUND(Source!V28,O51)</f>
        <v>0</v>
      </c>
      <c r="G51" s="4" t="s">
        <v>64</v>
      </c>
      <c r="H51" s="4" t="s">
        <v>65</v>
      </c>
      <c r="I51" s="4"/>
      <c r="J51" s="4"/>
      <c r="K51" s="4">
        <v>208</v>
      </c>
      <c r="L51" s="4">
        <v>22</v>
      </c>
      <c r="M51" s="4">
        <v>3</v>
      </c>
      <c r="N51" s="4" t="s">
        <v>6</v>
      </c>
      <c r="O51" s="4">
        <v>7</v>
      </c>
      <c r="P51" s="4"/>
      <c r="Q51" s="4"/>
      <c r="R51" s="4"/>
      <c r="S51" s="4"/>
      <c r="T51" s="4"/>
      <c r="U51" s="4"/>
      <c r="V51" s="4"/>
      <c r="W51" s="4">
        <v>0</v>
      </c>
      <c r="X51" s="4">
        <v>1</v>
      </c>
      <c r="Y51" s="4">
        <v>0</v>
      </c>
      <c r="Z51" s="4"/>
      <c r="AA51" s="4"/>
      <c r="AB51" s="4"/>
    </row>
    <row r="52" spans="1:206" x14ac:dyDescent="0.2">
      <c r="A52" s="4">
        <v>50</v>
      </c>
      <c r="B52" s="4">
        <v>0</v>
      </c>
      <c r="C52" s="4">
        <v>0</v>
      </c>
      <c r="D52" s="4">
        <v>1</v>
      </c>
      <c r="E52" s="4">
        <v>209</v>
      </c>
      <c r="F52" s="4">
        <f>ROUND(Source!W28,O52)</f>
        <v>0</v>
      </c>
      <c r="G52" s="4" t="s">
        <v>66</v>
      </c>
      <c r="H52" s="4" t="s">
        <v>67</v>
      </c>
      <c r="I52" s="4"/>
      <c r="J52" s="4"/>
      <c r="K52" s="4">
        <v>209</v>
      </c>
      <c r="L52" s="4">
        <v>23</v>
      </c>
      <c r="M52" s="4">
        <v>3</v>
      </c>
      <c r="N52" s="4" t="s">
        <v>6</v>
      </c>
      <c r="O52" s="4">
        <v>0</v>
      </c>
      <c r="P52" s="4"/>
      <c r="Q52" s="4"/>
      <c r="R52" s="4"/>
      <c r="S52" s="4"/>
      <c r="T52" s="4"/>
      <c r="U52" s="4"/>
      <c r="V52" s="4"/>
      <c r="W52" s="4">
        <v>0</v>
      </c>
      <c r="X52" s="4">
        <v>1</v>
      </c>
      <c r="Y52" s="4">
        <v>0</v>
      </c>
      <c r="Z52" s="4"/>
      <c r="AA52" s="4"/>
      <c r="AB52" s="4"/>
    </row>
    <row r="53" spans="1:206" x14ac:dyDescent="0.2">
      <c r="A53" s="4">
        <v>50</v>
      </c>
      <c r="B53" s="4">
        <v>0</v>
      </c>
      <c r="C53" s="4">
        <v>0</v>
      </c>
      <c r="D53" s="4">
        <v>1</v>
      </c>
      <c r="E53" s="4">
        <v>233</v>
      </c>
      <c r="F53" s="4">
        <f>ROUND(Source!BD28,O53)</f>
        <v>0</v>
      </c>
      <c r="G53" s="4" t="s">
        <v>68</v>
      </c>
      <c r="H53" s="4" t="s">
        <v>69</v>
      </c>
      <c r="I53" s="4"/>
      <c r="J53" s="4"/>
      <c r="K53" s="4">
        <v>233</v>
      </c>
      <c r="L53" s="4">
        <v>24</v>
      </c>
      <c r="M53" s="4">
        <v>3</v>
      </c>
      <c r="N53" s="4" t="s">
        <v>6</v>
      </c>
      <c r="O53" s="4">
        <v>0</v>
      </c>
      <c r="P53" s="4"/>
      <c r="Q53" s="4"/>
      <c r="R53" s="4"/>
      <c r="S53" s="4"/>
      <c r="T53" s="4"/>
      <c r="U53" s="4"/>
      <c r="V53" s="4"/>
      <c r="W53" s="4">
        <v>0</v>
      </c>
      <c r="X53" s="4">
        <v>1</v>
      </c>
      <c r="Y53" s="4">
        <v>0</v>
      </c>
      <c r="Z53" s="4"/>
      <c r="AA53" s="4"/>
      <c r="AB53" s="4"/>
    </row>
    <row r="54" spans="1:206" x14ac:dyDescent="0.2">
      <c r="A54" s="4">
        <v>50</v>
      </c>
      <c r="B54" s="4">
        <v>0</v>
      </c>
      <c r="C54" s="4">
        <v>0</v>
      </c>
      <c r="D54" s="4">
        <v>1</v>
      </c>
      <c r="E54" s="4">
        <v>210</v>
      </c>
      <c r="F54" s="4">
        <f>ROUND(Source!X28,O54)</f>
        <v>0</v>
      </c>
      <c r="G54" s="4" t="s">
        <v>70</v>
      </c>
      <c r="H54" s="4" t="s">
        <v>71</v>
      </c>
      <c r="I54" s="4"/>
      <c r="J54" s="4"/>
      <c r="K54" s="4">
        <v>210</v>
      </c>
      <c r="L54" s="4">
        <v>25</v>
      </c>
      <c r="M54" s="4">
        <v>3</v>
      </c>
      <c r="N54" s="4" t="s">
        <v>6</v>
      </c>
      <c r="O54" s="4">
        <v>0</v>
      </c>
      <c r="P54" s="4"/>
      <c r="Q54" s="4"/>
      <c r="R54" s="4"/>
      <c r="S54" s="4"/>
      <c r="T54" s="4"/>
      <c r="U54" s="4"/>
      <c r="V54" s="4"/>
      <c r="W54" s="4">
        <v>0</v>
      </c>
      <c r="X54" s="4">
        <v>1</v>
      </c>
      <c r="Y54" s="4">
        <v>0</v>
      </c>
      <c r="Z54" s="4"/>
      <c r="AA54" s="4"/>
      <c r="AB54" s="4"/>
    </row>
    <row r="55" spans="1:206" x14ac:dyDescent="0.2">
      <c r="A55" s="4">
        <v>50</v>
      </c>
      <c r="B55" s="4">
        <v>0</v>
      </c>
      <c r="C55" s="4">
        <v>0</v>
      </c>
      <c r="D55" s="4">
        <v>1</v>
      </c>
      <c r="E55" s="4">
        <v>211</v>
      </c>
      <c r="F55" s="4">
        <f>ROUND(Source!Y28,O55)</f>
        <v>0</v>
      </c>
      <c r="G55" s="4" t="s">
        <v>72</v>
      </c>
      <c r="H55" s="4" t="s">
        <v>73</v>
      </c>
      <c r="I55" s="4"/>
      <c r="J55" s="4"/>
      <c r="K55" s="4">
        <v>211</v>
      </c>
      <c r="L55" s="4">
        <v>26</v>
      </c>
      <c r="M55" s="4">
        <v>3</v>
      </c>
      <c r="N55" s="4" t="s">
        <v>6</v>
      </c>
      <c r="O55" s="4">
        <v>0</v>
      </c>
      <c r="P55" s="4"/>
      <c r="Q55" s="4"/>
      <c r="R55" s="4"/>
      <c r="S55" s="4"/>
      <c r="T55" s="4"/>
      <c r="U55" s="4"/>
      <c r="V55" s="4"/>
      <c r="W55" s="4">
        <v>0</v>
      </c>
      <c r="X55" s="4">
        <v>1</v>
      </c>
      <c r="Y55" s="4">
        <v>0</v>
      </c>
      <c r="Z55" s="4"/>
      <c r="AA55" s="4"/>
      <c r="AB55" s="4"/>
    </row>
    <row r="56" spans="1:206" x14ac:dyDescent="0.2">
      <c r="A56" s="4">
        <v>50</v>
      </c>
      <c r="B56" s="4">
        <v>0</v>
      </c>
      <c r="C56" s="4">
        <v>0</v>
      </c>
      <c r="D56" s="4">
        <v>1</v>
      </c>
      <c r="E56" s="4">
        <v>224</v>
      </c>
      <c r="F56" s="4">
        <f>ROUND(Source!AR28,O56)</f>
        <v>0</v>
      </c>
      <c r="G56" s="4" t="s">
        <v>74</v>
      </c>
      <c r="H56" s="4" t="s">
        <v>75</v>
      </c>
      <c r="I56" s="4"/>
      <c r="J56" s="4"/>
      <c r="K56" s="4">
        <v>224</v>
      </c>
      <c r="L56" s="4">
        <v>27</v>
      </c>
      <c r="M56" s="4">
        <v>3</v>
      </c>
      <c r="N56" s="4" t="s">
        <v>6</v>
      </c>
      <c r="O56" s="4">
        <v>0</v>
      </c>
      <c r="P56" s="4"/>
      <c r="Q56" s="4"/>
      <c r="R56" s="4"/>
      <c r="S56" s="4"/>
      <c r="T56" s="4"/>
      <c r="U56" s="4"/>
      <c r="V56" s="4"/>
      <c r="W56" s="4">
        <v>0</v>
      </c>
      <c r="X56" s="4">
        <v>1</v>
      </c>
      <c r="Y56" s="4">
        <v>0</v>
      </c>
      <c r="Z56" s="4"/>
      <c r="AA56" s="4"/>
      <c r="AB56" s="4"/>
    </row>
    <row r="58" spans="1:206" x14ac:dyDescent="0.2">
      <c r="A58" s="1">
        <v>4</v>
      </c>
      <c r="B58" s="1">
        <v>1</v>
      </c>
      <c r="C58" s="1"/>
      <c r="D58" s="1">
        <f>ROW(A62)</f>
        <v>62</v>
      </c>
      <c r="E58" s="1"/>
      <c r="F58" s="1" t="s">
        <v>76</v>
      </c>
      <c r="G58" s="1" t="s">
        <v>77</v>
      </c>
      <c r="H58" s="1" t="s">
        <v>6</v>
      </c>
      <c r="I58" s="1">
        <v>0</v>
      </c>
      <c r="J58" s="1"/>
      <c r="K58" s="1">
        <v>-1</v>
      </c>
      <c r="L58" s="1"/>
      <c r="M58" s="1" t="s">
        <v>6</v>
      </c>
      <c r="N58" s="1"/>
      <c r="O58" s="1"/>
      <c r="P58" s="1"/>
      <c r="Q58" s="1"/>
      <c r="R58" s="1"/>
      <c r="S58" s="1">
        <v>0</v>
      </c>
      <c r="T58" s="1"/>
      <c r="U58" s="1" t="s">
        <v>6</v>
      </c>
      <c r="V58" s="1">
        <v>0</v>
      </c>
      <c r="W58" s="1"/>
      <c r="X58" s="1"/>
      <c r="Y58" s="1"/>
      <c r="Z58" s="1"/>
      <c r="AA58" s="1"/>
      <c r="AB58" s="1" t="s">
        <v>6</v>
      </c>
      <c r="AC58" s="1" t="s">
        <v>6</v>
      </c>
      <c r="AD58" s="1" t="s">
        <v>6</v>
      </c>
      <c r="AE58" s="1" t="s">
        <v>6</v>
      </c>
      <c r="AF58" s="1" t="s">
        <v>6</v>
      </c>
      <c r="AG58" s="1" t="s">
        <v>6</v>
      </c>
      <c r="AH58" s="1"/>
      <c r="AI58" s="1"/>
      <c r="AJ58" s="1"/>
      <c r="AK58" s="1"/>
      <c r="AL58" s="1"/>
      <c r="AM58" s="1"/>
      <c r="AN58" s="1"/>
      <c r="AO58" s="1"/>
      <c r="AP58" s="1" t="s">
        <v>6</v>
      </c>
      <c r="AQ58" s="1" t="s">
        <v>6</v>
      </c>
      <c r="AR58" s="1" t="s">
        <v>6</v>
      </c>
      <c r="AS58" s="1"/>
      <c r="AT58" s="1"/>
      <c r="AU58" s="1"/>
      <c r="AV58" s="1"/>
      <c r="AW58" s="1"/>
      <c r="AX58" s="1"/>
      <c r="AY58" s="1"/>
      <c r="AZ58" s="1" t="s">
        <v>6</v>
      </c>
      <c r="BA58" s="1"/>
      <c r="BB58" s="1" t="s">
        <v>6</v>
      </c>
      <c r="BC58" s="1" t="s">
        <v>6</v>
      </c>
      <c r="BD58" s="1" t="s">
        <v>6</v>
      </c>
      <c r="BE58" s="1" t="s">
        <v>6</v>
      </c>
      <c r="BF58" s="1" t="s">
        <v>6</v>
      </c>
      <c r="BG58" s="1" t="s">
        <v>6</v>
      </c>
      <c r="BH58" s="1" t="s">
        <v>6</v>
      </c>
      <c r="BI58" s="1" t="s">
        <v>6</v>
      </c>
      <c r="BJ58" s="1" t="s">
        <v>6</v>
      </c>
      <c r="BK58" s="1" t="s">
        <v>6</v>
      </c>
      <c r="BL58" s="1" t="s">
        <v>6</v>
      </c>
      <c r="BM58" s="1" t="s">
        <v>6</v>
      </c>
      <c r="BN58" s="1" t="s">
        <v>6</v>
      </c>
      <c r="BO58" s="1" t="s">
        <v>6</v>
      </c>
      <c r="BP58" s="1" t="s">
        <v>6</v>
      </c>
      <c r="BQ58" s="1"/>
      <c r="BR58" s="1"/>
      <c r="BS58" s="1"/>
      <c r="BT58" s="1"/>
      <c r="BU58" s="1"/>
      <c r="BV58" s="1"/>
      <c r="BW58" s="1"/>
      <c r="BX58" s="1">
        <v>0</v>
      </c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>
        <v>0</v>
      </c>
    </row>
    <row r="60" spans="1:206" x14ac:dyDescent="0.2">
      <c r="A60" s="2">
        <v>52</v>
      </c>
      <c r="B60" s="2">
        <f t="shared" ref="B60:G60" si="23">B62</f>
        <v>1</v>
      </c>
      <c r="C60" s="2">
        <f t="shared" si="23"/>
        <v>4</v>
      </c>
      <c r="D60" s="2">
        <f t="shared" si="23"/>
        <v>58</v>
      </c>
      <c r="E60" s="2">
        <f t="shared" si="23"/>
        <v>0</v>
      </c>
      <c r="F60" s="2" t="str">
        <f t="shared" si="23"/>
        <v>8</v>
      </c>
      <c r="G60" s="2" t="str">
        <f t="shared" si="23"/>
        <v>БЛОК САНУЗЛОВ 2 (2-ой ЭТАЖ)</v>
      </c>
      <c r="H60" s="2"/>
      <c r="I60" s="2"/>
      <c r="J60" s="2"/>
      <c r="K60" s="2"/>
      <c r="L60" s="2"/>
      <c r="M60" s="2"/>
      <c r="N60" s="2"/>
      <c r="O60" s="2">
        <f t="shared" ref="O60:AT60" si="24">O62</f>
        <v>0</v>
      </c>
      <c r="P60" s="2">
        <f t="shared" si="24"/>
        <v>0</v>
      </c>
      <c r="Q60" s="2">
        <f t="shared" si="24"/>
        <v>0</v>
      </c>
      <c r="R60" s="2">
        <f t="shared" si="24"/>
        <v>0</v>
      </c>
      <c r="S60" s="2">
        <f t="shared" si="24"/>
        <v>0</v>
      </c>
      <c r="T60" s="2">
        <f t="shared" si="24"/>
        <v>0</v>
      </c>
      <c r="U60" s="2">
        <f t="shared" si="24"/>
        <v>0</v>
      </c>
      <c r="V60" s="2">
        <f t="shared" si="24"/>
        <v>0</v>
      </c>
      <c r="W60" s="2">
        <f t="shared" si="24"/>
        <v>0</v>
      </c>
      <c r="X60" s="2">
        <f t="shared" si="24"/>
        <v>0</v>
      </c>
      <c r="Y60" s="2">
        <f t="shared" si="24"/>
        <v>0</v>
      </c>
      <c r="Z60" s="2">
        <f t="shared" si="24"/>
        <v>0</v>
      </c>
      <c r="AA60" s="2">
        <f t="shared" si="24"/>
        <v>0</v>
      </c>
      <c r="AB60" s="2">
        <f t="shared" si="24"/>
        <v>0</v>
      </c>
      <c r="AC60" s="2">
        <f t="shared" si="24"/>
        <v>0</v>
      </c>
      <c r="AD60" s="2">
        <f t="shared" si="24"/>
        <v>0</v>
      </c>
      <c r="AE60" s="2">
        <f t="shared" si="24"/>
        <v>0</v>
      </c>
      <c r="AF60" s="2">
        <f t="shared" si="24"/>
        <v>0</v>
      </c>
      <c r="AG60" s="2">
        <f t="shared" si="24"/>
        <v>0</v>
      </c>
      <c r="AH60" s="2">
        <f t="shared" si="24"/>
        <v>0</v>
      </c>
      <c r="AI60" s="2">
        <f t="shared" si="24"/>
        <v>0</v>
      </c>
      <c r="AJ60" s="2">
        <f t="shared" si="24"/>
        <v>0</v>
      </c>
      <c r="AK60" s="2">
        <f t="shared" si="24"/>
        <v>0</v>
      </c>
      <c r="AL60" s="2">
        <f t="shared" si="24"/>
        <v>0</v>
      </c>
      <c r="AM60" s="2">
        <f t="shared" si="24"/>
        <v>0</v>
      </c>
      <c r="AN60" s="2">
        <f t="shared" si="24"/>
        <v>0</v>
      </c>
      <c r="AO60" s="2">
        <f t="shared" si="24"/>
        <v>0</v>
      </c>
      <c r="AP60" s="2">
        <f t="shared" si="24"/>
        <v>0</v>
      </c>
      <c r="AQ60" s="2">
        <f t="shared" si="24"/>
        <v>0</v>
      </c>
      <c r="AR60" s="2">
        <f t="shared" si="24"/>
        <v>0</v>
      </c>
      <c r="AS60" s="2">
        <f t="shared" si="24"/>
        <v>0</v>
      </c>
      <c r="AT60" s="2">
        <f t="shared" si="24"/>
        <v>0</v>
      </c>
      <c r="AU60" s="2">
        <f t="shared" ref="AU60:BZ60" si="25">AU62</f>
        <v>0</v>
      </c>
      <c r="AV60" s="2">
        <f t="shared" si="25"/>
        <v>0</v>
      </c>
      <c r="AW60" s="2">
        <f t="shared" si="25"/>
        <v>0</v>
      </c>
      <c r="AX60" s="2">
        <f t="shared" si="25"/>
        <v>0</v>
      </c>
      <c r="AY60" s="2">
        <f t="shared" si="25"/>
        <v>0</v>
      </c>
      <c r="AZ60" s="2">
        <f t="shared" si="25"/>
        <v>0</v>
      </c>
      <c r="BA60" s="2">
        <f t="shared" si="25"/>
        <v>0</v>
      </c>
      <c r="BB60" s="2">
        <f t="shared" si="25"/>
        <v>0</v>
      </c>
      <c r="BC60" s="2">
        <f t="shared" si="25"/>
        <v>0</v>
      </c>
      <c r="BD60" s="2">
        <f t="shared" si="25"/>
        <v>0</v>
      </c>
      <c r="BE60" s="2">
        <f t="shared" si="25"/>
        <v>0</v>
      </c>
      <c r="BF60" s="2">
        <f t="shared" si="25"/>
        <v>0</v>
      </c>
      <c r="BG60" s="2">
        <f t="shared" si="25"/>
        <v>0</v>
      </c>
      <c r="BH60" s="2">
        <f t="shared" si="25"/>
        <v>0</v>
      </c>
      <c r="BI60" s="2">
        <f t="shared" si="25"/>
        <v>0</v>
      </c>
      <c r="BJ60" s="2">
        <f t="shared" si="25"/>
        <v>0</v>
      </c>
      <c r="BK60" s="2">
        <f t="shared" si="25"/>
        <v>0</v>
      </c>
      <c r="BL60" s="2">
        <f t="shared" si="25"/>
        <v>0</v>
      </c>
      <c r="BM60" s="2">
        <f t="shared" si="25"/>
        <v>0</v>
      </c>
      <c r="BN60" s="2">
        <f t="shared" si="25"/>
        <v>0</v>
      </c>
      <c r="BO60" s="2">
        <f t="shared" si="25"/>
        <v>0</v>
      </c>
      <c r="BP60" s="2">
        <f t="shared" si="25"/>
        <v>0</v>
      </c>
      <c r="BQ60" s="2">
        <f t="shared" si="25"/>
        <v>0</v>
      </c>
      <c r="BR60" s="2">
        <f t="shared" si="25"/>
        <v>0</v>
      </c>
      <c r="BS60" s="2">
        <f t="shared" si="25"/>
        <v>0</v>
      </c>
      <c r="BT60" s="2">
        <f t="shared" si="25"/>
        <v>0</v>
      </c>
      <c r="BU60" s="2">
        <f t="shared" si="25"/>
        <v>0</v>
      </c>
      <c r="BV60" s="2">
        <f t="shared" si="25"/>
        <v>0</v>
      </c>
      <c r="BW60" s="2">
        <f t="shared" si="25"/>
        <v>0</v>
      </c>
      <c r="BX60" s="2">
        <f t="shared" si="25"/>
        <v>0</v>
      </c>
      <c r="BY60" s="2">
        <f t="shared" si="25"/>
        <v>0</v>
      </c>
      <c r="BZ60" s="2">
        <f t="shared" si="25"/>
        <v>0</v>
      </c>
      <c r="CA60" s="2">
        <f t="shared" ref="CA60:DF60" si="26">CA62</f>
        <v>0</v>
      </c>
      <c r="CB60" s="2">
        <f t="shared" si="26"/>
        <v>0</v>
      </c>
      <c r="CC60" s="2">
        <f t="shared" si="26"/>
        <v>0</v>
      </c>
      <c r="CD60" s="2">
        <f t="shared" si="26"/>
        <v>0</v>
      </c>
      <c r="CE60" s="2">
        <f t="shared" si="26"/>
        <v>0</v>
      </c>
      <c r="CF60" s="2">
        <f t="shared" si="26"/>
        <v>0</v>
      </c>
      <c r="CG60" s="2">
        <f t="shared" si="26"/>
        <v>0</v>
      </c>
      <c r="CH60" s="2">
        <f t="shared" si="26"/>
        <v>0</v>
      </c>
      <c r="CI60" s="2">
        <f t="shared" si="26"/>
        <v>0</v>
      </c>
      <c r="CJ60" s="2">
        <f t="shared" si="26"/>
        <v>0</v>
      </c>
      <c r="CK60" s="2">
        <f t="shared" si="26"/>
        <v>0</v>
      </c>
      <c r="CL60" s="2">
        <f t="shared" si="26"/>
        <v>0</v>
      </c>
      <c r="CM60" s="2">
        <f t="shared" si="26"/>
        <v>0</v>
      </c>
      <c r="CN60" s="2">
        <f t="shared" si="26"/>
        <v>0</v>
      </c>
      <c r="CO60" s="2">
        <f t="shared" si="26"/>
        <v>0</v>
      </c>
      <c r="CP60" s="2">
        <f t="shared" si="26"/>
        <v>0</v>
      </c>
      <c r="CQ60" s="2">
        <f t="shared" si="26"/>
        <v>0</v>
      </c>
      <c r="CR60" s="2">
        <f t="shared" si="26"/>
        <v>0</v>
      </c>
      <c r="CS60" s="2">
        <f t="shared" si="26"/>
        <v>0</v>
      </c>
      <c r="CT60" s="2">
        <f t="shared" si="26"/>
        <v>0</v>
      </c>
      <c r="CU60" s="2">
        <f t="shared" si="26"/>
        <v>0</v>
      </c>
      <c r="CV60" s="2">
        <f t="shared" si="26"/>
        <v>0</v>
      </c>
      <c r="CW60" s="2">
        <f t="shared" si="26"/>
        <v>0</v>
      </c>
      <c r="CX60" s="2">
        <f t="shared" si="26"/>
        <v>0</v>
      </c>
      <c r="CY60" s="2">
        <f t="shared" si="26"/>
        <v>0</v>
      </c>
      <c r="CZ60" s="2">
        <f t="shared" si="26"/>
        <v>0</v>
      </c>
      <c r="DA60" s="2">
        <f t="shared" si="26"/>
        <v>0</v>
      </c>
      <c r="DB60" s="2">
        <f t="shared" si="26"/>
        <v>0</v>
      </c>
      <c r="DC60" s="2">
        <f t="shared" si="26"/>
        <v>0</v>
      </c>
      <c r="DD60" s="2">
        <f t="shared" si="26"/>
        <v>0</v>
      </c>
      <c r="DE60" s="2">
        <f t="shared" si="26"/>
        <v>0</v>
      </c>
      <c r="DF60" s="2">
        <f t="shared" si="26"/>
        <v>0</v>
      </c>
      <c r="DG60" s="3">
        <f t="shared" ref="DG60:EL60" si="27">DG62</f>
        <v>0</v>
      </c>
      <c r="DH60" s="3">
        <f t="shared" si="27"/>
        <v>0</v>
      </c>
      <c r="DI60" s="3">
        <f t="shared" si="27"/>
        <v>0</v>
      </c>
      <c r="DJ60" s="3">
        <f t="shared" si="27"/>
        <v>0</v>
      </c>
      <c r="DK60" s="3">
        <f t="shared" si="27"/>
        <v>0</v>
      </c>
      <c r="DL60" s="3">
        <f t="shared" si="27"/>
        <v>0</v>
      </c>
      <c r="DM60" s="3">
        <f t="shared" si="27"/>
        <v>0</v>
      </c>
      <c r="DN60" s="3">
        <f t="shared" si="27"/>
        <v>0</v>
      </c>
      <c r="DO60" s="3">
        <f t="shared" si="27"/>
        <v>0</v>
      </c>
      <c r="DP60" s="3">
        <f t="shared" si="27"/>
        <v>0</v>
      </c>
      <c r="DQ60" s="3">
        <f t="shared" si="27"/>
        <v>0</v>
      </c>
      <c r="DR60" s="3">
        <f t="shared" si="27"/>
        <v>0</v>
      </c>
      <c r="DS60" s="3">
        <f t="shared" si="27"/>
        <v>0</v>
      </c>
      <c r="DT60" s="3">
        <f t="shared" si="27"/>
        <v>0</v>
      </c>
      <c r="DU60" s="3">
        <f t="shared" si="27"/>
        <v>0</v>
      </c>
      <c r="DV60" s="3">
        <f t="shared" si="27"/>
        <v>0</v>
      </c>
      <c r="DW60" s="3">
        <f t="shared" si="27"/>
        <v>0</v>
      </c>
      <c r="DX60" s="3">
        <f t="shared" si="27"/>
        <v>0</v>
      </c>
      <c r="DY60" s="3">
        <f t="shared" si="27"/>
        <v>0</v>
      </c>
      <c r="DZ60" s="3">
        <f t="shared" si="27"/>
        <v>0</v>
      </c>
      <c r="EA60" s="3">
        <f t="shared" si="27"/>
        <v>0</v>
      </c>
      <c r="EB60" s="3">
        <f t="shared" si="27"/>
        <v>0</v>
      </c>
      <c r="EC60" s="3">
        <f t="shared" si="27"/>
        <v>0</v>
      </c>
      <c r="ED60" s="3">
        <f t="shared" si="27"/>
        <v>0</v>
      </c>
      <c r="EE60" s="3">
        <f t="shared" si="27"/>
        <v>0</v>
      </c>
      <c r="EF60" s="3">
        <f t="shared" si="27"/>
        <v>0</v>
      </c>
      <c r="EG60" s="3">
        <f t="shared" si="27"/>
        <v>0</v>
      </c>
      <c r="EH60" s="3">
        <f t="shared" si="27"/>
        <v>0</v>
      </c>
      <c r="EI60" s="3">
        <f t="shared" si="27"/>
        <v>0</v>
      </c>
      <c r="EJ60" s="3">
        <f t="shared" si="27"/>
        <v>0</v>
      </c>
      <c r="EK60" s="3">
        <f t="shared" si="27"/>
        <v>0</v>
      </c>
      <c r="EL60" s="3">
        <f t="shared" si="27"/>
        <v>0</v>
      </c>
      <c r="EM60" s="3">
        <f t="shared" ref="EM60:FR60" si="28">EM62</f>
        <v>0</v>
      </c>
      <c r="EN60" s="3">
        <f t="shared" si="28"/>
        <v>0</v>
      </c>
      <c r="EO60" s="3">
        <f t="shared" si="28"/>
        <v>0</v>
      </c>
      <c r="EP60" s="3">
        <f t="shared" si="28"/>
        <v>0</v>
      </c>
      <c r="EQ60" s="3">
        <f t="shared" si="28"/>
        <v>0</v>
      </c>
      <c r="ER60" s="3">
        <f t="shared" si="28"/>
        <v>0</v>
      </c>
      <c r="ES60" s="3">
        <f t="shared" si="28"/>
        <v>0</v>
      </c>
      <c r="ET60" s="3">
        <f t="shared" si="28"/>
        <v>0</v>
      </c>
      <c r="EU60" s="3">
        <f t="shared" si="28"/>
        <v>0</v>
      </c>
      <c r="EV60" s="3">
        <f t="shared" si="28"/>
        <v>0</v>
      </c>
      <c r="EW60" s="3">
        <f t="shared" si="28"/>
        <v>0</v>
      </c>
      <c r="EX60" s="3">
        <f t="shared" si="28"/>
        <v>0</v>
      </c>
      <c r="EY60" s="3">
        <f t="shared" si="28"/>
        <v>0</v>
      </c>
      <c r="EZ60" s="3">
        <f t="shared" si="28"/>
        <v>0</v>
      </c>
      <c r="FA60" s="3">
        <f t="shared" si="28"/>
        <v>0</v>
      </c>
      <c r="FB60" s="3">
        <f t="shared" si="28"/>
        <v>0</v>
      </c>
      <c r="FC60" s="3">
        <f t="shared" si="28"/>
        <v>0</v>
      </c>
      <c r="FD60" s="3">
        <f t="shared" si="28"/>
        <v>0</v>
      </c>
      <c r="FE60" s="3">
        <f t="shared" si="28"/>
        <v>0</v>
      </c>
      <c r="FF60" s="3">
        <f t="shared" si="28"/>
        <v>0</v>
      </c>
      <c r="FG60" s="3">
        <f t="shared" si="28"/>
        <v>0</v>
      </c>
      <c r="FH60" s="3">
        <f t="shared" si="28"/>
        <v>0</v>
      </c>
      <c r="FI60" s="3">
        <f t="shared" si="28"/>
        <v>0</v>
      </c>
      <c r="FJ60" s="3">
        <f t="shared" si="28"/>
        <v>0</v>
      </c>
      <c r="FK60" s="3">
        <f t="shared" si="28"/>
        <v>0</v>
      </c>
      <c r="FL60" s="3">
        <f t="shared" si="28"/>
        <v>0</v>
      </c>
      <c r="FM60" s="3">
        <f t="shared" si="28"/>
        <v>0</v>
      </c>
      <c r="FN60" s="3">
        <f t="shared" si="28"/>
        <v>0</v>
      </c>
      <c r="FO60" s="3">
        <f t="shared" si="28"/>
        <v>0</v>
      </c>
      <c r="FP60" s="3">
        <f t="shared" si="28"/>
        <v>0</v>
      </c>
      <c r="FQ60" s="3">
        <f t="shared" si="28"/>
        <v>0</v>
      </c>
      <c r="FR60" s="3">
        <f t="shared" si="28"/>
        <v>0</v>
      </c>
      <c r="FS60" s="3">
        <f t="shared" ref="FS60:GX60" si="29">FS62</f>
        <v>0</v>
      </c>
      <c r="FT60" s="3">
        <f t="shared" si="29"/>
        <v>0</v>
      </c>
      <c r="FU60" s="3">
        <f t="shared" si="29"/>
        <v>0</v>
      </c>
      <c r="FV60" s="3">
        <f t="shared" si="29"/>
        <v>0</v>
      </c>
      <c r="FW60" s="3">
        <f t="shared" si="29"/>
        <v>0</v>
      </c>
      <c r="FX60" s="3">
        <f t="shared" si="29"/>
        <v>0</v>
      </c>
      <c r="FY60" s="3">
        <f t="shared" si="29"/>
        <v>0</v>
      </c>
      <c r="FZ60" s="3">
        <f t="shared" si="29"/>
        <v>0</v>
      </c>
      <c r="GA60" s="3">
        <f t="shared" si="29"/>
        <v>0</v>
      </c>
      <c r="GB60" s="3">
        <f t="shared" si="29"/>
        <v>0</v>
      </c>
      <c r="GC60" s="3">
        <f t="shared" si="29"/>
        <v>0</v>
      </c>
      <c r="GD60" s="3">
        <f t="shared" si="29"/>
        <v>0</v>
      </c>
      <c r="GE60" s="3">
        <f t="shared" si="29"/>
        <v>0</v>
      </c>
      <c r="GF60" s="3">
        <f t="shared" si="29"/>
        <v>0</v>
      </c>
      <c r="GG60" s="3">
        <f t="shared" si="29"/>
        <v>0</v>
      </c>
      <c r="GH60" s="3">
        <f t="shared" si="29"/>
        <v>0</v>
      </c>
      <c r="GI60" s="3">
        <f t="shared" si="29"/>
        <v>0</v>
      </c>
      <c r="GJ60" s="3">
        <f t="shared" si="29"/>
        <v>0</v>
      </c>
      <c r="GK60" s="3">
        <f t="shared" si="29"/>
        <v>0</v>
      </c>
      <c r="GL60" s="3">
        <f t="shared" si="29"/>
        <v>0</v>
      </c>
      <c r="GM60" s="3">
        <f t="shared" si="29"/>
        <v>0</v>
      </c>
      <c r="GN60" s="3">
        <f t="shared" si="29"/>
        <v>0</v>
      </c>
      <c r="GO60" s="3">
        <f t="shared" si="29"/>
        <v>0</v>
      </c>
      <c r="GP60" s="3">
        <f t="shared" si="29"/>
        <v>0</v>
      </c>
      <c r="GQ60" s="3">
        <f t="shared" si="29"/>
        <v>0</v>
      </c>
      <c r="GR60" s="3">
        <f t="shared" si="29"/>
        <v>0</v>
      </c>
      <c r="GS60" s="3">
        <f t="shared" si="29"/>
        <v>0</v>
      </c>
      <c r="GT60" s="3">
        <f t="shared" si="29"/>
        <v>0</v>
      </c>
      <c r="GU60" s="3">
        <f t="shared" si="29"/>
        <v>0</v>
      </c>
      <c r="GV60" s="3">
        <f t="shared" si="29"/>
        <v>0</v>
      </c>
      <c r="GW60" s="3">
        <f t="shared" si="29"/>
        <v>0</v>
      </c>
      <c r="GX60" s="3">
        <f t="shared" si="29"/>
        <v>0</v>
      </c>
    </row>
    <row r="62" spans="1:206" x14ac:dyDescent="0.2">
      <c r="A62" s="2">
        <v>51</v>
      </c>
      <c r="B62" s="2">
        <f>B58</f>
        <v>1</v>
      </c>
      <c r="C62" s="2">
        <f>A58</f>
        <v>4</v>
      </c>
      <c r="D62" s="2">
        <f>ROW(A58)</f>
        <v>58</v>
      </c>
      <c r="E62" s="2"/>
      <c r="F62" s="2" t="str">
        <f>IF(F58&lt;&gt;"",F58,"")</f>
        <v>8</v>
      </c>
      <c r="G62" s="2" t="str">
        <f>IF(G58&lt;&gt;"",G58,"")</f>
        <v>БЛОК САНУЗЛОВ 2 (2-ой ЭТАЖ)</v>
      </c>
      <c r="H62" s="2">
        <v>0</v>
      </c>
      <c r="I62" s="2"/>
      <c r="J62" s="2"/>
      <c r="K62" s="2"/>
      <c r="L62" s="2"/>
      <c r="M62" s="2"/>
      <c r="N62" s="2"/>
      <c r="O62" s="2">
        <f t="shared" ref="O62:Y62" si="30">AB62</f>
        <v>0</v>
      </c>
      <c r="P62" s="2">
        <f t="shared" si="30"/>
        <v>0</v>
      </c>
      <c r="Q62" s="2">
        <f t="shared" si="30"/>
        <v>0</v>
      </c>
      <c r="R62" s="2">
        <f t="shared" si="30"/>
        <v>0</v>
      </c>
      <c r="S62" s="2">
        <f t="shared" si="30"/>
        <v>0</v>
      </c>
      <c r="T62" s="2">
        <f t="shared" si="30"/>
        <v>0</v>
      </c>
      <c r="U62" s="2">
        <f t="shared" si="30"/>
        <v>0</v>
      </c>
      <c r="V62" s="2">
        <f t="shared" si="30"/>
        <v>0</v>
      </c>
      <c r="W62" s="2">
        <f t="shared" si="30"/>
        <v>0</v>
      </c>
      <c r="X62" s="2">
        <f t="shared" si="30"/>
        <v>0</v>
      </c>
      <c r="Y62" s="2">
        <f t="shared" si="30"/>
        <v>0</v>
      </c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>
        <f t="shared" ref="AO62:BD62" si="31">BX62</f>
        <v>0</v>
      </c>
      <c r="AP62" s="2">
        <f t="shared" si="31"/>
        <v>0</v>
      </c>
      <c r="AQ62" s="2">
        <f t="shared" si="31"/>
        <v>0</v>
      </c>
      <c r="AR62" s="2">
        <f t="shared" si="31"/>
        <v>0</v>
      </c>
      <c r="AS62" s="2">
        <f t="shared" si="31"/>
        <v>0</v>
      </c>
      <c r="AT62" s="2">
        <f t="shared" si="31"/>
        <v>0</v>
      </c>
      <c r="AU62" s="2">
        <f t="shared" si="31"/>
        <v>0</v>
      </c>
      <c r="AV62" s="2">
        <f t="shared" si="31"/>
        <v>0</v>
      </c>
      <c r="AW62" s="2">
        <f t="shared" si="31"/>
        <v>0</v>
      </c>
      <c r="AX62" s="2">
        <f t="shared" si="31"/>
        <v>0</v>
      </c>
      <c r="AY62" s="2">
        <f t="shared" si="31"/>
        <v>0</v>
      </c>
      <c r="AZ62" s="2">
        <f t="shared" si="31"/>
        <v>0</v>
      </c>
      <c r="BA62" s="2">
        <f t="shared" si="31"/>
        <v>0</v>
      </c>
      <c r="BB62" s="2">
        <f t="shared" si="31"/>
        <v>0</v>
      </c>
      <c r="BC62" s="2">
        <f t="shared" si="31"/>
        <v>0</v>
      </c>
      <c r="BD62" s="2">
        <f t="shared" si="31"/>
        <v>0</v>
      </c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>
        <v>0</v>
      </c>
    </row>
    <row r="64" spans="1:206" x14ac:dyDescent="0.2">
      <c r="A64" s="4">
        <v>50</v>
      </c>
      <c r="B64" s="4">
        <v>0</v>
      </c>
      <c r="C64" s="4">
        <v>0</v>
      </c>
      <c r="D64" s="4">
        <v>1</v>
      </c>
      <c r="E64" s="4">
        <v>201</v>
      </c>
      <c r="F64" s="4">
        <f>ROUND(Source!O62,O64)</f>
        <v>0</v>
      </c>
      <c r="G64" s="4" t="s">
        <v>22</v>
      </c>
      <c r="H64" s="4" t="s">
        <v>23</v>
      </c>
      <c r="I64" s="4"/>
      <c r="J64" s="4"/>
      <c r="K64" s="4">
        <v>201</v>
      </c>
      <c r="L64" s="4">
        <v>1</v>
      </c>
      <c r="M64" s="4">
        <v>3</v>
      </c>
      <c r="N64" s="4" t="s">
        <v>6</v>
      </c>
      <c r="O64" s="4">
        <v>0</v>
      </c>
      <c r="P64" s="4"/>
      <c r="Q64" s="4"/>
      <c r="R64" s="4"/>
      <c r="S64" s="4"/>
      <c r="T64" s="4"/>
      <c r="U64" s="4"/>
      <c r="V64" s="4"/>
      <c r="W64" s="4">
        <v>0</v>
      </c>
      <c r="X64" s="4">
        <v>1</v>
      </c>
      <c r="Y64" s="4">
        <v>0</v>
      </c>
      <c r="Z64" s="4"/>
      <c r="AA64" s="4"/>
      <c r="AB64" s="4"/>
    </row>
    <row r="65" spans="1:28" x14ac:dyDescent="0.2">
      <c r="A65" s="4">
        <v>50</v>
      </c>
      <c r="B65" s="4">
        <v>0</v>
      </c>
      <c r="C65" s="4">
        <v>0</v>
      </c>
      <c r="D65" s="4">
        <v>1</v>
      </c>
      <c r="E65" s="4">
        <v>202</v>
      </c>
      <c r="F65" s="4">
        <f>ROUND(Source!P62,O65)</f>
        <v>0</v>
      </c>
      <c r="G65" s="4" t="s">
        <v>24</v>
      </c>
      <c r="H65" s="4" t="s">
        <v>25</v>
      </c>
      <c r="I65" s="4"/>
      <c r="J65" s="4"/>
      <c r="K65" s="4">
        <v>202</v>
      </c>
      <c r="L65" s="4">
        <v>2</v>
      </c>
      <c r="M65" s="4">
        <v>3</v>
      </c>
      <c r="N65" s="4" t="s">
        <v>6</v>
      </c>
      <c r="O65" s="4">
        <v>0</v>
      </c>
      <c r="P65" s="4"/>
      <c r="Q65" s="4"/>
      <c r="R65" s="4"/>
      <c r="S65" s="4"/>
      <c r="T65" s="4"/>
      <c r="U65" s="4"/>
      <c r="V65" s="4"/>
      <c r="W65" s="4">
        <v>0</v>
      </c>
      <c r="X65" s="4">
        <v>1</v>
      </c>
      <c r="Y65" s="4">
        <v>0</v>
      </c>
      <c r="Z65" s="4"/>
      <c r="AA65" s="4"/>
      <c r="AB65" s="4"/>
    </row>
    <row r="66" spans="1:28" x14ac:dyDescent="0.2">
      <c r="A66" s="4">
        <v>50</v>
      </c>
      <c r="B66" s="4">
        <v>0</v>
      </c>
      <c r="C66" s="4">
        <v>0</v>
      </c>
      <c r="D66" s="4">
        <v>1</v>
      </c>
      <c r="E66" s="4">
        <v>222</v>
      </c>
      <c r="F66" s="4">
        <f>ROUND(Source!AO62,O66)</f>
        <v>0</v>
      </c>
      <c r="G66" s="4" t="s">
        <v>26</v>
      </c>
      <c r="H66" s="4" t="s">
        <v>27</v>
      </c>
      <c r="I66" s="4"/>
      <c r="J66" s="4"/>
      <c r="K66" s="4">
        <v>222</v>
      </c>
      <c r="L66" s="4">
        <v>3</v>
      </c>
      <c r="M66" s="4">
        <v>3</v>
      </c>
      <c r="N66" s="4" t="s">
        <v>6</v>
      </c>
      <c r="O66" s="4">
        <v>0</v>
      </c>
      <c r="P66" s="4"/>
      <c r="Q66" s="4"/>
      <c r="R66" s="4"/>
      <c r="S66" s="4"/>
      <c r="T66" s="4"/>
      <c r="U66" s="4"/>
      <c r="V66" s="4"/>
      <c r="W66" s="4">
        <v>0</v>
      </c>
      <c r="X66" s="4">
        <v>1</v>
      </c>
      <c r="Y66" s="4">
        <v>0</v>
      </c>
      <c r="Z66" s="4"/>
      <c r="AA66" s="4"/>
      <c r="AB66" s="4"/>
    </row>
    <row r="67" spans="1:28" x14ac:dyDescent="0.2">
      <c r="A67" s="4">
        <v>50</v>
      </c>
      <c r="B67" s="4">
        <v>0</v>
      </c>
      <c r="C67" s="4">
        <v>0</v>
      </c>
      <c r="D67" s="4">
        <v>1</v>
      </c>
      <c r="E67" s="4">
        <v>225</v>
      </c>
      <c r="F67" s="4">
        <f>ROUND(Source!AV62,O67)</f>
        <v>0</v>
      </c>
      <c r="G67" s="4" t="s">
        <v>28</v>
      </c>
      <c r="H67" s="4" t="s">
        <v>29</v>
      </c>
      <c r="I67" s="4"/>
      <c r="J67" s="4"/>
      <c r="K67" s="4">
        <v>225</v>
      </c>
      <c r="L67" s="4">
        <v>4</v>
      </c>
      <c r="M67" s="4">
        <v>3</v>
      </c>
      <c r="N67" s="4" t="s">
        <v>6</v>
      </c>
      <c r="O67" s="4">
        <v>0</v>
      </c>
      <c r="P67" s="4"/>
      <c r="Q67" s="4"/>
      <c r="R67" s="4"/>
      <c r="S67" s="4"/>
      <c r="T67" s="4"/>
      <c r="U67" s="4"/>
      <c r="V67" s="4"/>
      <c r="W67" s="4">
        <v>0</v>
      </c>
      <c r="X67" s="4">
        <v>1</v>
      </c>
      <c r="Y67" s="4">
        <v>0</v>
      </c>
      <c r="Z67" s="4"/>
      <c r="AA67" s="4"/>
      <c r="AB67" s="4"/>
    </row>
    <row r="68" spans="1:28" x14ac:dyDescent="0.2">
      <c r="A68" s="4">
        <v>50</v>
      </c>
      <c r="B68" s="4">
        <v>0</v>
      </c>
      <c r="C68" s="4">
        <v>0</v>
      </c>
      <c r="D68" s="4">
        <v>1</v>
      </c>
      <c r="E68" s="4">
        <v>226</v>
      </c>
      <c r="F68" s="4">
        <f>ROUND(Source!AW62,O68)</f>
        <v>0</v>
      </c>
      <c r="G68" s="4" t="s">
        <v>30</v>
      </c>
      <c r="H68" s="4" t="s">
        <v>31</v>
      </c>
      <c r="I68" s="4"/>
      <c r="J68" s="4"/>
      <c r="K68" s="4">
        <v>226</v>
      </c>
      <c r="L68" s="4">
        <v>5</v>
      </c>
      <c r="M68" s="4">
        <v>3</v>
      </c>
      <c r="N68" s="4" t="s">
        <v>6</v>
      </c>
      <c r="O68" s="4">
        <v>0</v>
      </c>
      <c r="P68" s="4"/>
      <c r="Q68" s="4"/>
      <c r="R68" s="4"/>
      <c r="S68" s="4"/>
      <c r="T68" s="4"/>
      <c r="U68" s="4"/>
      <c r="V68" s="4"/>
      <c r="W68" s="4">
        <v>0</v>
      </c>
      <c r="X68" s="4">
        <v>1</v>
      </c>
      <c r="Y68" s="4">
        <v>0</v>
      </c>
      <c r="Z68" s="4"/>
      <c r="AA68" s="4"/>
      <c r="AB68" s="4"/>
    </row>
    <row r="69" spans="1:28" x14ac:dyDescent="0.2">
      <c r="A69" s="4">
        <v>50</v>
      </c>
      <c r="B69" s="4">
        <v>0</v>
      </c>
      <c r="C69" s="4">
        <v>0</v>
      </c>
      <c r="D69" s="4">
        <v>1</v>
      </c>
      <c r="E69" s="4">
        <v>227</v>
      </c>
      <c r="F69" s="4">
        <f>ROUND(Source!AX62,O69)</f>
        <v>0</v>
      </c>
      <c r="G69" s="4" t="s">
        <v>32</v>
      </c>
      <c r="H69" s="4" t="s">
        <v>33</v>
      </c>
      <c r="I69" s="4"/>
      <c r="J69" s="4"/>
      <c r="K69" s="4">
        <v>227</v>
      </c>
      <c r="L69" s="4">
        <v>6</v>
      </c>
      <c r="M69" s="4">
        <v>3</v>
      </c>
      <c r="N69" s="4" t="s">
        <v>6</v>
      </c>
      <c r="O69" s="4">
        <v>0</v>
      </c>
      <c r="P69" s="4"/>
      <c r="Q69" s="4"/>
      <c r="R69" s="4"/>
      <c r="S69" s="4"/>
      <c r="T69" s="4"/>
      <c r="U69" s="4"/>
      <c r="V69" s="4"/>
      <c r="W69" s="4">
        <v>0</v>
      </c>
      <c r="X69" s="4">
        <v>1</v>
      </c>
      <c r="Y69" s="4">
        <v>0</v>
      </c>
      <c r="Z69" s="4"/>
      <c r="AA69" s="4"/>
      <c r="AB69" s="4"/>
    </row>
    <row r="70" spans="1:28" x14ac:dyDescent="0.2">
      <c r="A70" s="4">
        <v>50</v>
      </c>
      <c r="B70" s="4">
        <v>0</v>
      </c>
      <c r="C70" s="4">
        <v>0</v>
      </c>
      <c r="D70" s="4">
        <v>1</v>
      </c>
      <c r="E70" s="4">
        <v>228</v>
      </c>
      <c r="F70" s="4">
        <f>ROUND(Source!AY62,O70)</f>
        <v>0</v>
      </c>
      <c r="G70" s="4" t="s">
        <v>34</v>
      </c>
      <c r="H70" s="4" t="s">
        <v>35</v>
      </c>
      <c r="I70" s="4"/>
      <c r="J70" s="4"/>
      <c r="K70" s="4">
        <v>228</v>
      </c>
      <c r="L70" s="4">
        <v>7</v>
      </c>
      <c r="M70" s="4">
        <v>3</v>
      </c>
      <c r="N70" s="4" t="s">
        <v>6</v>
      </c>
      <c r="O70" s="4">
        <v>0</v>
      </c>
      <c r="P70" s="4"/>
      <c r="Q70" s="4"/>
      <c r="R70" s="4"/>
      <c r="S70" s="4"/>
      <c r="T70" s="4"/>
      <c r="U70" s="4"/>
      <c r="V70" s="4"/>
      <c r="W70" s="4">
        <v>0</v>
      </c>
      <c r="X70" s="4">
        <v>1</v>
      </c>
      <c r="Y70" s="4">
        <v>0</v>
      </c>
      <c r="Z70" s="4"/>
      <c r="AA70" s="4"/>
      <c r="AB70" s="4"/>
    </row>
    <row r="71" spans="1:28" x14ac:dyDescent="0.2">
      <c r="A71" s="4">
        <v>50</v>
      </c>
      <c r="B71" s="4">
        <v>0</v>
      </c>
      <c r="C71" s="4">
        <v>0</v>
      </c>
      <c r="D71" s="4">
        <v>1</v>
      </c>
      <c r="E71" s="4">
        <v>216</v>
      </c>
      <c r="F71" s="4">
        <f>ROUND(Source!AP62,O71)</f>
        <v>0</v>
      </c>
      <c r="G71" s="4" t="s">
        <v>36</v>
      </c>
      <c r="H71" s="4" t="s">
        <v>37</v>
      </c>
      <c r="I71" s="4"/>
      <c r="J71" s="4"/>
      <c r="K71" s="4">
        <v>216</v>
      </c>
      <c r="L71" s="4">
        <v>8</v>
      </c>
      <c r="M71" s="4">
        <v>3</v>
      </c>
      <c r="N71" s="4" t="s">
        <v>6</v>
      </c>
      <c r="O71" s="4">
        <v>0</v>
      </c>
      <c r="P71" s="4"/>
      <c r="Q71" s="4"/>
      <c r="R71" s="4"/>
      <c r="S71" s="4"/>
      <c r="T71" s="4"/>
      <c r="U71" s="4"/>
      <c r="V71" s="4"/>
      <c r="W71" s="4">
        <v>0</v>
      </c>
      <c r="X71" s="4">
        <v>1</v>
      </c>
      <c r="Y71" s="4">
        <v>0</v>
      </c>
      <c r="Z71" s="4"/>
      <c r="AA71" s="4"/>
      <c r="AB71" s="4"/>
    </row>
    <row r="72" spans="1:28" x14ac:dyDescent="0.2">
      <c r="A72" s="4">
        <v>50</v>
      </c>
      <c r="B72" s="4">
        <v>0</v>
      </c>
      <c r="C72" s="4">
        <v>0</v>
      </c>
      <c r="D72" s="4">
        <v>1</v>
      </c>
      <c r="E72" s="4">
        <v>223</v>
      </c>
      <c r="F72" s="4">
        <f>ROUND(Source!AQ62,O72)</f>
        <v>0</v>
      </c>
      <c r="G72" s="4" t="s">
        <v>38</v>
      </c>
      <c r="H72" s="4" t="s">
        <v>39</v>
      </c>
      <c r="I72" s="4"/>
      <c r="J72" s="4"/>
      <c r="K72" s="4">
        <v>223</v>
      </c>
      <c r="L72" s="4">
        <v>9</v>
      </c>
      <c r="M72" s="4">
        <v>3</v>
      </c>
      <c r="N72" s="4" t="s">
        <v>6</v>
      </c>
      <c r="O72" s="4">
        <v>0</v>
      </c>
      <c r="P72" s="4"/>
      <c r="Q72" s="4"/>
      <c r="R72" s="4"/>
      <c r="S72" s="4"/>
      <c r="T72" s="4"/>
      <c r="U72" s="4"/>
      <c r="V72" s="4"/>
      <c r="W72" s="4">
        <v>0</v>
      </c>
      <c r="X72" s="4">
        <v>1</v>
      </c>
      <c r="Y72" s="4">
        <v>0</v>
      </c>
      <c r="Z72" s="4"/>
      <c r="AA72" s="4"/>
      <c r="AB72" s="4"/>
    </row>
    <row r="73" spans="1:28" x14ac:dyDescent="0.2">
      <c r="A73" s="4">
        <v>50</v>
      </c>
      <c r="B73" s="4">
        <v>0</v>
      </c>
      <c r="C73" s="4">
        <v>0</v>
      </c>
      <c r="D73" s="4">
        <v>1</v>
      </c>
      <c r="E73" s="4">
        <v>229</v>
      </c>
      <c r="F73" s="4">
        <f>ROUND(Source!AZ62,O73)</f>
        <v>0</v>
      </c>
      <c r="G73" s="4" t="s">
        <v>40</v>
      </c>
      <c r="H73" s="4" t="s">
        <v>41</v>
      </c>
      <c r="I73" s="4"/>
      <c r="J73" s="4"/>
      <c r="K73" s="4">
        <v>229</v>
      </c>
      <c r="L73" s="4">
        <v>10</v>
      </c>
      <c r="M73" s="4">
        <v>3</v>
      </c>
      <c r="N73" s="4" t="s">
        <v>6</v>
      </c>
      <c r="O73" s="4">
        <v>0</v>
      </c>
      <c r="P73" s="4"/>
      <c r="Q73" s="4"/>
      <c r="R73" s="4"/>
      <c r="S73" s="4"/>
      <c r="T73" s="4"/>
      <c r="U73" s="4"/>
      <c r="V73" s="4"/>
      <c r="W73" s="4">
        <v>0</v>
      </c>
      <c r="X73" s="4">
        <v>1</v>
      </c>
      <c r="Y73" s="4">
        <v>0</v>
      </c>
      <c r="Z73" s="4"/>
      <c r="AA73" s="4"/>
      <c r="AB73" s="4"/>
    </row>
    <row r="74" spans="1:28" x14ac:dyDescent="0.2">
      <c r="A74" s="4">
        <v>50</v>
      </c>
      <c r="B74" s="4">
        <v>0</v>
      </c>
      <c r="C74" s="4">
        <v>0</v>
      </c>
      <c r="D74" s="4">
        <v>1</v>
      </c>
      <c r="E74" s="4">
        <v>203</v>
      </c>
      <c r="F74" s="4">
        <f>ROUND(Source!Q62,O74)</f>
        <v>0</v>
      </c>
      <c r="G74" s="4" t="s">
        <v>42</v>
      </c>
      <c r="H74" s="4" t="s">
        <v>43</v>
      </c>
      <c r="I74" s="4"/>
      <c r="J74" s="4"/>
      <c r="K74" s="4">
        <v>203</v>
      </c>
      <c r="L74" s="4">
        <v>11</v>
      </c>
      <c r="M74" s="4">
        <v>3</v>
      </c>
      <c r="N74" s="4" t="s">
        <v>6</v>
      </c>
      <c r="O74" s="4">
        <v>0</v>
      </c>
      <c r="P74" s="4"/>
      <c r="Q74" s="4"/>
      <c r="R74" s="4"/>
      <c r="S74" s="4"/>
      <c r="T74" s="4"/>
      <c r="U74" s="4"/>
      <c r="V74" s="4"/>
      <c r="W74" s="4">
        <v>0</v>
      </c>
      <c r="X74" s="4">
        <v>1</v>
      </c>
      <c r="Y74" s="4">
        <v>0</v>
      </c>
      <c r="Z74" s="4"/>
      <c r="AA74" s="4"/>
      <c r="AB74" s="4"/>
    </row>
    <row r="75" spans="1:28" x14ac:dyDescent="0.2">
      <c r="A75" s="4">
        <v>50</v>
      </c>
      <c r="B75" s="4">
        <v>0</v>
      </c>
      <c r="C75" s="4">
        <v>0</v>
      </c>
      <c r="D75" s="4">
        <v>1</v>
      </c>
      <c r="E75" s="4">
        <v>231</v>
      </c>
      <c r="F75" s="4">
        <f>ROUND(Source!BB62,O75)</f>
        <v>0</v>
      </c>
      <c r="G75" s="4" t="s">
        <v>44</v>
      </c>
      <c r="H75" s="4" t="s">
        <v>45</v>
      </c>
      <c r="I75" s="4"/>
      <c r="J75" s="4"/>
      <c r="K75" s="4">
        <v>231</v>
      </c>
      <c r="L75" s="4">
        <v>12</v>
      </c>
      <c r="M75" s="4">
        <v>3</v>
      </c>
      <c r="N75" s="4" t="s">
        <v>6</v>
      </c>
      <c r="O75" s="4">
        <v>0</v>
      </c>
      <c r="P75" s="4"/>
      <c r="Q75" s="4"/>
      <c r="R75" s="4"/>
      <c r="S75" s="4"/>
      <c r="T75" s="4"/>
      <c r="U75" s="4"/>
      <c r="V75" s="4"/>
      <c r="W75" s="4">
        <v>0</v>
      </c>
      <c r="X75" s="4">
        <v>1</v>
      </c>
      <c r="Y75" s="4">
        <v>0</v>
      </c>
      <c r="Z75" s="4"/>
      <c r="AA75" s="4"/>
      <c r="AB75" s="4"/>
    </row>
    <row r="76" spans="1:28" x14ac:dyDescent="0.2">
      <c r="A76" s="4">
        <v>50</v>
      </c>
      <c r="B76" s="4">
        <v>0</v>
      </c>
      <c r="C76" s="4">
        <v>0</v>
      </c>
      <c r="D76" s="4">
        <v>1</v>
      </c>
      <c r="E76" s="4">
        <v>204</v>
      </c>
      <c r="F76" s="4">
        <f>ROUND(Source!R62,O76)</f>
        <v>0</v>
      </c>
      <c r="G76" s="4" t="s">
        <v>46</v>
      </c>
      <c r="H76" s="4" t="s">
        <v>47</v>
      </c>
      <c r="I76" s="4"/>
      <c r="J76" s="4"/>
      <c r="K76" s="4">
        <v>204</v>
      </c>
      <c r="L76" s="4">
        <v>13</v>
      </c>
      <c r="M76" s="4">
        <v>3</v>
      </c>
      <c r="N76" s="4" t="s">
        <v>6</v>
      </c>
      <c r="O76" s="4">
        <v>0</v>
      </c>
      <c r="P76" s="4"/>
      <c r="Q76" s="4"/>
      <c r="R76" s="4"/>
      <c r="S76" s="4"/>
      <c r="T76" s="4"/>
      <c r="U76" s="4"/>
      <c r="V76" s="4"/>
      <c r="W76" s="4">
        <v>0</v>
      </c>
      <c r="X76" s="4">
        <v>1</v>
      </c>
      <c r="Y76" s="4">
        <v>0</v>
      </c>
      <c r="Z76" s="4"/>
      <c r="AA76" s="4"/>
      <c r="AB76" s="4"/>
    </row>
    <row r="77" spans="1:28" x14ac:dyDescent="0.2">
      <c r="A77" s="4">
        <v>50</v>
      </c>
      <c r="B77" s="4">
        <v>0</v>
      </c>
      <c r="C77" s="4">
        <v>0</v>
      </c>
      <c r="D77" s="4">
        <v>1</v>
      </c>
      <c r="E77" s="4">
        <v>205</v>
      </c>
      <c r="F77" s="4">
        <f>ROUND(Source!S62,O77)</f>
        <v>0</v>
      </c>
      <c r="G77" s="4" t="s">
        <v>48</v>
      </c>
      <c r="H77" s="4" t="s">
        <v>49</v>
      </c>
      <c r="I77" s="4"/>
      <c r="J77" s="4"/>
      <c r="K77" s="4">
        <v>205</v>
      </c>
      <c r="L77" s="4">
        <v>14</v>
      </c>
      <c r="M77" s="4">
        <v>3</v>
      </c>
      <c r="N77" s="4" t="s">
        <v>6</v>
      </c>
      <c r="O77" s="4">
        <v>0</v>
      </c>
      <c r="P77" s="4"/>
      <c r="Q77" s="4"/>
      <c r="R77" s="4"/>
      <c r="S77" s="4"/>
      <c r="T77" s="4"/>
      <c r="U77" s="4"/>
      <c r="V77" s="4"/>
      <c r="W77" s="4">
        <v>0</v>
      </c>
      <c r="X77" s="4">
        <v>1</v>
      </c>
      <c r="Y77" s="4">
        <v>0</v>
      </c>
      <c r="Z77" s="4"/>
      <c r="AA77" s="4"/>
      <c r="AB77" s="4"/>
    </row>
    <row r="78" spans="1:28" x14ac:dyDescent="0.2">
      <c r="A78" s="4">
        <v>50</v>
      </c>
      <c r="B78" s="4">
        <v>0</v>
      </c>
      <c r="C78" s="4">
        <v>0</v>
      </c>
      <c r="D78" s="4">
        <v>1</v>
      </c>
      <c r="E78" s="4">
        <v>232</v>
      </c>
      <c r="F78" s="4">
        <f>ROUND(Source!BC62,O78)</f>
        <v>0</v>
      </c>
      <c r="G78" s="4" t="s">
        <v>50</v>
      </c>
      <c r="H78" s="4" t="s">
        <v>51</v>
      </c>
      <c r="I78" s="4"/>
      <c r="J78" s="4"/>
      <c r="K78" s="4">
        <v>232</v>
      </c>
      <c r="L78" s="4">
        <v>15</v>
      </c>
      <c r="M78" s="4">
        <v>3</v>
      </c>
      <c r="N78" s="4" t="s">
        <v>6</v>
      </c>
      <c r="O78" s="4">
        <v>0</v>
      </c>
      <c r="P78" s="4"/>
      <c r="Q78" s="4"/>
      <c r="R78" s="4"/>
      <c r="S78" s="4"/>
      <c r="T78" s="4"/>
      <c r="U78" s="4"/>
      <c r="V78" s="4"/>
      <c r="W78" s="4">
        <v>0</v>
      </c>
      <c r="X78" s="4">
        <v>1</v>
      </c>
      <c r="Y78" s="4">
        <v>0</v>
      </c>
      <c r="Z78" s="4"/>
      <c r="AA78" s="4"/>
      <c r="AB78" s="4"/>
    </row>
    <row r="79" spans="1:28" x14ac:dyDescent="0.2">
      <c r="A79" s="4">
        <v>50</v>
      </c>
      <c r="B79" s="4">
        <v>0</v>
      </c>
      <c r="C79" s="4">
        <v>0</v>
      </c>
      <c r="D79" s="4">
        <v>1</v>
      </c>
      <c r="E79" s="4">
        <v>214</v>
      </c>
      <c r="F79" s="4">
        <f>ROUND(Source!AS62,O79)</f>
        <v>0</v>
      </c>
      <c r="G79" s="4" t="s">
        <v>52</v>
      </c>
      <c r="H79" s="4" t="s">
        <v>53</v>
      </c>
      <c r="I79" s="4"/>
      <c r="J79" s="4"/>
      <c r="K79" s="4">
        <v>214</v>
      </c>
      <c r="L79" s="4">
        <v>16</v>
      </c>
      <c r="M79" s="4">
        <v>3</v>
      </c>
      <c r="N79" s="4" t="s">
        <v>6</v>
      </c>
      <c r="O79" s="4">
        <v>0</v>
      </c>
      <c r="P79" s="4"/>
      <c r="Q79" s="4"/>
      <c r="R79" s="4"/>
      <c r="S79" s="4"/>
      <c r="T79" s="4"/>
      <c r="U79" s="4"/>
      <c r="V79" s="4"/>
      <c r="W79" s="4">
        <v>0</v>
      </c>
      <c r="X79" s="4">
        <v>1</v>
      </c>
      <c r="Y79" s="4">
        <v>0</v>
      </c>
      <c r="Z79" s="4"/>
      <c r="AA79" s="4"/>
      <c r="AB79" s="4"/>
    </row>
    <row r="80" spans="1:28" x14ac:dyDescent="0.2">
      <c r="A80" s="4">
        <v>50</v>
      </c>
      <c r="B80" s="4">
        <v>0</v>
      </c>
      <c r="C80" s="4">
        <v>0</v>
      </c>
      <c r="D80" s="4">
        <v>1</v>
      </c>
      <c r="E80" s="4">
        <v>215</v>
      </c>
      <c r="F80" s="4">
        <f>ROUND(Source!AT62,O80)</f>
        <v>0</v>
      </c>
      <c r="G80" s="4" t="s">
        <v>54</v>
      </c>
      <c r="H80" s="4" t="s">
        <v>55</v>
      </c>
      <c r="I80" s="4"/>
      <c r="J80" s="4"/>
      <c r="K80" s="4">
        <v>215</v>
      </c>
      <c r="L80" s="4">
        <v>17</v>
      </c>
      <c r="M80" s="4">
        <v>3</v>
      </c>
      <c r="N80" s="4" t="s">
        <v>6</v>
      </c>
      <c r="O80" s="4">
        <v>0</v>
      </c>
      <c r="P80" s="4"/>
      <c r="Q80" s="4"/>
      <c r="R80" s="4"/>
      <c r="S80" s="4"/>
      <c r="T80" s="4"/>
      <c r="U80" s="4"/>
      <c r="V80" s="4"/>
      <c r="W80" s="4">
        <v>0</v>
      </c>
      <c r="X80" s="4">
        <v>1</v>
      </c>
      <c r="Y80" s="4">
        <v>0</v>
      </c>
      <c r="Z80" s="4"/>
      <c r="AA80" s="4"/>
      <c r="AB80" s="4"/>
    </row>
    <row r="81" spans="1:206" x14ac:dyDescent="0.2">
      <c r="A81" s="4">
        <v>50</v>
      </c>
      <c r="B81" s="4">
        <v>0</v>
      </c>
      <c r="C81" s="4">
        <v>0</v>
      </c>
      <c r="D81" s="4">
        <v>1</v>
      </c>
      <c r="E81" s="4">
        <v>217</v>
      </c>
      <c r="F81" s="4">
        <f>ROUND(Source!AU62,O81)</f>
        <v>0</v>
      </c>
      <c r="G81" s="4" t="s">
        <v>56</v>
      </c>
      <c r="H81" s="4" t="s">
        <v>57</v>
      </c>
      <c r="I81" s="4"/>
      <c r="J81" s="4"/>
      <c r="K81" s="4">
        <v>217</v>
      </c>
      <c r="L81" s="4">
        <v>18</v>
      </c>
      <c r="M81" s="4">
        <v>3</v>
      </c>
      <c r="N81" s="4" t="s">
        <v>6</v>
      </c>
      <c r="O81" s="4">
        <v>0</v>
      </c>
      <c r="P81" s="4"/>
      <c r="Q81" s="4"/>
      <c r="R81" s="4"/>
      <c r="S81" s="4"/>
      <c r="T81" s="4"/>
      <c r="U81" s="4"/>
      <c r="V81" s="4"/>
      <c r="W81" s="4">
        <v>0</v>
      </c>
      <c r="X81" s="4">
        <v>1</v>
      </c>
      <c r="Y81" s="4">
        <v>0</v>
      </c>
      <c r="Z81" s="4"/>
      <c r="AA81" s="4"/>
      <c r="AB81" s="4"/>
    </row>
    <row r="82" spans="1:206" x14ac:dyDescent="0.2">
      <c r="A82" s="4">
        <v>50</v>
      </c>
      <c r="B82" s="4">
        <v>0</v>
      </c>
      <c r="C82" s="4">
        <v>0</v>
      </c>
      <c r="D82" s="4">
        <v>1</v>
      </c>
      <c r="E82" s="4">
        <v>230</v>
      </c>
      <c r="F82" s="4">
        <f>ROUND(Source!BA62,O82)</f>
        <v>0</v>
      </c>
      <c r="G82" s="4" t="s">
        <v>58</v>
      </c>
      <c r="H82" s="4" t="s">
        <v>59</v>
      </c>
      <c r="I82" s="4"/>
      <c r="J82" s="4"/>
      <c r="K82" s="4">
        <v>230</v>
      </c>
      <c r="L82" s="4">
        <v>19</v>
      </c>
      <c r="M82" s="4">
        <v>3</v>
      </c>
      <c r="N82" s="4" t="s">
        <v>6</v>
      </c>
      <c r="O82" s="4">
        <v>0</v>
      </c>
      <c r="P82" s="4"/>
      <c r="Q82" s="4"/>
      <c r="R82" s="4"/>
      <c r="S82" s="4"/>
      <c r="T82" s="4"/>
      <c r="U82" s="4"/>
      <c r="V82" s="4"/>
      <c r="W82" s="4">
        <v>0</v>
      </c>
      <c r="X82" s="4">
        <v>1</v>
      </c>
      <c r="Y82" s="4">
        <v>0</v>
      </c>
      <c r="Z82" s="4"/>
      <c r="AA82" s="4"/>
      <c r="AB82" s="4"/>
    </row>
    <row r="83" spans="1:206" x14ac:dyDescent="0.2">
      <c r="A83" s="4">
        <v>50</v>
      </c>
      <c r="B83" s="4">
        <v>0</v>
      </c>
      <c r="C83" s="4">
        <v>0</v>
      </c>
      <c r="D83" s="4">
        <v>1</v>
      </c>
      <c r="E83" s="4">
        <v>206</v>
      </c>
      <c r="F83" s="4">
        <f>ROUND(Source!T62,O83)</f>
        <v>0</v>
      </c>
      <c r="G83" s="4" t="s">
        <v>60</v>
      </c>
      <c r="H83" s="4" t="s">
        <v>61</v>
      </c>
      <c r="I83" s="4"/>
      <c r="J83" s="4"/>
      <c r="K83" s="4">
        <v>206</v>
      </c>
      <c r="L83" s="4">
        <v>20</v>
      </c>
      <c r="M83" s="4">
        <v>3</v>
      </c>
      <c r="N83" s="4" t="s">
        <v>6</v>
      </c>
      <c r="O83" s="4">
        <v>0</v>
      </c>
      <c r="P83" s="4"/>
      <c r="Q83" s="4"/>
      <c r="R83" s="4"/>
      <c r="S83" s="4"/>
      <c r="T83" s="4"/>
      <c r="U83" s="4"/>
      <c r="V83" s="4"/>
      <c r="W83" s="4">
        <v>0</v>
      </c>
      <c r="X83" s="4">
        <v>1</v>
      </c>
      <c r="Y83" s="4">
        <v>0</v>
      </c>
      <c r="Z83" s="4"/>
      <c r="AA83" s="4"/>
      <c r="AB83" s="4"/>
    </row>
    <row r="84" spans="1:206" x14ac:dyDescent="0.2">
      <c r="A84" s="4">
        <v>50</v>
      </c>
      <c r="B84" s="4">
        <v>0</v>
      </c>
      <c r="C84" s="4">
        <v>0</v>
      </c>
      <c r="D84" s="4">
        <v>1</v>
      </c>
      <c r="E84" s="4">
        <v>207</v>
      </c>
      <c r="F84" s="4">
        <f>ROUND(Source!U62,O84)</f>
        <v>0</v>
      </c>
      <c r="G84" s="4" t="s">
        <v>62</v>
      </c>
      <c r="H84" s="4" t="s">
        <v>63</v>
      </c>
      <c r="I84" s="4"/>
      <c r="J84" s="4"/>
      <c r="K84" s="4">
        <v>207</v>
      </c>
      <c r="L84" s="4">
        <v>21</v>
      </c>
      <c r="M84" s="4">
        <v>3</v>
      </c>
      <c r="N84" s="4" t="s">
        <v>6</v>
      </c>
      <c r="O84" s="4">
        <v>7</v>
      </c>
      <c r="P84" s="4"/>
      <c r="Q84" s="4"/>
      <c r="R84" s="4"/>
      <c r="S84" s="4"/>
      <c r="T84" s="4"/>
      <c r="U84" s="4"/>
      <c r="V84" s="4"/>
      <c r="W84" s="4">
        <v>0</v>
      </c>
      <c r="X84" s="4">
        <v>1</v>
      </c>
      <c r="Y84" s="4">
        <v>0</v>
      </c>
      <c r="Z84" s="4"/>
      <c r="AA84" s="4"/>
      <c r="AB84" s="4"/>
    </row>
    <row r="85" spans="1:206" x14ac:dyDescent="0.2">
      <c r="A85" s="4">
        <v>50</v>
      </c>
      <c r="B85" s="4">
        <v>0</v>
      </c>
      <c r="C85" s="4">
        <v>0</v>
      </c>
      <c r="D85" s="4">
        <v>1</v>
      </c>
      <c r="E85" s="4">
        <v>208</v>
      </c>
      <c r="F85" s="4">
        <f>ROUND(Source!V62,O85)</f>
        <v>0</v>
      </c>
      <c r="G85" s="4" t="s">
        <v>64</v>
      </c>
      <c r="H85" s="4" t="s">
        <v>65</v>
      </c>
      <c r="I85" s="4"/>
      <c r="J85" s="4"/>
      <c r="K85" s="4">
        <v>208</v>
      </c>
      <c r="L85" s="4">
        <v>22</v>
      </c>
      <c r="M85" s="4">
        <v>3</v>
      </c>
      <c r="N85" s="4" t="s">
        <v>6</v>
      </c>
      <c r="O85" s="4">
        <v>7</v>
      </c>
      <c r="P85" s="4"/>
      <c r="Q85" s="4"/>
      <c r="R85" s="4"/>
      <c r="S85" s="4"/>
      <c r="T85" s="4"/>
      <c r="U85" s="4"/>
      <c r="V85" s="4"/>
      <c r="W85" s="4">
        <v>0</v>
      </c>
      <c r="X85" s="4">
        <v>1</v>
      </c>
      <c r="Y85" s="4">
        <v>0</v>
      </c>
      <c r="Z85" s="4"/>
      <c r="AA85" s="4"/>
      <c r="AB85" s="4"/>
    </row>
    <row r="86" spans="1:206" x14ac:dyDescent="0.2">
      <c r="A86" s="4">
        <v>50</v>
      </c>
      <c r="B86" s="4">
        <v>0</v>
      </c>
      <c r="C86" s="4">
        <v>0</v>
      </c>
      <c r="D86" s="4">
        <v>1</v>
      </c>
      <c r="E86" s="4">
        <v>209</v>
      </c>
      <c r="F86" s="4">
        <f>ROUND(Source!W62,O86)</f>
        <v>0</v>
      </c>
      <c r="G86" s="4" t="s">
        <v>66</v>
      </c>
      <c r="H86" s="4" t="s">
        <v>67</v>
      </c>
      <c r="I86" s="4"/>
      <c r="J86" s="4"/>
      <c r="K86" s="4">
        <v>209</v>
      </c>
      <c r="L86" s="4">
        <v>23</v>
      </c>
      <c r="M86" s="4">
        <v>3</v>
      </c>
      <c r="N86" s="4" t="s">
        <v>6</v>
      </c>
      <c r="O86" s="4">
        <v>0</v>
      </c>
      <c r="P86" s="4"/>
      <c r="Q86" s="4"/>
      <c r="R86" s="4"/>
      <c r="S86" s="4"/>
      <c r="T86" s="4"/>
      <c r="U86" s="4"/>
      <c r="V86" s="4"/>
      <c r="W86" s="4">
        <v>0</v>
      </c>
      <c r="X86" s="4">
        <v>1</v>
      </c>
      <c r="Y86" s="4">
        <v>0</v>
      </c>
      <c r="Z86" s="4"/>
      <c r="AA86" s="4"/>
      <c r="AB86" s="4"/>
    </row>
    <row r="87" spans="1:206" x14ac:dyDescent="0.2">
      <c r="A87" s="4">
        <v>50</v>
      </c>
      <c r="B87" s="4">
        <v>0</v>
      </c>
      <c r="C87" s="4">
        <v>0</v>
      </c>
      <c r="D87" s="4">
        <v>1</v>
      </c>
      <c r="E87" s="4">
        <v>233</v>
      </c>
      <c r="F87" s="4">
        <f>ROUND(Source!BD62,O87)</f>
        <v>0</v>
      </c>
      <c r="G87" s="4" t="s">
        <v>68</v>
      </c>
      <c r="H87" s="4" t="s">
        <v>69</v>
      </c>
      <c r="I87" s="4"/>
      <c r="J87" s="4"/>
      <c r="K87" s="4">
        <v>233</v>
      </c>
      <c r="L87" s="4">
        <v>24</v>
      </c>
      <c r="M87" s="4">
        <v>3</v>
      </c>
      <c r="N87" s="4" t="s">
        <v>6</v>
      </c>
      <c r="O87" s="4">
        <v>0</v>
      </c>
      <c r="P87" s="4"/>
      <c r="Q87" s="4"/>
      <c r="R87" s="4"/>
      <c r="S87" s="4"/>
      <c r="T87" s="4"/>
      <c r="U87" s="4"/>
      <c r="V87" s="4"/>
      <c r="W87" s="4">
        <v>0</v>
      </c>
      <c r="X87" s="4">
        <v>1</v>
      </c>
      <c r="Y87" s="4">
        <v>0</v>
      </c>
      <c r="Z87" s="4"/>
      <c r="AA87" s="4"/>
      <c r="AB87" s="4"/>
    </row>
    <row r="88" spans="1:206" x14ac:dyDescent="0.2">
      <c r="A88" s="4">
        <v>50</v>
      </c>
      <c r="B88" s="4">
        <v>0</v>
      </c>
      <c r="C88" s="4">
        <v>0</v>
      </c>
      <c r="D88" s="4">
        <v>1</v>
      </c>
      <c r="E88" s="4">
        <v>210</v>
      </c>
      <c r="F88" s="4">
        <f>ROUND(Source!X62,O88)</f>
        <v>0</v>
      </c>
      <c r="G88" s="4" t="s">
        <v>70</v>
      </c>
      <c r="H88" s="4" t="s">
        <v>71</v>
      </c>
      <c r="I88" s="4"/>
      <c r="J88" s="4"/>
      <c r="K88" s="4">
        <v>210</v>
      </c>
      <c r="L88" s="4">
        <v>25</v>
      </c>
      <c r="M88" s="4">
        <v>3</v>
      </c>
      <c r="N88" s="4" t="s">
        <v>6</v>
      </c>
      <c r="O88" s="4">
        <v>0</v>
      </c>
      <c r="P88" s="4"/>
      <c r="Q88" s="4"/>
      <c r="R88" s="4"/>
      <c r="S88" s="4"/>
      <c r="T88" s="4"/>
      <c r="U88" s="4"/>
      <c r="V88" s="4"/>
      <c r="W88" s="4">
        <v>0</v>
      </c>
      <c r="X88" s="4">
        <v>1</v>
      </c>
      <c r="Y88" s="4">
        <v>0</v>
      </c>
      <c r="Z88" s="4"/>
      <c r="AA88" s="4"/>
      <c r="AB88" s="4"/>
    </row>
    <row r="89" spans="1:206" x14ac:dyDescent="0.2">
      <c r="A89" s="4">
        <v>50</v>
      </c>
      <c r="B89" s="4">
        <v>0</v>
      </c>
      <c r="C89" s="4">
        <v>0</v>
      </c>
      <c r="D89" s="4">
        <v>1</v>
      </c>
      <c r="E89" s="4">
        <v>211</v>
      </c>
      <c r="F89" s="4">
        <f>ROUND(Source!Y62,O89)</f>
        <v>0</v>
      </c>
      <c r="G89" s="4" t="s">
        <v>72</v>
      </c>
      <c r="H89" s="4" t="s">
        <v>73</v>
      </c>
      <c r="I89" s="4"/>
      <c r="J89" s="4"/>
      <c r="K89" s="4">
        <v>211</v>
      </c>
      <c r="L89" s="4">
        <v>26</v>
      </c>
      <c r="M89" s="4">
        <v>3</v>
      </c>
      <c r="N89" s="4" t="s">
        <v>6</v>
      </c>
      <c r="O89" s="4">
        <v>0</v>
      </c>
      <c r="P89" s="4"/>
      <c r="Q89" s="4"/>
      <c r="R89" s="4"/>
      <c r="S89" s="4"/>
      <c r="T89" s="4"/>
      <c r="U89" s="4"/>
      <c r="V89" s="4"/>
      <c r="W89" s="4">
        <v>0</v>
      </c>
      <c r="X89" s="4">
        <v>1</v>
      </c>
      <c r="Y89" s="4">
        <v>0</v>
      </c>
      <c r="Z89" s="4"/>
      <c r="AA89" s="4"/>
      <c r="AB89" s="4"/>
    </row>
    <row r="90" spans="1:206" x14ac:dyDescent="0.2">
      <c r="A90" s="4">
        <v>50</v>
      </c>
      <c r="B90" s="4">
        <v>0</v>
      </c>
      <c r="C90" s="4">
        <v>0</v>
      </c>
      <c r="D90" s="4">
        <v>1</v>
      </c>
      <c r="E90" s="4">
        <v>224</v>
      </c>
      <c r="F90" s="4">
        <f>ROUND(Source!AR62,O90)</f>
        <v>0</v>
      </c>
      <c r="G90" s="4" t="s">
        <v>74</v>
      </c>
      <c r="H90" s="4" t="s">
        <v>75</v>
      </c>
      <c r="I90" s="4"/>
      <c r="J90" s="4"/>
      <c r="K90" s="4">
        <v>224</v>
      </c>
      <c r="L90" s="4">
        <v>27</v>
      </c>
      <c r="M90" s="4">
        <v>3</v>
      </c>
      <c r="N90" s="4" t="s">
        <v>6</v>
      </c>
      <c r="O90" s="4">
        <v>0</v>
      </c>
      <c r="P90" s="4"/>
      <c r="Q90" s="4"/>
      <c r="R90" s="4"/>
      <c r="S90" s="4"/>
      <c r="T90" s="4"/>
      <c r="U90" s="4"/>
      <c r="V90" s="4"/>
      <c r="W90" s="4">
        <v>0</v>
      </c>
      <c r="X90" s="4">
        <v>1</v>
      </c>
      <c r="Y90" s="4">
        <v>0</v>
      </c>
      <c r="Z90" s="4"/>
      <c r="AA90" s="4"/>
      <c r="AB90" s="4"/>
    </row>
    <row r="92" spans="1:206" x14ac:dyDescent="0.2">
      <c r="A92" s="1">
        <v>4</v>
      </c>
      <c r="B92" s="1">
        <v>1</v>
      </c>
      <c r="C92" s="1"/>
      <c r="D92" s="1">
        <f>ROW(A96)</f>
        <v>96</v>
      </c>
      <c r="E92" s="1"/>
      <c r="F92" s="1" t="s">
        <v>78</v>
      </c>
      <c r="G92" s="1" t="s">
        <v>79</v>
      </c>
      <c r="H92" s="1" t="s">
        <v>6</v>
      </c>
      <c r="I92" s="1">
        <v>0</v>
      </c>
      <c r="J92" s="1"/>
      <c r="K92" s="1">
        <v>-1</v>
      </c>
      <c r="L92" s="1"/>
      <c r="M92" s="1" t="s">
        <v>6</v>
      </c>
      <c r="N92" s="1"/>
      <c r="O92" s="1"/>
      <c r="P92" s="1"/>
      <c r="Q92" s="1"/>
      <c r="R92" s="1"/>
      <c r="S92" s="1">
        <v>0</v>
      </c>
      <c r="T92" s="1"/>
      <c r="U92" s="1" t="s">
        <v>6</v>
      </c>
      <c r="V92" s="1">
        <v>0</v>
      </c>
      <c r="W92" s="1"/>
      <c r="X92" s="1"/>
      <c r="Y92" s="1"/>
      <c r="Z92" s="1"/>
      <c r="AA92" s="1"/>
      <c r="AB92" s="1" t="s">
        <v>6</v>
      </c>
      <c r="AC92" s="1" t="s">
        <v>6</v>
      </c>
      <c r="AD92" s="1" t="s">
        <v>6</v>
      </c>
      <c r="AE92" s="1" t="s">
        <v>6</v>
      </c>
      <c r="AF92" s="1" t="s">
        <v>6</v>
      </c>
      <c r="AG92" s="1" t="s">
        <v>6</v>
      </c>
      <c r="AH92" s="1"/>
      <c r="AI92" s="1"/>
      <c r="AJ92" s="1"/>
      <c r="AK92" s="1"/>
      <c r="AL92" s="1"/>
      <c r="AM92" s="1"/>
      <c r="AN92" s="1"/>
      <c r="AO92" s="1"/>
      <c r="AP92" s="1" t="s">
        <v>6</v>
      </c>
      <c r="AQ92" s="1" t="s">
        <v>6</v>
      </c>
      <c r="AR92" s="1" t="s">
        <v>6</v>
      </c>
      <c r="AS92" s="1"/>
      <c r="AT92" s="1"/>
      <c r="AU92" s="1"/>
      <c r="AV92" s="1"/>
      <c r="AW92" s="1"/>
      <c r="AX92" s="1"/>
      <c r="AY92" s="1"/>
      <c r="AZ92" s="1" t="s">
        <v>6</v>
      </c>
      <c r="BA92" s="1"/>
      <c r="BB92" s="1" t="s">
        <v>6</v>
      </c>
      <c r="BC92" s="1" t="s">
        <v>6</v>
      </c>
      <c r="BD92" s="1" t="s">
        <v>6</v>
      </c>
      <c r="BE92" s="1" t="s">
        <v>6</v>
      </c>
      <c r="BF92" s="1" t="s">
        <v>6</v>
      </c>
      <c r="BG92" s="1" t="s">
        <v>6</v>
      </c>
      <c r="BH92" s="1" t="s">
        <v>6</v>
      </c>
      <c r="BI92" s="1" t="s">
        <v>6</v>
      </c>
      <c r="BJ92" s="1" t="s">
        <v>6</v>
      </c>
      <c r="BK92" s="1" t="s">
        <v>6</v>
      </c>
      <c r="BL92" s="1" t="s">
        <v>6</v>
      </c>
      <c r="BM92" s="1" t="s">
        <v>6</v>
      </c>
      <c r="BN92" s="1" t="s">
        <v>6</v>
      </c>
      <c r="BO92" s="1" t="s">
        <v>6</v>
      </c>
      <c r="BP92" s="1" t="s">
        <v>6</v>
      </c>
      <c r="BQ92" s="1"/>
      <c r="BR92" s="1"/>
      <c r="BS92" s="1"/>
      <c r="BT92" s="1"/>
      <c r="BU92" s="1"/>
      <c r="BV92" s="1"/>
      <c r="BW92" s="1"/>
      <c r="BX92" s="1">
        <v>0</v>
      </c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>
        <v>0</v>
      </c>
    </row>
    <row r="94" spans="1:206" x14ac:dyDescent="0.2">
      <c r="A94" s="2">
        <v>52</v>
      </c>
      <c r="B94" s="2">
        <f t="shared" ref="B94:G94" si="32">B96</f>
        <v>1</v>
      </c>
      <c r="C94" s="2">
        <f t="shared" si="32"/>
        <v>4</v>
      </c>
      <c r="D94" s="2">
        <f t="shared" si="32"/>
        <v>92</v>
      </c>
      <c r="E94" s="2">
        <f t="shared" si="32"/>
        <v>0</v>
      </c>
      <c r="F94" s="2" t="str">
        <f t="shared" si="32"/>
        <v>15</v>
      </c>
      <c r="G94" s="2" t="str">
        <f t="shared" si="32"/>
        <v>БЛОК САНУЗЛОВ 3 (2-ой ЭТАЖ)</v>
      </c>
      <c r="H94" s="2"/>
      <c r="I94" s="2"/>
      <c r="J94" s="2"/>
      <c r="K94" s="2"/>
      <c r="L94" s="2"/>
      <c r="M94" s="2"/>
      <c r="N94" s="2"/>
      <c r="O94" s="2">
        <f t="shared" ref="O94:AT94" si="33">O96</f>
        <v>0</v>
      </c>
      <c r="P94" s="2">
        <f t="shared" si="33"/>
        <v>0</v>
      </c>
      <c r="Q94" s="2">
        <f t="shared" si="33"/>
        <v>0</v>
      </c>
      <c r="R94" s="2">
        <f t="shared" si="33"/>
        <v>0</v>
      </c>
      <c r="S94" s="2">
        <f t="shared" si="33"/>
        <v>0</v>
      </c>
      <c r="T94" s="2">
        <f t="shared" si="33"/>
        <v>0</v>
      </c>
      <c r="U94" s="2">
        <f t="shared" si="33"/>
        <v>0</v>
      </c>
      <c r="V94" s="2">
        <f t="shared" si="33"/>
        <v>0</v>
      </c>
      <c r="W94" s="2">
        <f t="shared" si="33"/>
        <v>0</v>
      </c>
      <c r="X94" s="2">
        <f t="shared" si="33"/>
        <v>0</v>
      </c>
      <c r="Y94" s="2">
        <f t="shared" si="33"/>
        <v>0</v>
      </c>
      <c r="Z94" s="2">
        <f t="shared" si="33"/>
        <v>0</v>
      </c>
      <c r="AA94" s="2">
        <f t="shared" si="33"/>
        <v>0</v>
      </c>
      <c r="AB94" s="2">
        <f t="shared" si="33"/>
        <v>0</v>
      </c>
      <c r="AC94" s="2">
        <f t="shared" si="33"/>
        <v>0</v>
      </c>
      <c r="AD94" s="2">
        <f t="shared" si="33"/>
        <v>0</v>
      </c>
      <c r="AE94" s="2">
        <f t="shared" si="33"/>
        <v>0</v>
      </c>
      <c r="AF94" s="2">
        <f t="shared" si="33"/>
        <v>0</v>
      </c>
      <c r="AG94" s="2">
        <f t="shared" si="33"/>
        <v>0</v>
      </c>
      <c r="AH94" s="2">
        <f t="shared" si="33"/>
        <v>0</v>
      </c>
      <c r="AI94" s="2">
        <f t="shared" si="33"/>
        <v>0</v>
      </c>
      <c r="AJ94" s="2">
        <f t="shared" si="33"/>
        <v>0</v>
      </c>
      <c r="AK94" s="2">
        <f t="shared" si="33"/>
        <v>0</v>
      </c>
      <c r="AL94" s="2">
        <f t="shared" si="33"/>
        <v>0</v>
      </c>
      <c r="AM94" s="2">
        <f t="shared" si="33"/>
        <v>0</v>
      </c>
      <c r="AN94" s="2">
        <f t="shared" si="33"/>
        <v>0</v>
      </c>
      <c r="AO94" s="2">
        <f t="shared" si="33"/>
        <v>0</v>
      </c>
      <c r="AP94" s="2">
        <f t="shared" si="33"/>
        <v>0</v>
      </c>
      <c r="AQ94" s="2">
        <f t="shared" si="33"/>
        <v>0</v>
      </c>
      <c r="AR94" s="2">
        <f t="shared" si="33"/>
        <v>0</v>
      </c>
      <c r="AS94" s="2">
        <f t="shared" si="33"/>
        <v>0</v>
      </c>
      <c r="AT94" s="2">
        <f t="shared" si="33"/>
        <v>0</v>
      </c>
      <c r="AU94" s="2">
        <f t="shared" ref="AU94:BZ94" si="34">AU96</f>
        <v>0</v>
      </c>
      <c r="AV94" s="2">
        <f t="shared" si="34"/>
        <v>0</v>
      </c>
      <c r="AW94" s="2">
        <f t="shared" si="34"/>
        <v>0</v>
      </c>
      <c r="AX94" s="2">
        <f t="shared" si="34"/>
        <v>0</v>
      </c>
      <c r="AY94" s="2">
        <f t="shared" si="34"/>
        <v>0</v>
      </c>
      <c r="AZ94" s="2">
        <f t="shared" si="34"/>
        <v>0</v>
      </c>
      <c r="BA94" s="2">
        <f t="shared" si="34"/>
        <v>0</v>
      </c>
      <c r="BB94" s="2">
        <f t="shared" si="34"/>
        <v>0</v>
      </c>
      <c r="BC94" s="2">
        <f t="shared" si="34"/>
        <v>0</v>
      </c>
      <c r="BD94" s="2">
        <f t="shared" si="34"/>
        <v>0</v>
      </c>
      <c r="BE94" s="2">
        <f t="shared" si="34"/>
        <v>0</v>
      </c>
      <c r="BF94" s="2">
        <f t="shared" si="34"/>
        <v>0</v>
      </c>
      <c r="BG94" s="2">
        <f t="shared" si="34"/>
        <v>0</v>
      </c>
      <c r="BH94" s="2">
        <f t="shared" si="34"/>
        <v>0</v>
      </c>
      <c r="BI94" s="2">
        <f t="shared" si="34"/>
        <v>0</v>
      </c>
      <c r="BJ94" s="2">
        <f t="shared" si="34"/>
        <v>0</v>
      </c>
      <c r="BK94" s="2">
        <f t="shared" si="34"/>
        <v>0</v>
      </c>
      <c r="BL94" s="2">
        <f t="shared" si="34"/>
        <v>0</v>
      </c>
      <c r="BM94" s="2">
        <f t="shared" si="34"/>
        <v>0</v>
      </c>
      <c r="BN94" s="2">
        <f t="shared" si="34"/>
        <v>0</v>
      </c>
      <c r="BO94" s="2">
        <f t="shared" si="34"/>
        <v>0</v>
      </c>
      <c r="BP94" s="2">
        <f t="shared" si="34"/>
        <v>0</v>
      </c>
      <c r="BQ94" s="2">
        <f t="shared" si="34"/>
        <v>0</v>
      </c>
      <c r="BR94" s="2">
        <f t="shared" si="34"/>
        <v>0</v>
      </c>
      <c r="BS94" s="2">
        <f t="shared" si="34"/>
        <v>0</v>
      </c>
      <c r="BT94" s="2">
        <f t="shared" si="34"/>
        <v>0</v>
      </c>
      <c r="BU94" s="2">
        <f t="shared" si="34"/>
        <v>0</v>
      </c>
      <c r="BV94" s="2">
        <f t="shared" si="34"/>
        <v>0</v>
      </c>
      <c r="BW94" s="2">
        <f t="shared" si="34"/>
        <v>0</v>
      </c>
      <c r="BX94" s="2">
        <f t="shared" si="34"/>
        <v>0</v>
      </c>
      <c r="BY94" s="2">
        <f t="shared" si="34"/>
        <v>0</v>
      </c>
      <c r="BZ94" s="2">
        <f t="shared" si="34"/>
        <v>0</v>
      </c>
      <c r="CA94" s="2">
        <f t="shared" ref="CA94:DF94" si="35">CA96</f>
        <v>0</v>
      </c>
      <c r="CB94" s="2">
        <f t="shared" si="35"/>
        <v>0</v>
      </c>
      <c r="CC94" s="2">
        <f t="shared" si="35"/>
        <v>0</v>
      </c>
      <c r="CD94" s="2">
        <f t="shared" si="35"/>
        <v>0</v>
      </c>
      <c r="CE94" s="2">
        <f t="shared" si="35"/>
        <v>0</v>
      </c>
      <c r="CF94" s="2">
        <f t="shared" si="35"/>
        <v>0</v>
      </c>
      <c r="CG94" s="2">
        <f t="shared" si="35"/>
        <v>0</v>
      </c>
      <c r="CH94" s="2">
        <f t="shared" si="35"/>
        <v>0</v>
      </c>
      <c r="CI94" s="2">
        <f t="shared" si="35"/>
        <v>0</v>
      </c>
      <c r="CJ94" s="2">
        <f t="shared" si="35"/>
        <v>0</v>
      </c>
      <c r="CK94" s="2">
        <f t="shared" si="35"/>
        <v>0</v>
      </c>
      <c r="CL94" s="2">
        <f t="shared" si="35"/>
        <v>0</v>
      </c>
      <c r="CM94" s="2">
        <f t="shared" si="35"/>
        <v>0</v>
      </c>
      <c r="CN94" s="2">
        <f t="shared" si="35"/>
        <v>0</v>
      </c>
      <c r="CO94" s="2">
        <f t="shared" si="35"/>
        <v>0</v>
      </c>
      <c r="CP94" s="2">
        <f t="shared" si="35"/>
        <v>0</v>
      </c>
      <c r="CQ94" s="2">
        <f t="shared" si="35"/>
        <v>0</v>
      </c>
      <c r="CR94" s="2">
        <f t="shared" si="35"/>
        <v>0</v>
      </c>
      <c r="CS94" s="2">
        <f t="shared" si="35"/>
        <v>0</v>
      </c>
      <c r="CT94" s="2">
        <f t="shared" si="35"/>
        <v>0</v>
      </c>
      <c r="CU94" s="2">
        <f t="shared" si="35"/>
        <v>0</v>
      </c>
      <c r="CV94" s="2">
        <f t="shared" si="35"/>
        <v>0</v>
      </c>
      <c r="CW94" s="2">
        <f t="shared" si="35"/>
        <v>0</v>
      </c>
      <c r="CX94" s="2">
        <f t="shared" si="35"/>
        <v>0</v>
      </c>
      <c r="CY94" s="2">
        <f t="shared" si="35"/>
        <v>0</v>
      </c>
      <c r="CZ94" s="2">
        <f t="shared" si="35"/>
        <v>0</v>
      </c>
      <c r="DA94" s="2">
        <f t="shared" si="35"/>
        <v>0</v>
      </c>
      <c r="DB94" s="2">
        <f t="shared" si="35"/>
        <v>0</v>
      </c>
      <c r="DC94" s="2">
        <f t="shared" si="35"/>
        <v>0</v>
      </c>
      <c r="DD94" s="2">
        <f t="shared" si="35"/>
        <v>0</v>
      </c>
      <c r="DE94" s="2">
        <f t="shared" si="35"/>
        <v>0</v>
      </c>
      <c r="DF94" s="2">
        <f t="shared" si="35"/>
        <v>0</v>
      </c>
      <c r="DG94" s="3">
        <f t="shared" ref="DG94:EL94" si="36">DG96</f>
        <v>0</v>
      </c>
      <c r="DH94" s="3">
        <f t="shared" si="36"/>
        <v>0</v>
      </c>
      <c r="DI94" s="3">
        <f t="shared" si="36"/>
        <v>0</v>
      </c>
      <c r="DJ94" s="3">
        <f t="shared" si="36"/>
        <v>0</v>
      </c>
      <c r="DK94" s="3">
        <f t="shared" si="36"/>
        <v>0</v>
      </c>
      <c r="DL94" s="3">
        <f t="shared" si="36"/>
        <v>0</v>
      </c>
      <c r="DM94" s="3">
        <f t="shared" si="36"/>
        <v>0</v>
      </c>
      <c r="DN94" s="3">
        <f t="shared" si="36"/>
        <v>0</v>
      </c>
      <c r="DO94" s="3">
        <f t="shared" si="36"/>
        <v>0</v>
      </c>
      <c r="DP94" s="3">
        <f t="shared" si="36"/>
        <v>0</v>
      </c>
      <c r="DQ94" s="3">
        <f t="shared" si="36"/>
        <v>0</v>
      </c>
      <c r="DR94" s="3">
        <f t="shared" si="36"/>
        <v>0</v>
      </c>
      <c r="DS94" s="3">
        <f t="shared" si="36"/>
        <v>0</v>
      </c>
      <c r="DT94" s="3">
        <f t="shared" si="36"/>
        <v>0</v>
      </c>
      <c r="DU94" s="3">
        <f t="shared" si="36"/>
        <v>0</v>
      </c>
      <c r="DV94" s="3">
        <f t="shared" si="36"/>
        <v>0</v>
      </c>
      <c r="DW94" s="3">
        <f t="shared" si="36"/>
        <v>0</v>
      </c>
      <c r="DX94" s="3">
        <f t="shared" si="36"/>
        <v>0</v>
      </c>
      <c r="DY94" s="3">
        <f t="shared" si="36"/>
        <v>0</v>
      </c>
      <c r="DZ94" s="3">
        <f t="shared" si="36"/>
        <v>0</v>
      </c>
      <c r="EA94" s="3">
        <f t="shared" si="36"/>
        <v>0</v>
      </c>
      <c r="EB94" s="3">
        <f t="shared" si="36"/>
        <v>0</v>
      </c>
      <c r="EC94" s="3">
        <f t="shared" si="36"/>
        <v>0</v>
      </c>
      <c r="ED94" s="3">
        <f t="shared" si="36"/>
        <v>0</v>
      </c>
      <c r="EE94" s="3">
        <f t="shared" si="36"/>
        <v>0</v>
      </c>
      <c r="EF94" s="3">
        <f t="shared" si="36"/>
        <v>0</v>
      </c>
      <c r="EG94" s="3">
        <f t="shared" si="36"/>
        <v>0</v>
      </c>
      <c r="EH94" s="3">
        <f t="shared" si="36"/>
        <v>0</v>
      </c>
      <c r="EI94" s="3">
        <f t="shared" si="36"/>
        <v>0</v>
      </c>
      <c r="EJ94" s="3">
        <f t="shared" si="36"/>
        <v>0</v>
      </c>
      <c r="EK94" s="3">
        <f t="shared" si="36"/>
        <v>0</v>
      </c>
      <c r="EL94" s="3">
        <f t="shared" si="36"/>
        <v>0</v>
      </c>
      <c r="EM94" s="3">
        <f t="shared" ref="EM94:FR94" si="37">EM96</f>
        <v>0</v>
      </c>
      <c r="EN94" s="3">
        <f t="shared" si="37"/>
        <v>0</v>
      </c>
      <c r="EO94" s="3">
        <f t="shared" si="37"/>
        <v>0</v>
      </c>
      <c r="EP94" s="3">
        <f t="shared" si="37"/>
        <v>0</v>
      </c>
      <c r="EQ94" s="3">
        <f t="shared" si="37"/>
        <v>0</v>
      </c>
      <c r="ER94" s="3">
        <f t="shared" si="37"/>
        <v>0</v>
      </c>
      <c r="ES94" s="3">
        <f t="shared" si="37"/>
        <v>0</v>
      </c>
      <c r="ET94" s="3">
        <f t="shared" si="37"/>
        <v>0</v>
      </c>
      <c r="EU94" s="3">
        <f t="shared" si="37"/>
        <v>0</v>
      </c>
      <c r="EV94" s="3">
        <f t="shared" si="37"/>
        <v>0</v>
      </c>
      <c r="EW94" s="3">
        <f t="shared" si="37"/>
        <v>0</v>
      </c>
      <c r="EX94" s="3">
        <f t="shared" si="37"/>
        <v>0</v>
      </c>
      <c r="EY94" s="3">
        <f t="shared" si="37"/>
        <v>0</v>
      </c>
      <c r="EZ94" s="3">
        <f t="shared" si="37"/>
        <v>0</v>
      </c>
      <c r="FA94" s="3">
        <f t="shared" si="37"/>
        <v>0</v>
      </c>
      <c r="FB94" s="3">
        <f t="shared" si="37"/>
        <v>0</v>
      </c>
      <c r="FC94" s="3">
        <f t="shared" si="37"/>
        <v>0</v>
      </c>
      <c r="FD94" s="3">
        <f t="shared" si="37"/>
        <v>0</v>
      </c>
      <c r="FE94" s="3">
        <f t="shared" si="37"/>
        <v>0</v>
      </c>
      <c r="FF94" s="3">
        <f t="shared" si="37"/>
        <v>0</v>
      </c>
      <c r="FG94" s="3">
        <f t="shared" si="37"/>
        <v>0</v>
      </c>
      <c r="FH94" s="3">
        <f t="shared" si="37"/>
        <v>0</v>
      </c>
      <c r="FI94" s="3">
        <f t="shared" si="37"/>
        <v>0</v>
      </c>
      <c r="FJ94" s="3">
        <f t="shared" si="37"/>
        <v>0</v>
      </c>
      <c r="FK94" s="3">
        <f t="shared" si="37"/>
        <v>0</v>
      </c>
      <c r="FL94" s="3">
        <f t="shared" si="37"/>
        <v>0</v>
      </c>
      <c r="FM94" s="3">
        <f t="shared" si="37"/>
        <v>0</v>
      </c>
      <c r="FN94" s="3">
        <f t="shared" si="37"/>
        <v>0</v>
      </c>
      <c r="FO94" s="3">
        <f t="shared" si="37"/>
        <v>0</v>
      </c>
      <c r="FP94" s="3">
        <f t="shared" si="37"/>
        <v>0</v>
      </c>
      <c r="FQ94" s="3">
        <f t="shared" si="37"/>
        <v>0</v>
      </c>
      <c r="FR94" s="3">
        <f t="shared" si="37"/>
        <v>0</v>
      </c>
      <c r="FS94" s="3">
        <f t="shared" ref="FS94:GX94" si="38">FS96</f>
        <v>0</v>
      </c>
      <c r="FT94" s="3">
        <f t="shared" si="38"/>
        <v>0</v>
      </c>
      <c r="FU94" s="3">
        <f t="shared" si="38"/>
        <v>0</v>
      </c>
      <c r="FV94" s="3">
        <f t="shared" si="38"/>
        <v>0</v>
      </c>
      <c r="FW94" s="3">
        <f t="shared" si="38"/>
        <v>0</v>
      </c>
      <c r="FX94" s="3">
        <f t="shared" si="38"/>
        <v>0</v>
      </c>
      <c r="FY94" s="3">
        <f t="shared" si="38"/>
        <v>0</v>
      </c>
      <c r="FZ94" s="3">
        <f t="shared" si="38"/>
        <v>0</v>
      </c>
      <c r="GA94" s="3">
        <f t="shared" si="38"/>
        <v>0</v>
      </c>
      <c r="GB94" s="3">
        <f t="shared" si="38"/>
        <v>0</v>
      </c>
      <c r="GC94" s="3">
        <f t="shared" si="38"/>
        <v>0</v>
      </c>
      <c r="GD94" s="3">
        <f t="shared" si="38"/>
        <v>0</v>
      </c>
      <c r="GE94" s="3">
        <f t="shared" si="38"/>
        <v>0</v>
      </c>
      <c r="GF94" s="3">
        <f t="shared" si="38"/>
        <v>0</v>
      </c>
      <c r="GG94" s="3">
        <f t="shared" si="38"/>
        <v>0</v>
      </c>
      <c r="GH94" s="3">
        <f t="shared" si="38"/>
        <v>0</v>
      </c>
      <c r="GI94" s="3">
        <f t="shared" si="38"/>
        <v>0</v>
      </c>
      <c r="GJ94" s="3">
        <f t="shared" si="38"/>
        <v>0</v>
      </c>
      <c r="GK94" s="3">
        <f t="shared" si="38"/>
        <v>0</v>
      </c>
      <c r="GL94" s="3">
        <f t="shared" si="38"/>
        <v>0</v>
      </c>
      <c r="GM94" s="3">
        <f t="shared" si="38"/>
        <v>0</v>
      </c>
      <c r="GN94" s="3">
        <f t="shared" si="38"/>
        <v>0</v>
      </c>
      <c r="GO94" s="3">
        <f t="shared" si="38"/>
        <v>0</v>
      </c>
      <c r="GP94" s="3">
        <f t="shared" si="38"/>
        <v>0</v>
      </c>
      <c r="GQ94" s="3">
        <f t="shared" si="38"/>
        <v>0</v>
      </c>
      <c r="GR94" s="3">
        <f t="shared" si="38"/>
        <v>0</v>
      </c>
      <c r="GS94" s="3">
        <f t="shared" si="38"/>
        <v>0</v>
      </c>
      <c r="GT94" s="3">
        <f t="shared" si="38"/>
        <v>0</v>
      </c>
      <c r="GU94" s="3">
        <f t="shared" si="38"/>
        <v>0</v>
      </c>
      <c r="GV94" s="3">
        <f t="shared" si="38"/>
        <v>0</v>
      </c>
      <c r="GW94" s="3">
        <f t="shared" si="38"/>
        <v>0</v>
      </c>
      <c r="GX94" s="3">
        <f t="shared" si="38"/>
        <v>0</v>
      </c>
    </row>
    <row r="96" spans="1:206" x14ac:dyDescent="0.2">
      <c r="A96" s="2">
        <v>51</v>
      </c>
      <c r="B96" s="2">
        <f>B92</f>
        <v>1</v>
      </c>
      <c r="C96" s="2">
        <f>A92</f>
        <v>4</v>
      </c>
      <c r="D96" s="2">
        <f>ROW(A92)</f>
        <v>92</v>
      </c>
      <c r="E96" s="2"/>
      <c r="F96" s="2" t="str">
        <f>IF(F92&lt;&gt;"",F92,"")</f>
        <v>15</v>
      </c>
      <c r="G96" s="2" t="str">
        <f>IF(G92&lt;&gt;"",G92,"")</f>
        <v>БЛОК САНУЗЛОВ 3 (2-ой ЭТАЖ)</v>
      </c>
      <c r="H96" s="2">
        <v>0</v>
      </c>
      <c r="I96" s="2"/>
      <c r="J96" s="2"/>
      <c r="K96" s="2"/>
      <c r="L96" s="2"/>
      <c r="M96" s="2"/>
      <c r="N96" s="2"/>
      <c r="O96" s="2">
        <f t="shared" ref="O96:Y96" si="39">AB96</f>
        <v>0</v>
      </c>
      <c r="P96" s="2">
        <f t="shared" si="39"/>
        <v>0</v>
      </c>
      <c r="Q96" s="2">
        <f t="shared" si="39"/>
        <v>0</v>
      </c>
      <c r="R96" s="2">
        <f t="shared" si="39"/>
        <v>0</v>
      </c>
      <c r="S96" s="2">
        <f t="shared" si="39"/>
        <v>0</v>
      </c>
      <c r="T96" s="2">
        <f t="shared" si="39"/>
        <v>0</v>
      </c>
      <c r="U96" s="2">
        <f t="shared" si="39"/>
        <v>0</v>
      </c>
      <c r="V96" s="2">
        <f t="shared" si="39"/>
        <v>0</v>
      </c>
      <c r="W96" s="2">
        <f t="shared" si="39"/>
        <v>0</v>
      </c>
      <c r="X96" s="2">
        <f t="shared" si="39"/>
        <v>0</v>
      </c>
      <c r="Y96" s="2">
        <f t="shared" si="39"/>
        <v>0</v>
      </c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>
        <f t="shared" ref="AO96:BD96" si="40">BX96</f>
        <v>0</v>
      </c>
      <c r="AP96" s="2">
        <f t="shared" si="40"/>
        <v>0</v>
      </c>
      <c r="AQ96" s="2">
        <f t="shared" si="40"/>
        <v>0</v>
      </c>
      <c r="AR96" s="2">
        <f t="shared" si="40"/>
        <v>0</v>
      </c>
      <c r="AS96" s="2">
        <f t="shared" si="40"/>
        <v>0</v>
      </c>
      <c r="AT96" s="2">
        <f t="shared" si="40"/>
        <v>0</v>
      </c>
      <c r="AU96" s="2">
        <f t="shared" si="40"/>
        <v>0</v>
      </c>
      <c r="AV96" s="2">
        <f t="shared" si="40"/>
        <v>0</v>
      </c>
      <c r="AW96" s="2">
        <f t="shared" si="40"/>
        <v>0</v>
      </c>
      <c r="AX96" s="2">
        <f t="shared" si="40"/>
        <v>0</v>
      </c>
      <c r="AY96" s="2">
        <f t="shared" si="40"/>
        <v>0</v>
      </c>
      <c r="AZ96" s="2">
        <f t="shared" si="40"/>
        <v>0</v>
      </c>
      <c r="BA96" s="2">
        <f t="shared" si="40"/>
        <v>0</v>
      </c>
      <c r="BB96" s="2">
        <f t="shared" si="40"/>
        <v>0</v>
      </c>
      <c r="BC96" s="2">
        <f t="shared" si="40"/>
        <v>0</v>
      </c>
      <c r="BD96" s="2">
        <f t="shared" si="40"/>
        <v>0</v>
      </c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>
        <v>0</v>
      </c>
    </row>
    <row r="98" spans="1:28" x14ac:dyDescent="0.2">
      <c r="A98" s="4">
        <v>50</v>
      </c>
      <c r="B98" s="4">
        <v>0</v>
      </c>
      <c r="C98" s="4">
        <v>0</v>
      </c>
      <c r="D98" s="4">
        <v>1</v>
      </c>
      <c r="E98" s="4">
        <v>201</v>
      </c>
      <c r="F98" s="4">
        <f>ROUND(Source!O96,O98)</f>
        <v>0</v>
      </c>
      <c r="G98" s="4" t="s">
        <v>22</v>
      </c>
      <c r="H98" s="4" t="s">
        <v>23</v>
      </c>
      <c r="I98" s="4"/>
      <c r="J98" s="4"/>
      <c r="K98" s="4">
        <v>201</v>
      </c>
      <c r="L98" s="4">
        <v>1</v>
      </c>
      <c r="M98" s="4">
        <v>3</v>
      </c>
      <c r="N98" s="4" t="s">
        <v>6</v>
      </c>
      <c r="O98" s="4">
        <v>0</v>
      </c>
      <c r="P98" s="4"/>
      <c r="Q98" s="4"/>
      <c r="R98" s="4"/>
      <c r="S98" s="4"/>
      <c r="T98" s="4"/>
      <c r="U98" s="4"/>
      <c r="V98" s="4"/>
      <c r="W98" s="4">
        <v>0</v>
      </c>
      <c r="X98" s="4">
        <v>1</v>
      </c>
      <c r="Y98" s="4">
        <v>0</v>
      </c>
      <c r="Z98" s="4"/>
      <c r="AA98" s="4"/>
      <c r="AB98" s="4"/>
    </row>
    <row r="99" spans="1:28" x14ac:dyDescent="0.2">
      <c r="A99" s="4">
        <v>50</v>
      </c>
      <c r="B99" s="4">
        <v>0</v>
      </c>
      <c r="C99" s="4">
        <v>0</v>
      </c>
      <c r="D99" s="4">
        <v>1</v>
      </c>
      <c r="E99" s="4">
        <v>202</v>
      </c>
      <c r="F99" s="4">
        <f>ROUND(Source!P96,O99)</f>
        <v>0</v>
      </c>
      <c r="G99" s="4" t="s">
        <v>24</v>
      </c>
      <c r="H99" s="4" t="s">
        <v>25</v>
      </c>
      <c r="I99" s="4"/>
      <c r="J99" s="4"/>
      <c r="K99" s="4">
        <v>202</v>
      </c>
      <c r="L99" s="4">
        <v>2</v>
      </c>
      <c r="M99" s="4">
        <v>3</v>
      </c>
      <c r="N99" s="4" t="s">
        <v>6</v>
      </c>
      <c r="O99" s="4">
        <v>0</v>
      </c>
      <c r="P99" s="4"/>
      <c r="Q99" s="4"/>
      <c r="R99" s="4"/>
      <c r="S99" s="4"/>
      <c r="T99" s="4"/>
      <c r="U99" s="4"/>
      <c r="V99" s="4"/>
      <c r="W99" s="4">
        <v>0</v>
      </c>
      <c r="X99" s="4">
        <v>1</v>
      </c>
      <c r="Y99" s="4">
        <v>0</v>
      </c>
      <c r="Z99" s="4"/>
      <c r="AA99" s="4"/>
      <c r="AB99" s="4"/>
    </row>
    <row r="100" spans="1:28" x14ac:dyDescent="0.2">
      <c r="A100" s="4">
        <v>50</v>
      </c>
      <c r="B100" s="4">
        <v>0</v>
      </c>
      <c r="C100" s="4">
        <v>0</v>
      </c>
      <c r="D100" s="4">
        <v>1</v>
      </c>
      <c r="E100" s="4">
        <v>222</v>
      </c>
      <c r="F100" s="4">
        <f>ROUND(Source!AO96,O100)</f>
        <v>0</v>
      </c>
      <c r="G100" s="4" t="s">
        <v>26</v>
      </c>
      <c r="H100" s="4" t="s">
        <v>27</v>
      </c>
      <c r="I100" s="4"/>
      <c r="J100" s="4"/>
      <c r="K100" s="4">
        <v>222</v>
      </c>
      <c r="L100" s="4">
        <v>3</v>
      </c>
      <c r="M100" s="4">
        <v>3</v>
      </c>
      <c r="N100" s="4" t="s">
        <v>6</v>
      </c>
      <c r="O100" s="4">
        <v>0</v>
      </c>
      <c r="P100" s="4"/>
      <c r="Q100" s="4"/>
      <c r="R100" s="4"/>
      <c r="S100" s="4"/>
      <c r="T100" s="4"/>
      <c r="U100" s="4"/>
      <c r="V100" s="4"/>
      <c r="W100" s="4">
        <v>0</v>
      </c>
      <c r="X100" s="4">
        <v>1</v>
      </c>
      <c r="Y100" s="4">
        <v>0</v>
      </c>
      <c r="Z100" s="4"/>
      <c r="AA100" s="4"/>
      <c r="AB100" s="4"/>
    </row>
    <row r="101" spans="1:28" x14ac:dyDescent="0.2">
      <c r="A101" s="4">
        <v>50</v>
      </c>
      <c r="B101" s="4">
        <v>0</v>
      </c>
      <c r="C101" s="4">
        <v>0</v>
      </c>
      <c r="D101" s="4">
        <v>1</v>
      </c>
      <c r="E101" s="4">
        <v>225</v>
      </c>
      <c r="F101" s="4">
        <f>ROUND(Source!AV96,O101)</f>
        <v>0</v>
      </c>
      <c r="G101" s="4" t="s">
        <v>28</v>
      </c>
      <c r="H101" s="4" t="s">
        <v>29</v>
      </c>
      <c r="I101" s="4"/>
      <c r="J101" s="4"/>
      <c r="K101" s="4">
        <v>225</v>
      </c>
      <c r="L101" s="4">
        <v>4</v>
      </c>
      <c r="M101" s="4">
        <v>3</v>
      </c>
      <c r="N101" s="4" t="s">
        <v>6</v>
      </c>
      <c r="O101" s="4">
        <v>0</v>
      </c>
      <c r="P101" s="4"/>
      <c r="Q101" s="4"/>
      <c r="R101" s="4"/>
      <c r="S101" s="4"/>
      <c r="T101" s="4"/>
      <c r="U101" s="4"/>
      <c r="V101" s="4"/>
      <c r="W101" s="4">
        <v>0</v>
      </c>
      <c r="X101" s="4">
        <v>1</v>
      </c>
      <c r="Y101" s="4">
        <v>0</v>
      </c>
      <c r="Z101" s="4"/>
      <c r="AA101" s="4"/>
      <c r="AB101" s="4"/>
    </row>
    <row r="102" spans="1:28" x14ac:dyDescent="0.2">
      <c r="A102" s="4">
        <v>50</v>
      </c>
      <c r="B102" s="4">
        <v>0</v>
      </c>
      <c r="C102" s="4">
        <v>0</v>
      </c>
      <c r="D102" s="4">
        <v>1</v>
      </c>
      <c r="E102" s="4">
        <v>226</v>
      </c>
      <c r="F102" s="4">
        <f>ROUND(Source!AW96,O102)</f>
        <v>0</v>
      </c>
      <c r="G102" s="4" t="s">
        <v>30</v>
      </c>
      <c r="H102" s="4" t="s">
        <v>31</v>
      </c>
      <c r="I102" s="4"/>
      <c r="J102" s="4"/>
      <c r="K102" s="4">
        <v>226</v>
      </c>
      <c r="L102" s="4">
        <v>5</v>
      </c>
      <c r="M102" s="4">
        <v>3</v>
      </c>
      <c r="N102" s="4" t="s">
        <v>6</v>
      </c>
      <c r="O102" s="4">
        <v>0</v>
      </c>
      <c r="P102" s="4"/>
      <c r="Q102" s="4"/>
      <c r="R102" s="4"/>
      <c r="S102" s="4"/>
      <c r="T102" s="4"/>
      <c r="U102" s="4"/>
      <c r="V102" s="4"/>
      <c r="W102" s="4">
        <v>0</v>
      </c>
      <c r="X102" s="4">
        <v>1</v>
      </c>
      <c r="Y102" s="4">
        <v>0</v>
      </c>
      <c r="Z102" s="4"/>
      <c r="AA102" s="4"/>
      <c r="AB102" s="4"/>
    </row>
    <row r="103" spans="1:28" x14ac:dyDescent="0.2">
      <c r="A103" s="4">
        <v>50</v>
      </c>
      <c r="B103" s="4">
        <v>0</v>
      </c>
      <c r="C103" s="4">
        <v>0</v>
      </c>
      <c r="D103" s="4">
        <v>1</v>
      </c>
      <c r="E103" s="4">
        <v>227</v>
      </c>
      <c r="F103" s="4">
        <f>ROUND(Source!AX96,O103)</f>
        <v>0</v>
      </c>
      <c r="G103" s="4" t="s">
        <v>32</v>
      </c>
      <c r="H103" s="4" t="s">
        <v>33</v>
      </c>
      <c r="I103" s="4"/>
      <c r="J103" s="4"/>
      <c r="K103" s="4">
        <v>227</v>
      </c>
      <c r="L103" s="4">
        <v>6</v>
      </c>
      <c r="M103" s="4">
        <v>3</v>
      </c>
      <c r="N103" s="4" t="s">
        <v>6</v>
      </c>
      <c r="O103" s="4">
        <v>0</v>
      </c>
      <c r="P103" s="4"/>
      <c r="Q103" s="4"/>
      <c r="R103" s="4"/>
      <c r="S103" s="4"/>
      <c r="T103" s="4"/>
      <c r="U103" s="4"/>
      <c r="V103" s="4"/>
      <c r="W103" s="4">
        <v>0</v>
      </c>
      <c r="X103" s="4">
        <v>1</v>
      </c>
      <c r="Y103" s="4">
        <v>0</v>
      </c>
      <c r="Z103" s="4"/>
      <c r="AA103" s="4"/>
      <c r="AB103" s="4"/>
    </row>
    <row r="104" spans="1:28" x14ac:dyDescent="0.2">
      <c r="A104" s="4">
        <v>50</v>
      </c>
      <c r="B104" s="4">
        <v>0</v>
      </c>
      <c r="C104" s="4">
        <v>0</v>
      </c>
      <c r="D104" s="4">
        <v>1</v>
      </c>
      <c r="E104" s="4">
        <v>228</v>
      </c>
      <c r="F104" s="4">
        <f>ROUND(Source!AY96,O104)</f>
        <v>0</v>
      </c>
      <c r="G104" s="4" t="s">
        <v>34</v>
      </c>
      <c r="H104" s="4" t="s">
        <v>35</v>
      </c>
      <c r="I104" s="4"/>
      <c r="J104" s="4"/>
      <c r="K104" s="4">
        <v>228</v>
      </c>
      <c r="L104" s="4">
        <v>7</v>
      </c>
      <c r="M104" s="4">
        <v>3</v>
      </c>
      <c r="N104" s="4" t="s">
        <v>6</v>
      </c>
      <c r="O104" s="4">
        <v>0</v>
      </c>
      <c r="P104" s="4"/>
      <c r="Q104" s="4"/>
      <c r="R104" s="4"/>
      <c r="S104" s="4"/>
      <c r="T104" s="4"/>
      <c r="U104" s="4"/>
      <c r="V104" s="4"/>
      <c r="W104" s="4">
        <v>0</v>
      </c>
      <c r="X104" s="4">
        <v>1</v>
      </c>
      <c r="Y104" s="4">
        <v>0</v>
      </c>
      <c r="Z104" s="4"/>
      <c r="AA104" s="4"/>
      <c r="AB104" s="4"/>
    </row>
    <row r="105" spans="1:28" x14ac:dyDescent="0.2">
      <c r="A105" s="4">
        <v>50</v>
      </c>
      <c r="B105" s="4">
        <v>0</v>
      </c>
      <c r="C105" s="4">
        <v>0</v>
      </c>
      <c r="D105" s="4">
        <v>1</v>
      </c>
      <c r="E105" s="4">
        <v>216</v>
      </c>
      <c r="F105" s="4">
        <f>ROUND(Source!AP96,O105)</f>
        <v>0</v>
      </c>
      <c r="G105" s="4" t="s">
        <v>36</v>
      </c>
      <c r="H105" s="4" t="s">
        <v>37</v>
      </c>
      <c r="I105" s="4"/>
      <c r="J105" s="4"/>
      <c r="K105" s="4">
        <v>216</v>
      </c>
      <c r="L105" s="4">
        <v>8</v>
      </c>
      <c r="M105" s="4">
        <v>3</v>
      </c>
      <c r="N105" s="4" t="s">
        <v>6</v>
      </c>
      <c r="O105" s="4">
        <v>0</v>
      </c>
      <c r="P105" s="4"/>
      <c r="Q105" s="4"/>
      <c r="R105" s="4"/>
      <c r="S105" s="4"/>
      <c r="T105" s="4"/>
      <c r="U105" s="4"/>
      <c r="V105" s="4"/>
      <c r="W105" s="4">
        <v>0</v>
      </c>
      <c r="X105" s="4">
        <v>1</v>
      </c>
      <c r="Y105" s="4">
        <v>0</v>
      </c>
      <c r="Z105" s="4"/>
      <c r="AA105" s="4"/>
      <c r="AB105" s="4"/>
    </row>
    <row r="106" spans="1:28" x14ac:dyDescent="0.2">
      <c r="A106" s="4">
        <v>50</v>
      </c>
      <c r="B106" s="4">
        <v>0</v>
      </c>
      <c r="C106" s="4">
        <v>0</v>
      </c>
      <c r="D106" s="4">
        <v>1</v>
      </c>
      <c r="E106" s="4">
        <v>223</v>
      </c>
      <c r="F106" s="4">
        <f>ROUND(Source!AQ96,O106)</f>
        <v>0</v>
      </c>
      <c r="G106" s="4" t="s">
        <v>38</v>
      </c>
      <c r="H106" s="4" t="s">
        <v>39</v>
      </c>
      <c r="I106" s="4"/>
      <c r="J106" s="4"/>
      <c r="K106" s="4">
        <v>223</v>
      </c>
      <c r="L106" s="4">
        <v>9</v>
      </c>
      <c r="M106" s="4">
        <v>3</v>
      </c>
      <c r="N106" s="4" t="s">
        <v>6</v>
      </c>
      <c r="O106" s="4">
        <v>0</v>
      </c>
      <c r="P106" s="4"/>
      <c r="Q106" s="4"/>
      <c r="R106" s="4"/>
      <c r="S106" s="4"/>
      <c r="T106" s="4"/>
      <c r="U106" s="4"/>
      <c r="V106" s="4"/>
      <c r="W106" s="4">
        <v>0</v>
      </c>
      <c r="X106" s="4">
        <v>1</v>
      </c>
      <c r="Y106" s="4">
        <v>0</v>
      </c>
      <c r="Z106" s="4"/>
      <c r="AA106" s="4"/>
      <c r="AB106" s="4"/>
    </row>
    <row r="107" spans="1:28" x14ac:dyDescent="0.2">
      <c r="A107" s="4">
        <v>50</v>
      </c>
      <c r="B107" s="4">
        <v>0</v>
      </c>
      <c r="C107" s="4">
        <v>0</v>
      </c>
      <c r="D107" s="4">
        <v>1</v>
      </c>
      <c r="E107" s="4">
        <v>229</v>
      </c>
      <c r="F107" s="4">
        <f>ROUND(Source!AZ96,O107)</f>
        <v>0</v>
      </c>
      <c r="G107" s="4" t="s">
        <v>40</v>
      </c>
      <c r="H107" s="4" t="s">
        <v>41</v>
      </c>
      <c r="I107" s="4"/>
      <c r="J107" s="4"/>
      <c r="K107" s="4">
        <v>229</v>
      </c>
      <c r="L107" s="4">
        <v>10</v>
      </c>
      <c r="M107" s="4">
        <v>3</v>
      </c>
      <c r="N107" s="4" t="s">
        <v>6</v>
      </c>
      <c r="O107" s="4">
        <v>0</v>
      </c>
      <c r="P107" s="4"/>
      <c r="Q107" s="4"/>
      <c r="R107" s="4"/>
      <c r="S107" s="4"/>
      <c r="T107" s="4"/>
      <c r="U107" s="4"/>
      <c r="V107" s="4"/>
      <c r="W107" s="4">
        <v>0</v>
      </c>
      <c r="X107" s="4">
        <v>1</v>
      </c>
      <c r="Y107" s="4">
        <v>0</v>
      </c>
      <c r="Z107" s="4"/>
      <c r="AA107" s="4"/>
      <c r="AB107" s="4"/>
    </row>
    <row r="108" spans="1:28" x14ac:dyDescent="0.2">
      <c r="A108" s="4">
        <v>50</v>
      </c>
      <c r="B108" s="4">
        <v>0</v>
      </c>
      <c r="C108" s="4">
        <v>0</v>
      </c>
      <c r="D108" s="4">
        <v>1</v>
      </c>
      <c r="E108" s="4">
        <v>203</v>
      </c>
      <c r="F108" s="4">
        <f>ROUND(Source!Q96,O108)</f>
        <v>0</v>
      </c>
      <c r="G108" s="4" t="s">
        <v>42</v>
      </c>
      <c r="H108" s="4" t="s">
        <v>43</v>
      </c>
      <c r="I108" s="4"/>
      <c r="J108" s="4"/>
      <c r="K108" s="4">
        <v>203</v>
      </c>
      <c r="L108" s="4">
        <v>11</v>
      </c>
      <c r="M108" s="4">
        <v>3</v>
      </c>
      <c r="N108" s="4" t="s">
        <v>6</v>
      </c>
      <c r="O108" s="4">
        <v>0</v>
      </c>
      <c r="P108" s="4"/>
      <c r="Q108" s="4"/>
      <c r="R108" s="4"/>
      <c r="S108" s="4"/>
      <c r="T108" s="4"/>
      <c r="U108" s="4"/>
      <c r="V108" s="4"/>
      <c r="W108" s="4">
        <v>0</v>
      </c>
      <c r="X108" s="4">
        <v>1</v>
      </c>
      <c r="Y108" s="4">
        <v>0</v>
      </c>
      <c r="Z108" s="4"/>
      <c r="AA108" s="4"/>
      <c r="AB108" s="4"/>
    </row>
    <row r="109" spans="1:28" x14ac:dyDescent="0.2">
      <c r="A109" s="4">
        <v>50</v>
      </c>
      <c r="B109" s="4">
        <v>0</v>
      </c>
      <c r="C109" s="4">
        <v>0</v>
      </c>
      <c r="D109" s="4">
        <v>1</v>
      </c>
      <c r="E109" s="4">
        <v>231</v>
      </c>
      <c r="F109" s="4">
        <f>ROUND(Source!BB96,O109)</f>
        <v>0</v>
      </c>
      <c r="G109" s="4" t="s">
        <v>44</v>
      </c>
      <c r="H109" s="4" t="s">
        <v>45</v>
      </c>
      <c r="I109" s="4"/>
      <c r="J109" s="4"/>
      <c r="K109" s="4">
        <v>231</v>
      </c>
      <c r="L109" s="4">
        <v>12</v>
      </c>
      <c r="M109" s="4">
        <v>3</v>
      </c>
      <c r="N109" s="4" t="s">
        <v>6</v>
      </c>
      <c r="O109" s="4">
        <v>0</v>
      </c>
      <c r="P109" s="4"/>
      <c r="Q109" s="4"/>
      <c r="R109" s="4"/>
      <c r="S109" s="4"/>
      <c r="T109" s="4"/>
      <c r="U109" s="4"/>
      <c r="V109" s="4"/>
      <c r="W109" s="4">
        <v>0</v>
      </c>
      <c r="X109" s="4">
        <v>1</v>
      </c>
      <c r="Y109" s="4">
        <v>0</v>
      </c>
      <c r="Z109" s="4"/>
      <c r="AA109" s="4"/>
      <c r="AB109" s="4"/>
    </row>
    <row r="110" spans="1:28" x14ac:dyDescent="0.2">
      <c r="A110" s="4">
        <v>50</v>
      </c>
      <c r="B110" s="4">
        <v>0</v>
      </c>
      <c r="C110" s="4">
        <v>0</v>
      </c>
      <c r="D110" s="4">
        <v>1</v>
      </c>
      <c r="E110" s="4">
        <v>204</v>
      </c>
      <c r="F110" s="4">
        <f>ROUND(Source!R96,O110)</f>
        <v>0</v>
      </c>
      <c r="G110" s="4" t="s">
        <v>46</v>
      </c>
      <c r="H110" s="4" t="s">
        <v>47</v>
      </c>
      <c r="I110" s="4"/>
      <c r="J110" s="4"/>
      <c r="K110" s="4">
        <v>204</v>
      </c>
      <c r="L110" s="4">
        <v>13</v>
      </c>
      <c r="M110" s="4">
        <v>3</v>
      </c>
      <c r="N110" s="4" t="s">
        <v>6</v>
      </c>
      <c r="O110" s="4">
        <v>0</v>
      </c>
      <c r="P110" s="4"/>
      <c r="Q110" s="4"/>
      <c r="R110" s="4"/>
      <c r="S110" s="4"/>
      <c r="T110" s="4"/>
      <c r="U110" s="4"/>
      <c r="V110" s="4"/>
      <c r="W110" s="4">
        <v>0</v>
      </c>
      <c r="X110" s="4">
        <v>1</v>
      </c>
      <c r="Y110" s="4">
        <v>0</v>
      </c>
      <c r="Z110" s="4"/>
      <c r="AA110" s="4"/>
      <c r="AB110" s="4"/>
    </row>
    <row r="111" spans="1:28" x14ac:dyDescent="0.2">
      <c r="A111" s="4">
        <v>50</v>
      </c>
      <c r="B111" s="4">
        <v>0</v>
      </c>
      <c r="C111" s="4">
        <v>0</v>
      </c>
      <c r="D111" s="4">
        <v>1</v>
      </c>
      <c r="E111" s="4">
        <v>205</v>
      </c>
      <c r="F111" s="4">
        <f>ROUND(Source!S96,O111)</f>
        <v>0</v>
      </c>
      <c r="G111" s="4" t="s">
        <v>48</v>
      </c>
      <c r="H111" s="4" t="s">
        <v>49</v>
      </c>
      <c r="I111" s="4"/>
      <c r="J111" s="4"/>
      <c r="K111" s="4">
        <v>205</v>
      </c>
      <c r="L111" s="4">
        <v>14</v>
      </c>
      <c r="M111" s="4">
        <v>3</v>
      </c>
      <c r="N111" s="4" t="s">
        <v>6</v>
      </c>
      <c r="O111" s="4">
        <v>0</v>
      </c>
      <c r="P111" s="4"/>
      <c r="Q111" s="4"/>
      <c r="R111" s="4"/>
      <c r="S111" s="4"/>
      <c r="T111" s="4"/>
      <c r="U111" s="4"/>
      <c r="V111" s="4"/>
      <c r="W111" s="4">
        <v>0</v>
      </c>
      <c r="X111" s="4">
        <v>1</v>
      </c>
      <c r="Y111" s="4">
        <v>0</v>
      </c>
      <c r="Z111" s="4"/>
      <c r="AA111" s="4"/>
      <c r="AB111" s="4"/>
    </row>
    <row r="112" spans="1:28" x14ac:dyDescent="0.2">
      <c r="A112" s="4">
        <v>50</v>
      </c>
      <c r="B112" s="4">
        <v>0</v>
      </c>
      <c r="C112" s="4">
        <v>0</v>
      </c>
      <c r="D112" s="4">
        <v>1</v>
      </c>
      <c r="E112" s="4">
        <v>232</v>
      </c>
      <c r="F112" s="4">
        <f>ROUND(Source!BC96,O112)</f>
        <v>0</v>
      </c>
      <c r="G112" s="4" t="s">
        <v>50</v>
      </c>
      <c r="H112" s="4" t="s">
        <v>51</v>
      </c>
      <c r="I112" s="4"/>
      <c r="J112" s="4"/>
      <c r="K112" s="4">
        <v>232</v>
      </c>
      <c r="L112" s="4">
        <v>15</v>
      </c>
      <c r="M112" s="4">
        <v>3</v>
      </c>
      <c r="N112" s="4" t="s">
        <v>6</v>
      </c>
      <c r="O112" s="4">
        <v>0</v>
      </c>
      <c r="P112" s="4"/>
      <c r="Q112" s="4"/>
      <c r="R112" s="4"/>
      <c r="S112" s="4"/>
      <c r="T112" s="4"/>
      <c r="U112" s="4"/>
      <c r="V112" s="4"/>
      <c r="W112" s="4">
        <v>0</v>
      </c>
      <c r="X112" s="4">
        <v>1</v>
      </c>
      <c r="Y112" s="4">
        <v>0</v>
      </c>
      <c r="Z112" s="4"/>
      <c r="AA112" s="4"/>
      <c r="AB112" s="4"/>
    </row>
    <row r="113" spans="1:206" x14ac:dyDescent="0.2">
      <c r="A113" s="4">
        <v>50</v>
      </c>
      <c r="B113" s="4">
        <v>0</v>
      </c>
      <c r="C113" s="4">
        <v>0</v>
      </c>
      <c r="D113" s="4">
        <v>1</v>
      </c>
      <c r="E113" s="4">
        <v>214</v>
      </c>
      <c r="F113" s="4">
        <f>ROUND(Source!AS96,O113)</f>
        <v>0</v>
      </c>
      <c r="G113" s="4" t="s">
        <v>52</v>
      </c>
      <c r="H113" s="4" t="s">
        <v>53</v>
      </c>
      <c r="I113" s="4"/>
      <c r="J113" s="4"/>
      <c r="K113" s="4">
        <v>214</v>
      </c>
      <c r="L113" s="4">
        <v>16</v>
      </c>
      <c r="M113" s="4">
        <v>3</v>
      </c>
      <c r="N113" s="4" t="s">
        <v>6</v>
      </c>
      <c r="O113" s="4">
        <v>0</v>
      </c>
      <c r="P113" s="4"/>
      <c r="Q113" s="4"/>
      <c r="R113" s="4"/>
      <c r="S113" s="4"/>
      <c r="T113" s="4"/>
      <c r="U113" s="4"/>
      <c r="V113" s="4"/>
      <c r="W113" s="4">
        <v>0</v>
      </c>
      <c r="X113" s="4">
        <v>1</v>
      </c>
      <c r="Y113" s="4">
        <v>0</v>
      </c>
      <c r="Z113" s="4"/>
      <c r="AA113" s="4"/>
      <c r="AB113" s="4"/>
    </row>
    <row r="114" spans="1:206" x14ac:dyDescent="0.2">
      <c r="A114" s="4">
        <v>50</v>
      </c>
      <c r="B114" s="4">
        <v>0</v>
      </c>
      <c r="C114" s="4">
        <v>0</v>
      </c>
      <c r="D114" s="4">
        <v>1</v>
      </c>
      <c r="E114" s="4">
        <v>215</v>
      </c>
      <c r="F114" s="4">
        <f>ROUND(Source!AT96,O114)</f>
        <v>0</v>
      </c>
      <c r="G114" s="4" t="s">
        <v>54</v>
      </c>
      <c r="H114" s="4" t="s">
        <v>55</v>
      </c>
      <c r="I114" s="4"/>
      <c r="J114" s="4"/>
      <c r="K114" s="4">
        <v>215</v>
      </c>
      <c r="L114" s="4">
        <v>17</v>
      </c>
      <c r="M114" s="4">
        <v>3</v>
      </c>
      <c r="N114" s="4" t="s">
        <v>6</v>
      </c>
      <c r="O114" s="4">
        <v>0</v>
      </c>
      <c r="P114" s="4"/>
      <c r="Q114" s="4"/>
      <c r="R114" s="4"/>
      <c r="S114" s="4"/>
      <c r="T114" s="4"/>
      <c r="U114" s="4"/>
      <c r="V114" s="4"/>
      <c r="W114" s="4">
        <v>0</v>
      </c>
      <c r="X114" s="4">
        <v>1</v>
      </c>
      <c r="Y114" s="4">
        <v>0</v>
      </c>
      <c r="Z114" s="4"/>
      <c r="AA114" s="4"/>
      <c r="AB114" s="4"/>
    </row>
    <row r="115" spans="1:206" x14ac:dyDescent="0.2">
      <c r="A115" s="4">
        <v>50</v>
      </c>
      <c r="B115" s="4">
        <v>0</v>
      </c>
      <c r="C115" s="4">
        <v>0</v>
      </c>
      <c r="D115" s="4">
        <v>1</v>
      </c>
      <c r="E115" s="4">
        <v>217</v>
      </c>
      <c r="F115" s="4">
        <f>ROUND(Source!AU96,O115)</f>
        <v>0</v>
      </c>
      <c r="G115" s="4" t="s">
        <v>56</v>
      </c>
      <c r="H115" s="4" t="s">
        <v>57</v>
      </c>
      <c r="I115" s="4"/>
      <c r="J115" s="4"/>
      <c r="K115" s="4">
        <v>217</v>
      </c>
      <c r="L115" s="4">
        <v>18</v>
      </c>
      <c r="M115" s="4">
        <v>3</v>
      </c>
      <c r="N115" s="4" t="s">
        <v>6</v>
      </c>
      <c r="O115" s="4">
        <v>0</v>
      </c>
      <c r="P115" s="4"/>
      <c r="Q115" s="4"/>
      <c r="R115" s="4"/>
      <c r="S115" s="4"/>
      <c r="T115" s="4"/>
      <c r="U115" s="4"/>
      <c r="V115" s="4"/>
      <c r="W115" s="4">
        <v>0</v>
      </c>
      <c r="X115" s="4">
        <v>1</v>
      </c>
      <c r="Y115" s="4">
        <v>0</v>
      </c>
      <c r="Z115" s="4"/>
      <c r="AA115" s="4"/>
      <c r="AB115" s="4"/>
    </row>
    <row r="116" spans="1:206" x14ac:dyDescent="0.2">
      <c r="A116" s="4">
        <v>50</v>
      </c>
      <c r="B116" s="4">
        <v>0</v>
      </c>
      <c r="C116" s="4">
        <v>0</v>
      </c>
      <c r="D116" s="4">
        <v>1</v>
      </c>
      <c r="E116" s="4">
        <v>230</v>
      </c>
      <c r="F116" s="4">
        <f>ROUND(Source!BA96,O116)</f>
        <v>0</v>
      </c>
      <c r="G116" s="4" t="s">
        <v>58</v>
      </c>
      <c r="H116" s="4" t="s">
        <v>59</v>
      </c>
      <c r="I116" s="4"/>
      <c r="J116" s="4"/>
      <c r="K116" s="4">
        <v>230</v>
      </c>
      <c r="L116" s="4">
        <v>19</v>
      </c>
      <c r="M116" s="4">
        <v>3</v>
      </c>
      <c r="N116" s="4" t="s">
        <v>6</v>
      </c>
      <c r="O116" s="4">
        <v>0</v>
      </c>
      <c r="P116" s="4"/>
      <c r="Q116" s="4"/>
      <c r="R116" s="4"/>
      <c r="S116" s="4"/>
      <c r="T116" s="4"/>
      <c r="U116" s="4"/>
      <c r="V116" s="4"/>
      <c r="W116" s="4">
        <v>0</v>
      </c>
      <c r="X116" s="4">
        <v>1</v>
      </c>
      <c r="Y116" s="4">
        <v>0</v>
      </c>
      <c r="Z116" s="4"/>
      <c r="AA116" s="4"/>
      <c r="AB116" s="4"/>
    </row>
    <row r="117" spans="1:206" x14ac:dyDescent="0.2">
      <c r="A117" s="4">
        <v>50</v>
      </c>
      <c r="B117" s="4">
        <v>0</v>
      </c>
      <c r="C117" s="4">
        <v>0</v>
      </c>
      <c r="D117" s="4">
        <v>1</v>
      </c>
      <c r="E117" s="4">
        <v>206</v>
      </c>
      <c r="F117" s="4">
        <f>ROUND(Source!T96,O117)</f>
        <v>0</v>
      </c>
      <c r="G117" s="4" t="s">
        <v>60</v>
      </c>
      <c r="H117" s="4" t="s">
        <v>61</v>
      </c>
      <c r="I117" s="4"/>
      <c r="J117" s="4"/>
      <c r="K117" s="4">
        <v>206</v>
      </c>
      <c r="L117" s="4">
        <v>20</v>
      </c>
      <c r="M117" s="4">
        <v>3</v>
      </c>
      <c r="N117" s="4" t="s">
        <v>6</v>
      </c>
      <c r="O117" s="4">
        <v>0</v>
      </c>
      <c r="P117" s="4"/>
      <c r="Q117" s="4"/>
      <c r="R117" s="4"/>
      <c r="S117" s="4"/>
      <c r="T117" s="4"/>
      <c r="U117" s="4"/>
      <c r="V117" s="4"/>
      <c r="W117" s="4">
        <v>0</v>
      </c>
      <c r="X117" s="4">
        <v>1</v>
      </c>
      <c r="Y117" s="4">
        <v>0</v>
      </c>
      <c r="Z117" s="4"/>
      <c r="AA117" s="4"/>
      <c r="AB117" s="4"/>
    </row>
    <row r="118" spans="1:206" x14ac:dyDescent="0.2">
      <c r="A118" s="4">
        <v>50</v>
      </c>
      <c r="B118" s="4">
        <v>0</v>
      </c>
      <c r="C118" s="4">
        <v>0</v>
      </c>
      <c r="D118" s="4">
        <v>1</v>
      </c>
      <c r="E118" s="4">
        <v>207</v>
      </c>
      <c r="F118" s="4">
        <f>ROUND(Source!U96,O118)</f>
        <v>0</v>
      </c>
      <c r="G118" s="4" t="s">
        <v>62</v>
      </c>
      <c r="H118" s="4" t="s">
        <v>63</v>
      </c>
      <c r="I118" s="4"/>
      <c r="J118" s="4"/>
      <c r="K118" s="4">
        <v>207</v>
      </c>
      <c r="L118" s="4">
        <v>21</v>
      </c>
      <c r="M118" s="4">
        <v>3</v>
      </c>
      <c r="N118" s="4" t="s">
        <v>6</v>
      </c>
      <c r="O118" s="4">
        <v>7</v>
      </c>
      <c r="P118" s="4"/>
      <c r="Q118" s="4"/>
      <c r="R118" s="4"/>
      <c r="S118" s="4"/>
      <c r="T118" s="4"/>
      <c r="U118" s="4"/>
      <c r="V118" s="4"/>
      <c r="W118" s="4">
        <v>0</v>
      </c>
      <c r="X118" s="4">
        <v>1</v>
      </c>
      <c r="Y118" s="4">
        <v>0</v>
      </c>
      <c r="Z118" s="4"/>
      <c r="AA118" s="4"/>
      <c r="AB118" s="4"/>
    </row>
    <row r="119" spans="1:206" x14ac:dyDescent="0.2">
      <c r="A119" s="4">
        <v>50</v>
      </c>
      <c r="B119" s="4">
        <v>0</v>
      </c>
      <c r="C119" s="4">
        <v>0</v>
      </c>
      <c r="D119" s="4">
        <v>1</v>
      </c>
      <c r="E119" s="4">
        <v>208</v>
      </c>
      <c r="F119" s="4">
        <f>ROUND(Source!V96,O119)</f>
        <v>0</v>
      </c>
      <c r="G119" s="4" t="s">
        <v>64</v>
      </c>
      <c r="H119" s="4" t="s">
        <v>65</v>
      </c>
      <c r="I119" s="4"/>
      <c r="J119" s="4"/>
      <c r="K119" s="4">
        <v>208</v>
      </c>
      <c r="L119" s="4">
        <v>22</v>
      </c>
      <c r="M119" s="4">
        <v>3</v>
      </c>
      <c r="N119" s="4" t="s">
        <v>6</v>
      </c>
      <c r="O119" s="4">
        <v>7</v>
      </c>
      <c r="P119" s="4"/>
      <c r="Q119" s="4"/>
      <c r="R119" s="4"/>
      <c r="S119" s="4"/>
      <c r="T119" s="4"/>
      <c r="U119" s="4"/>
      <c r="V119" s="4"/>
      <c r="W119" s="4">
        <v>0</v>
      </c>
      <c r="X119" s="4">
        <v>1</v>
      </c>
      <c r="Y119" s="4">
        <v>0</v>
      </c>
      <c r="Z119" s="4"/>
      <c r="AA119" s="4"/>
      <c r="AB119" s="4"/>
    </row>
    <row r="120" spans="1:206" x14ac:dyDescent="0.2">
      <c r="A120" s="4">
        <v>50</v>
      </c>
      <c r="B120" s="4">
        <v>0</v>
      </c>
      <c r="C120" s="4">
        <v>0</v>
      </c>
      <c r="D120" s="4">
        <v>1</v>
      </c>
      <c r="E120" s="4">
        <v>209</v>
      </c>
      <c r="F120" s="4">
        <f>ROUND(Source!W96,O120)</f>
        <v>0</v>
      </c>
      <c r="G120" s="4" t="s">
        <v>66</v>
      </c>
      <c r="H120" s="4" t="s">
        <v>67</v>
      </c>
      <c r="I120" s="4"/>
      <c r="J120" s="4"/>
      <c r="K120" s="4">
        <v>209</v>
      </c>
      <c r="L120" s="4">
        <v>23</v>
      </c>
      <c r="M120" s="4">
        <v>3</v>
      </c>
      <c r="N120" s="4" t="s">
        <v>6</v>
      </c>
      <c r="O120" s="4">
        <v>0</v>
      </c>
      <c r="P120" s="4"/>
      <c r="Q120" s="4"/>
      <c r="R120" s="4"/>
      <c r="S120" s="4"/>
      <c r="T120" s="4"/>
      <c r="U120" s="4"/>
      <c r="V120" s="4"/>
      <c r="W120" s="4">
        <v>0</v>
      </c>
      <c r="X120" s="4">
        <v>1</v>
      </c>
      <c r="Y120" s="4">
        <v>0</v>
      </c>
      <c r="Z120" s="4"/>
      <c r="AA120" s="4"/>
      <c r="AB120" s="4"/>
    </row>
    <row r="121" spans="1:206" x14ac:dyDescent="0.2">
      <c r="A121" s="4">
        <v>50</v>
      </c>
      <c r="B121" s="4">
        <v>0</v>
      </c>
      <c r="C121" s="4">
        <v>0</v>
      </c>
      <c r="D121" s="4">
        <v>1</v>
      </c>
      <c r="E121" s="4">
        <v>233</v>
      </c>
      <c r="F121" s="4">
        <f>ROUND(Source!BD96,O121)</f>
        <v>0</v>
      </c>
      <c r="G121" s="4" t="s">
        <v>68</v>
      </c>
      <c r="H121" s="4" t="s">
        <v>69</v>
      </c>
      <c r="I121" s="4"/>
      <c r="J121" s="4"/>
      <c r="K121" s="4">
        <v>233</v>
      </c>
      <c r="L121" s="4">
        <v>24</v>
      </c>
      <c r="M121" s="4">
        <v>3</v>
      </c>
      <c r="N121" s="4" t="s">
        <v>6</v>
      </c>
      <c r="O121" s="4">
        <v>0</v>
      </c>
      <c r="P121" s="4"/>
      <c r="Q121" s="4"/>
      <c r="R121" s="4"/>
      <c r="S121" s="4"/>
      <c r="T121" s="4"/>
      <c r="U121" s="4"/>
      <c r="V121" s="4"/>
      <c r="W121" s="4">
        <v>0</v>
      </c>
      <c r="X121" s="4">
        <v>1</v>
      </c>
      <c r="Y121" s="4">
        <v>0</v>
      </c>
      <c r="Z121" s="4"/>
      <c r="AA121" s="4"/>
      <c r="AB121" s="4"/>
    </row>
    <row r="122" spans="1:206" x14ac:dyDescent="0.2">
      <c r="A122" s="4">
        <v>50</v>
      </c>
      <c r="B122" s="4">
        <v>0</v>
      </c>
      <c r="C122" s="4">
        <v>0</v>
      </c>
      <c r="D122" s="4">
        <v>1</v>
      </c>
      <c r="E122" s="4">
        <v>210</v>
      </c>
      <c r="F122" s="4">
        <f>ROUND(Source!X96,O122)</f>
        <v>0</v>
      </c>
      <c r="G122" s="4" t="s">
        <v>70</v>
      </c>
      <c r="H122" s="4" t="s">
        <v>71</v>
      </c>
      <c r="I122" s="4"/>
      <c r="J122" s="4"/>
      <c r="K122" s="4">
        <v>210</v>
      </c>
      <c r="L122" s="4">
        <v>25</v>
      </c>
      <c r="M122" s="4">
        <v>3</v>
      </c>
      <c r="N122" s="4" t="s">
        <v>6</v>
      </c>
      <c r="O122" s="4">
        <v>0</v>
      </c>
      <c r="P122" s="4"/>
      <c r="Q122" s="4"/>
      <c r="R122" s="4"/>
      <c r="S122" s="4"/>
      <c r="T122" s="4"/>
      <c r="U122" s="4"/>
      <c r="V122" s="4"/>
      <c r="W122" s="4">
        <v>0</v>
      </c>
      <c r="X122" s="4">
        <v>1</v>
      </c>
      <c r="Y122" s="4">
        <v>0</v>
      </c>
      <c r="Z122" s="4"/>
      <c r="AA122" s="4"/>
      <c r="AB122" s="4"/>
    </row>
    <row r="123" spans="1:206" x14ac:dyDescent="0.2">
      <c r="A123" s="4">
        <v>50</v>
      </c>
      <c r="B123" s="4">
        <v>0</v>
      </c>
      <c r="C123" s="4">
        <v>0</v>
      </c>
      <c r="D123" s="4">
        <v>1</v>
      </c>
      <c r="E123" s="4">
        <v>211</v>
      </c>
      <c r="F123" s="4">
        <f>ROUND(Source!Y96,O123)</f>
        <v>0</v>
      </c>
      <c r="G123" s="4" t="s">
        <v>72</v>
      </c>
      <c r="H123" s="4" t="s">
        <v>73</v>
      </c>
      <c r="I123" s="4"/>
      <c r="J123" s="4"/>
      <c r="K123" s="4">
        <v>211</v>
      </c>
      <c r="L123" s="4">
        <v>26</v>
      </c>
      <c r="M123" s="4">
        <v>3</v>
      </c>
      <c r="N123" s="4" t="s">
        <v>6</v>
      </c>
      <c r="O123" s="4">
        <v>0</v>
      </c>
      <c r="P123" s="4"/>
      <c r="Q123" s="4"/>
      <c r="R123" s="4"/>
      <c r="S123" s="4"/>
      <c r="T123" s="4"/>
      <c r="U123" s="4"/>
      <c r="V123" s="4"/>
      <c r="W123" s="4">
        <v>0</v>
      </c>
      <c r="X123" s="4">
        <v>1</v>
      </c>
      <c r="Y123" s="4">
        <v>0</v>
      </c>
      <c r="Z123" s="4"/>
      <c r="AA123" s="4"/>
      <c r="AB123" s="4"/>
    </row>
    <row r="124" spans="1:206" x14ac:dyDescent="0.2">
      <c r="A124" s="4">
        <v>50</v>
      </c>
      <c r="B124" s="4">
        <v>0</v>
      </c>
      <c r="C124" s="4">
        <v>0</v>
      </c>
      <c r="D124" s="4">
        <v>1</v>
      </c>
      <c r="E124" s="4">
        <v>224</v>
      </c>
      <c r="F124" s="4">
        <f>ROUND(Source!AR96,O124)</f>
        <v>0</v>
      </c>
      <c r="G124" s="4" t="s">
        <v>74</v>
      </c>
      <c r="H124" s="4" t="s">
        <v>75</v>
      </c>
      <c r="I124" s="4"/>
      <c r="J124" s="4"/>
      <c r="K124" s="4">
        <v>224</v>
      </c>
      <c r="L124" s="4">
        <v>27</v>
      </c>
      <c r="M124" s="4">
        <v>3</v>
      </c>
      <c r="N124" s="4" t="s">
        <v>6</v>
      </c>
      <c r="O124" s="4">
        <v>0</v>
      </c>
      <c r="P124" s="4"/>
      <c r="Q124" s="4"/>
      <c r="R124" s="4"/>
      <c r="S124" s="4"/>
      <c r="T124" s="4"/>
      <c r="U124" s="4"/>
      <c r="V124" s="4"/>
      <c r="W124" s="4">
        <v>0</v>
      </c>
      <c r="X124" s="4">
        <v>1</v>
      </c>
      <c r="Y124" s="4">
        <v>0</v>
      </c>
      <c r="Z124" s="4"/>
      <c r="AA124" s="4"/>
      <c r="AB124" s="4"/>
    </row>
    <row r="126" spans="1:206" x14ac:dyDescent="0.2">
      <c r="A126" s="1">
        <v>4</v>
      </c>
      <c r="B126" s="1">
        <v>1</v>
      </c>
      <c r="C126" s="1"/>
      <c r="D126" s="1">
        <f>ROW(A130)</f>
        <v>130</v>
      </c>
      <c r="E126" s="1"/>
      <c r="F126" s="1" t="s">
        <v>80</v>
      </c>
      <c r="G126" s="1" t="s">
        <v>81</v>
      </c>
      <c r="H126" s="1" t="s">
        <v>6</v>
      </c>
      <c r="I126" s="1">
        <v>0</v>
      </c>
      <c r="J126" s="1"/>
      <c r="K126" s="1">
        <v>-1</v>
      </c>
      <c r="L126" s="1"/>
      <c r="M126" s="1" t="s">
        <v>6</v>
      </c>
      <c r="N126" s="1"/>
      <c r="O126" s="1"/>
      <c r="P126" s="1"/>
      <c r="Q126" s="1"/>
      <c r="R126" s="1"/>
      <c r="S126" s="1">
        <v>0</v>
      </c>
      <c r="T126" s="1"/>
      <c r="U126" s="1" t="s">
        <v>6</v>
      </c>
      <c r="V126" s="1">
        <v>0</v>
      </c>
      <c r="W126" s="1"/>
      <c r="X126" s="1"/>
      <c r="Y126" s="1"/>
      <c r="Z126" s="1"/>
      <c r="AA126" s="1"/>
      <c r="AB126" s="1" t="s">
        <v>6</v>
      </c>
      <c r="AC126" s="1" t="s">
        <v>6</v>
      </c>
      <c r="AD126" s="1" t="s">
        <v>6</v>
      </c>
      <c r="AE126" s="1" t="s">
        <v>6</v>
      </c>
      <c r="AF126" s="1" t="s">
        <v>6</v>
      </c>
      <c r="AG126" s="1" t="s">
        <v>6</v>
      </c>
      <c r="AH126" s="1"/>
      <c r="AI126" s="1"/>
      <c r="AJ126" s="1"/>
      <c r="AK126" s="1"/>
      <c r="AL126" s="1"/>
      <c r="AM126" s="1"/>
      <c r="AN126" s="1"/>
      <c r="AO126" s="1"/>
      <c r="AP126" s="1" t="s">
        <v>6</v>
      </c>
      <c r="AQ126" s="1" t="s">
        <v>6</v>
      </c>
      <c r="AR126" s="1" t="s">
        <v>6</v>
      </c>
      <c r="AS126" s="1"/>
      <c r="AT126" s="1"/>
      <c r="AU126" s="1"/>
      <c r="AV126" s="1"/>
      <c r="AW126" s="1"/>
      <c r="AX126" s="1"/>
      <c r="AY126" s="1"/>
      <c r="AZ126" s="1" t="s">
        <v>6</v>
      </c>
      <c r="BA126" s="1"/>
      <c r="BB126" s="1" t="s">
        <v>6</v>
      </c>
      <c r="BC126" s="1" t="s">
        <v>6</v>
      </c>
      <c r="BD126" s="1" t="s">
        <v>6</v>
      </c>
      <c r="BE126" s="1" t="s">
        <v>6</v>
      </c>
      <c r="BF126" s="1" t="s">
        <v>6</v>
      </c>
      <c r="BG126" s="1" t="s">
        <v>6</v>
      </c>
      <c r="BH126" s="1" t="s">
        <v>6</v>
      </c>
      <c r="BI126" s="1" t="s">
        <v>6</v>
      </c>
      <c r="BJ126" s="1" t="s">
        <v>6</v>
      </c>
      <c r="BK126" s="1" t="s">
        <v>6</v>
      </c>
      <c r="BL126" s="1" t="s">
        <v>6</v>
      </c>
      <c r="BM126" s="1" t="s">
        <v>6</v>
      </c>
      <c r="BN126" s="1" t="s">
        <v>6</v>
      </c>
      <c r="BO126" s="1" t="s">
        <v>6</v>
      </c>
      <c r="BP126" s="1" t="s">
        <v>6</v>
      </c>
      <c r="BQ126" s="1"/>
      <c r="BR126" s="1"/>
      <c r="BS126" s="1"/>
      <c r="BT126" s="1"/>
      <c r="BU126" s="1"/>
      <c r="BV126" s="1"/>
      <c r="BW126" s="1"/>
      <c r="BX126" s="1">
        <v>0</v>
      </c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>
        <v>0</v>
      </c>
    </row>
    <row r="128" spans="1:206" x14ac:dyDescent="0.2">
      <c r="A128" s="2">
        <v>52</v>
      </c>
      <c r="B128" s="2">
        <f t="shared" ref="B128:G128" si="41">B130</f>
        <v>1</v>
      </c>
      <c r="C128" s="2">
        <f t="shared" si="41"/>
        <v>4</v>
      </c>
      <c r="D128" s="2">
        <f t="shared" si="41"/>
        <v>126</v>
      </c>
      <c r="E128" s="2">
        <f t="shared" si="41"/>
        <v>0</v>
      </c>
      <c r="F128" s="2" t="str">
        <f t="shared" si="41"/>
        <v>10</v>
      </c>
      <c r="G128" s="2" t="str">
        <f t="shared" si="41"/>
        <v>БЛОК САНУЗЛОВ 4 (2-ой ЭТАЖ)</v>
      </c>
      <c r="H128" s="2"/>
      <c r="I128" s="2"/>
      <c r="J128" s="2"/>
      <c r="K128" s="2"/>
      <c r="L128" s="2"/>
      <c r="M128" s="2"/>
      <c r="N128" s="2"/>
      <c r="O128" s="2">
        <f t="shared" ref="O128:AT128" si="42">O130</f>
        <v>0</v>
      </c>
      <c r="P128" s="2">
        <f t="shared" si="42"/>
        <v>0</v>
      </c>
      <c r="Q128" s="2">
        <f t="shared" si="42"/>
        <v>0</v>
      </c>
      <c r="R128" s="2">
        <f t="shared" si="42"/>
        <v>0</v>
      </c>
      <c r="S128" s="2">
        <f t="shared" si="42"/>
        <v>0</v>
      </c>
      <c r="T128" s="2">
        <f t="shared" si="42"/>
        <v>0</v>
      </c>
      <c r="U128" s="2">
        <f t="shared" si="42"/>
        <v>0</v>
      </c>
      <c r="V128" s="2">
        <f t="shared" si="42"/>
        <v>0</v>
      </c>
      <c r="W128" s="2">
        <f t="shared" si="42"/>
        <v>0</v>
      </c>
      <c r="X128" s="2">
        <f t="shared" si="42"/>
        <v>0</v>
      </c>
      <c r="Y128" s="2">
        <f t="shared" si="42"/>
        <v>0</v>
      </c>
      <c r="Z128" s="2">
        <f t="shared" si="42"/>
        <v>0</v>
      </c>
      <c r="AA128" s="2">
        <f t="shared" si="42"/>
        <v>0</v>
      </c>
      <c r="AB128" s="2">
        <f t="shared" si="42"/>
        <v>0</v>
      </c>
      <c r="AC128" s="2">
        <f t="shared" si="42"/>
        <v>0</v>
      </c>
      <c r="AD128" s="2">
        <f t="shared" si="42"/>
        <v>0</v>
      </c>
      <c r="AE128" s="2">
        <f t="shared" si="42"/>
        <v>0</v>
      </c>
      <c r="AF128" s="2">
        <f t="shared" si="42"/>
        <v>0</v>
      </c>
      <c r="AG128" s="2">
        <f t="shared" si="42"/>
        <v>0</v>
      </c>
      <c r="AH128" s="2">
        <f t="shared" si="42"/>
        <v>0</v>
      </c>
      <c r="AI128" s="2">
        <f t="shared" si="42"/>
        <v>0</v>
      </c>
      <c r="AJ128" s="2">
        <f t="shared" si="42"/>
        <v>0</v>
      </c>
      <c r="AK128" s="2">
        <f t="shared" si="42"/>
        <v>0</v>
      </c>
      <c r="AL128" s="2">
        <f t="shared" si="42"/>
        <v>0</v>
      </c>
      <c r="AM128" s="2">
        <f t="shared" si="42"/>
        <v>0</v>
      </c>
      <c r="AN128" s="2">
        <f t="shared" si="42"/>
        <v>0</v>
      </c>
      <c r="AO128" s="2">
        <f t="shared" si="42"/>
        <v>0</v>
      </c>
      <c r="AP128" s="2">
        <f t="shared" si="42"/>
        <v>0</v>
      </c>
      <c r="AQ128" s="2">
        <f t="shared" si="42"/>
        <v>0</v>
      </c>
      <c r="AR128" s="2">
        <f t="shared" si="42"/>
        <v>0</v>
      </c>
      <c r="AS128" s="2">
        <f t="shared" si="42"/>
        <v>0</v>
      </c>
      <c r="AT128" s="2">
        <f t="shared" si="42"/>
        <v>0</v>
      </c>
      <c r="AU128" s="2">
        <f t="shared" ref="AU128:BZ128" si="43">AU130</f>
        <v>0</v>
      </c>
      <c r="AV128" s="2">
        <f t="shared" si="43"/>
        <v>0</v>
      </c>
      <c r="AW128" s="2">
        <f t="shared" si="43"/>
        <v>0</v>
      </c>
      <c r="AX128" s="2">
        <f t="shared" si="43"/>
        <v>0</v>
      </c>
      <c r="AY128" s="2">
        <f t="shared" si="43"/>
        <v>0</v>
      </c>
      <c r="AZ128" s="2">
        <f t="shared" si="43"/>
        <v>0</v>
      </c>
      <c r="BA128" s="2">
        <f t="shared" si="43"/>
        <v>0</v>
      </c>
      <c r="BB128" s="2">
        <f t="shared" si="43"/>
        <v>0</v>
      </c>
      <c r="BC128" s="2">
        <f t="shared" si="43"/>
        <v>0</v>
      </c>
      <c r="BD128" s="2">
        <f t="shared" si="43"/>
        <v>0</v>
      </c>
      <c r="BE128" s="2">
        <f t="shared" si="43"/>
        <v>0</v>
      </c>
      <c r="BF128" s="2">
        <f t="shared" si="43"/>
        <v>0</v>
      </c>
      <c r="BG128" s="2">
        <f t="shared" si="43"/>
        <v>0</v>
      </c>
      <c r="BH128" s="2">
        <f t="shared" si="43"/>
        <v>0</v>
      </c>
      <c r="BI128" s="2">
        <f t="shared" si="43"/>
        <v>0</v>
      </c>
      <c r="BJ128" s="2">
        <f t="shared" si="43"/>
        <v>0</v>
      </c>
      <c r="BK128" s="2">
        <f t="shared" si="43"/>
        <v>0</v>
      </c>
      <c r="BL128" s="2">
        <f t="shared" si="43"/>
        <v>0</v>
      </c>
      <c r="BM128" s="2">
        <f t="shared" si="43"/>
        <v>0</v>
      </c>
      <c r="BN128" s="2">
        <f t="shared" si="43"/>
        <v>0</v>
      </c>
      <c r="BO128" s="2">
        <f t="shared" si="43"/>
        <v>0</v>
      </c>
      <c r="BP128" s="2">
        <f t="shared" si="43"/>
        <v>0</v>
      </c>
      <c r="BQ128" s="2">
        <f t="shared" si="43"/>
        <v>0</v>
      </c>
      <c r="BR128" s="2">
        <f t="shared" si="43"/>
        <v>0</v>
      </c>
      <c r="BS128" s="2">
        <f t="shared" si="43"/>
        <v>0</v>
      </c>
      <c r="BT128" s="2">
        <f t="shared" si="43"/>
        <v>0</v>
      </c>
      <c r="BU128" s="2">
        <f t="shared" si="43"/>
        <v>0</v>
      </c>
      <c r="BV128" s="2">
        <f t="shared" si="43"/>
        <v>0</v>
      </c>
      <c r="BW128" s="2">
        <f t="shared" si="43"/>
        <v>0</v>
      </c>
      <c r="BX128" s="2">
        <f t="shared" si="43"/>
        <v>0</v>
      </c>
      <c r="BY128" s="2">
        <f t="shared" si="43"/>
        <v>0</v>
      </c>
      <c r="BZ128" s="2">
        <f t="shared" si="43"/>
        <v>0</v>
      </c>
      <c r="CA128" s="2">
        <f t="shared" ref="CA128:DF128" si="44">CA130</f>
        <v>0</v>
      </c>
      <c r="CB128" s="2">
        <f t="shared" si="44"/>
        <v>0</v>
      </c>
      <c r="CC128" s="2">
        <f t="shared" si="44"/>
        <v>0</v>
      </c>
      <c r="CD128" s="2">
        <f t="shared" si="44"/>
        <v>0</v>
      </c>
      <c r="CE128" s="2">
        <f t="shared" si="44"/>
        <v>0</v>
      </c>
      <c r="CF128" s="2">
        <f t="shared" si="44"/>
        <v>0</v>
      </c>
      <c r="CG128" s="2">
        <f t="shared" si="44"/>
        <v>0</v>
      </c>
      <c r="CH128" s="2">
        <f t="shared" si="44"/>
        <v>0</v>
      </c>
      <c r="CI128" s="2">
        <f t="shared" si="44"/>
        <v>0</v>
      </c>
      <c r="CJ128" s="2">
        <f t="shared" si="44"/>
        <v>0</v>
      </c>
      <c r="CK128" s="2">
        <f t="shared" si="44"/>
        <v>0</v>
      </c>
      <c r="CL128" s="2">
        <f t="shared" si="44"/>
        <v>0</v>
      </c>
      <c r="CM128" s="2">
        <f t="shared" si="44"/>
        <v>0</v>
      </c>
      <c r="CN128" s="2">
        <f t="shared" si="44"/>
        <v>0</v>
      </c>
      <c r="CO128" s="2">
        <f t="shared" si="44"/>
        <v>0</v>
      </c>
      <c r="CP128" s="2">
        <f t="shared" si="44"/>
        <v>0</v>
      </c>
      <c r="CQ128" s="2">
        <f t="shared" si="44"/>
        <v>0</v>
      </c>
      <c r="CR128" s="2">
        <f t="shared" si="44"/>
        <v>0</v>
      </c>
      <c r="CS128" s="2">
        <f t="shared" si="44"/>
        <v>0</v>
      </c>
      <c r="CT128" s="2">
        <f t="shared" si="44"/>
        <v>0</v>
      </c>
      <c r="CU128" s="2">
        <f t="shared" si="44"/>
        <v>0</v>
      </c>
      <c r="CV128" s="2">
        <f t="shared" si="44"/>
        <v>0</v>
      </c>
      <c r="CW128" s="2">
        <f t="shared" si="44"/>
        <v>0</v>
      </c>
      <c r="CX128" s="2">
        <f t="shared" si="44"/>
        <v>0</v>
      </c>
      <c r="CY128" s="2">
        <f t="shared" si="44"/>
        <v>0</v>
      </c>
      <c r="CZ128" s="2">
        <f t="shared" si="44"/>
        <v>0</v>
      </c>
      <c r="DA128" s="2">
        <f t="shared" si="44"/>
        <v>0</v>
      </c>
      <c r="DB128" s="2">
        <f t="shared" si="44"/>
        <v>0</v>
      </c>
      <c r="DC128" s="2">
        <f t="shared" si="44"/>
        <v>0</v>
      </c>
      <c r="DD128" s="2">
        <f t="shared" si="44"/>
        <v>0</v>
      </c>
      <c r="DE128" s="2">
        <f t="shared" si="44"/>
        <v>0</v>
      </c>
      <c r="DF128" s="2">
        <f t="shared" si="44"/>
        <v>0</v>
      </c>
      <c r="DG128" s="3">
        <f t="shared" ref="DG128:EL128" si="45">DG130</f>
        <v>0</v>
      </c>
      <c r="DH128" s="3">
        <f t="shared" si="45"/>
        <v>0</v>
      </c>
      <c r="DI128" s="3">
        <f t="shared" si="45"/>
        <v>0</v>
      </c>
      <c r="DJ128" s="3">
        <f t="shared" si="45"/>
        <v>0</v>
      </c>
      <c r="DK128" s="3">
        <f t="shared" si="45"/>
        <v>0</v>
      </c>
      <c r="DL128" s="3">
        <f t="shared" si="45"/>
        <v>0</v>
      </c>
      <c r="DM128" s="3">
        <f t="shared" si="45"/>
        <v>0</v>
      </c>
      <c r="DN128" s="3">
        <f t="shared" si="45"/>
        <v>0</v>
      </c>
      <c r="DO128" s="3">
        <f t="shared" si="45"/>
        <v>0</v>
      </c>
      <c r="DP128" s="3">
        <f t="shared" si="45"/>
        <v>0</v>
      </c>
      <c r="DQ128" s="3">
        <f t="shared" si="45"/>
        <v>0</v>
      </c>
      <c r="DR128" s="3">
        <f t="shared" si="45"/>
        <v>0</v>
      </c>
      <c r="DS128" s="3">
        <f t="shared" si="45"/>
        <v>0</v>
      </c>
      <c r="DT128" s="3">
        <f t="shared" si="45"/>
        <v>0</v>
      </c>
      <c r="DU128" s="3">
        <f t="shared" si="45"/>
        <v>0</v>
      </c>
      <c r="DV128" s="3">
        <f t="shared" si="45"/>
        <v>0</v>
      </c>
      <c r="DW128" s="3">
        <f t="shared" si="45"/>
        <v>0</v>
      </c>
      <c r="DX128" s="3">
        <f t="shared" si="45"/>
        <v>0</v>
      </c>
      <c r="DY128" s="3">
        <f t="shared" si="45"/>
        <v>0</v>
      </c>
      <c r="DZ128" s="3">
        <f t="shared" si="45"/>
        <v>0</v>
      </c>
      <c r="EA128" s="3">
        <f t="shared" si="45"/>
        <v>0</v>
      </c>
      <c r="EB128" s="3">
        <f t="shared" si="45"/>
        <v>0</v>
      </c>
      <c r="EC128" s="3">
        <f t="shared" si="45"/>
        <v>0</v>
      </c>
      <c r="ED128" s="3">
        <f t="shared" si="45"/>
        <v>0</v>
      </c>
      <c r="EE128" s="3">
        <f t="shared" si="45"/>
        <v>0</v>
      </c>
      <c r="EF128" s="3">
        <f t="shared" si="45"/>
        <v>0</v>
      </c>
      <c r="EG128" s="3">
        <f t="shared" si="45"/>
        <v>0</v>
      </c>
      <c r="EH128" s="3">
        <f t="shared" si="45"/>
        <v>0</v>
      </c>
      <c r="EI128" s="3">
        <f t="shared" si="45"/>
        <v>0</v>
      </c>
      <c r="EJ128" s="3">
        <f t="shared" si="45"/>
        <v>0</v>
      </c>
      <c r="EK128" s="3">
        <f t="shared" si="45"/>
        <v>0</v>
      </c>
      <c r="EL128" s="3">
        <f t="shared" si="45"/>
        <v>0</v>
      </c>
      <c r="EM128" s="3">
        <f t="shared" ref="EM128:FR128" si="46">EM130</f>
        <v>0</v>
      </c>
      <c r="EN128" s="3">
        <f t="shared" si="46"/>
        <v>0</v>
      </c>
      <c r="EO128" s="3">
        <f t="shared" si="46"/>
        <v>0</v>
      </c>
      <c r="EP128" s="3">
        <f t="shared" si="46"/>
        <v>0</v>
      </c>
      <c r="EQ128" s="3">
        <f t="shared" si="46"/>
        <v>0</v>
      </c>
      <c r="ER128" s="3">
        <f t="shared" si="46"/>
        <v>0</v>
      </c>
      <c r="ES128" s="3">
        <f t="shared" si="46"/>
        <v>0</v>
      </c>
      <c r="ET128" s="3">
        <f t="shared" si="46"/>
        <v>0</v>
      </c>
      <c r="EU128" s="3">
        <f t="shared" si="46"/>
        <v>0</v>
      </c>
      <c r="EV128" s="3">
        <f t="shared" si="46"/>
        <v>0</v>
      </c>
      <c r="EW128" s="3">
        <f t="shared" si="46"/>
        <v>0</v>
      </c>
      <c r="EX128" s="3">
        <f t="shared" si="46"/>
        <v>0</v>
      </c>
      <c r="EY128" s="3">
        <f t="shared" si="46"/>
        <v>0</v>
      </c>
      <c r="EZ128" s="3">
        <f t="shared" si="46"/>
        <v>0</v>
      </c>
      <c r="FA128" s="3">
        <f t="shared" si="46"/>
        <v>0</v>
      </c>
      <c r="FB128" s="3">
        <f t="shared" si="46"/>
        <v>0</v>
      </c>
      <c r="FC128" s="3">
        <f t="shared" si="46"/>
        <v>0</v>
      </c>
      <c r="FD128" s="3">
        <f t="shared" si="46"/>
        <v>0</v>
      </c>
      <c r="FE128" s="3">
        <f t="shared" si="46"/>
        <v>0</v>
      </c>
      <c r="FF128" s="3">
        <f t="shared" si="46"/>
        <v>0</v>
      </c>
      <c r="FG128" s="3">
        <f t="shared" si="46"/>
        <v>0</v>
      </c>
      <c r="FH128" s="3">
        <f t="shared" si="46"/>
        <v>0</v>
      </c>
      <c r="FI128" s="3">
        <f t="shared" si="46"/>
        <v>0</v>
      </c>
      <c r="FJ128" s="3">
        <f t="shared" si="46"/>
        <v>0</v>
      </c>
      <c r="FK128" s="3">
        <f t="shared" si="46"/>
        <v>0</v>
      </c>
      <c r="FL128" s="3">
        <f t="shared" si="46"/>
        <v>0</v>
      </c>
      <c r="FM128" s="3">
        <f t="shared" si="46"/>
        <v>0</v>
      </c>
      <c r="FN128" s="3">
        <f t="shared" si="46"/>
        <v>0</v>
      </c>
      <c r="FO128" s="3">
        <f t="shared" si="46"/>
        <v>0</v>
      </c>
      <c r="FP128" s="3">
        <f t="shared" si="46"/>
        <v>0</v>
      </c>
      <c r="FQ128" s="3">
        <f t="shared" si="46"/>
        <v>0</v>
      </c>
      <c r="FR128" s="3">
        <f t="shared" si="46"/>
        <v>0</v>
      </c>
      <c r="FS128" s="3">
        <f t="shared" ref="FS128:GX128" si="47">FS130</f>
        <v>0</v>
      </c>
      <c r="FT128" s="3">
        <f t="shared" si="47"/>
        <v>0</v>
      </c>
      <c r="FU128" s="3">
        <f t="shared" si="47"/>
        <v>0</v>
      </c>
      <c r="FV128" s="3">
        <f t="shared" si="47"/>
        <v>0</v>
      </c>
      <c r="FW128" s="3">
        <f t="shared" si="47"/>
        <v>0</v>
      </c>
      <c r="FX128" s="3">
        <f t="shared" si="47"/>
        <v>0</v>
      </c>
      <c r="FY128" s="3">
        <f t="shared" si="47"/>
        <v>0</v>
      </c>
      <c r="FZ128" s="3">
        <f t="shared" si="47"/>
        <v>0</v>
      </c>
      <c r="GA128" s="3">
        <f t="shared" si="47"/>
        <v>0</v>
      </c>
      <c r="GB128" s="3">
        <f t="shared" si="47"/>
        <v>0</v>
      </c>
      <c r="GC128" s="3">
        <f t="shared" si="47"/>
        <v>0</v>
      </c>
      <c r="GD128" s="3">
        <f t="shared" si="47"/>
        <v>0</v>
      </c>
      <c r="GE128" s="3">
        <f t="shared" si="47"/>
        <v>0</v>
      </c>
      <c r="GF128" s="3">
        <f t="shared" si="47"/>
        <v>0</v>
      </c>
      <c r="GG128" s="3">
        <f t="shared" si="47"/>
        <v>0</v>
      </c>
      <c r="GH128" s="3">
        <f t="shared" si="47"/>
        <v>0</v>
      </c>
      <c r="GI128" s="3">
        <f t="shared" si="47"/>
        <v>0</v>
      </c>
      <c r="GJ128" s="3">
        <f t="shared" si="47"/>
        <v>0</v>
      </c>
      <c r="GK128" s="3">
        <f t="shared" si="47"/>
        <v>0</v>
      </c>
      <c r="GL128" s="3">
        <f t="shared" si="47"/>
        <v>0</v>
      </c>
      <c r="GM128" s="3">
        <f t="shared" si="47"/>
        <v>0</v>
      </c>
      <c r="GN128" s="3">
        <f t="shared" si="47"/>
        <v>0</v>
      </c>
      <c r="GO128" s="3">
        <f t="shared" si="47"/>
        <v>0</v>
      </c>
      <c r="GP128" s="3">
        <f t="shared" si="47"/>
        <v>0</v>
      </c>
      <c r="GQ128" s="3">
        <f t="shared" si="47"/>
        <v>0</v>
      </c>
      <c r="GR128" s="3">
        <f t="shared" si="47"/>
        <v>0</v>
      </c>
      <c r="GS128" s="3">
        <f t="shared" si="47"/>
        <v>0</v>
      </c>
      <c r="GT128" s="3">
        <f t="shared" si="47"/>
        <v>0</v>
      </c>
      <c r="GU128" s="3">
        <f t="shared" si="47"/>
        <v>0</v>
      </c>
      <c r="GV128" s="3">
        <f t="shared" si="47"/>
        <v>0</v>
      </c>
      <c r="GW128" s="3">
        <f t="shared" si="47"/>
        <v>0</v>
      </c>
      <c r="GX128" s="3">
        <f t="shared" si="47"/>
        <v>0</v>
      </c>
    </row>
    <row r="130" spans="1:206" x14ac:dyDescent="0.2">
      <c r="A130" s="2">
        <v>51</v>
      </c>
      <c r="B130" s="2">
        <f>B126</f>
        <v>1</v>
      </c>
      <c r="C130" s="2">
        <f>A126</f>
        <v>4</v>
      </c>
      <c r="D130" s="2">
        <f>ROW(A126)</f>
        <v>126</v>
      </c>
      <c r="E130" s="2"/>
      <c r="F130" s="2" t="str">
        <f>IF(F126&lt;&gt;"",F126,"")</f>
        <v>10</v>
      </c>
      <c r="G130" s="2" t="str">
        <f>IF(G126&lt;&gt;"",G126,"")</f>
        <v>БЛОК САНУЗЛОВ 4 (2-ой ЭТАЖ)</v>
      </c>
      <c r="H130" s="2">
        <v>0</v>
      </c>
      <c r="I130" s="2"/>
      <c r="J130" s="2"/>
      <c r="K130" s="2"/>
      <c r="L130" s="2"/>
      <c r="M130" s="2"/>
      <c r="N130" s="2"/>
      <c r="O130" s="2">
        <f t="shared" ref="O130:Y130" si="48">AB130</f>
        <v>0</v>
      </c>
      <c r="P130" s="2">
        <f t="shared" si="48"/>
        <v>0</v>
      </c>
      <c r="Q130" s="2">
        <f t="shared" si="48"/>
        <v>0</v>
      </c>
      <c r="R130" s="2">
        <f t="shared" si="48"/>
        <v>0</v>
      </c>
      <c r="S130" s="2">
        <f t="shared" si="48"/>
        <v>0</v>
      </c>
      <c r="T130" s="2">
        <f t="shared" si="48"/>
        <v>0</v>
      </c>
      <c r="U130" s="2">
        <f t="shared" si="48"/>
        <v>0</v>
      </c>
      <c r="V130" s="2">
        <f t="shared" si="48"/>
        <v>0</v>
      </c>
      <c r="W130" s="2">
        <f t="shared" si="48"/>
        <v>0</v>
      </c>
      <c r="X130" s="2">
        <f t="shared" si="48"/>
        <v>0</v>
      </c>
      <c r="Y130" s="2">
        <f t="shared" si="48"/>
        <v>0</v>
      </c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>
        <f t="shared" ref="AO130:BD130" si="49">BX130</f>
        <v>0</v>
      </c>
      <c r="AP130" s="2">
        <f t="shared" si="49"/>
        <v>0</v>
      </c>
      <c r="AQ130" s="2">
        <f t="shared" si="49"/>
        <v>0</v>
      </c>
      <c r="AR130" s="2">
        <f t="shared" si="49"/>
        <v>0</v>
      </c>
      <c r="AS130" s="2">
        <f t="shared" si="49"/>
        <v>0</v>
      </c>
      <c r="AT130" s="2">
        <f t="shared" si="49"/>
        <v>0</v>
      </c>
      <c r="AU130" s="2">
        <f t="shared" si="49"/>
        <v>0</v>
      </c>
      <c r="AV130" s="2">
        <f t="shared" si="49"/>
        <v>0</v>
      </c>
      <c r="AW130" s="2">
        <f t="shared" si="49"/>
        <v>0</v>
      </c>
      <c r="AX130" s="2">
        <f t="shared" si="49"/>
        <v>0</v>
      </c>
      <c r="AY130" s="2">
        <f t="shared" si="49"/>
        <v>0</v>
      </c>
      <c r="AZ130" s="2">
        <f t="shared" si="49"/>
        <v>0</v>
      </c>
      <c r="BA130" s="2">
        <f t="shared" si="49"/>
        <v>0</v>
      </c>
      <c r="BB130" s="2">
        <f t="shared" si="49"/>
        <v>0</v>
      </c>
      <c r="BC130" s="2">
        <f t="shared" si="49"/>
        <v>0</v>
      </c>
      <c r="BD130" s="2">
        <f t="shared" si="49"/>
        <v>0</v>
      </c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>
        <v>0</v>
      </c>
    </row>
    <row r="132" spans="1:206" x14ac:dyDescent="0.2">
      <c r="A132" s="4">
        <v>50</v>
      </c>
      <c r="B132" s="4">
        <v>0</v>
      </c>
      <c r="C132" s="4">
        <v>0</v>
      </c>
      <c r="D132" s="4">
        <v>1</v>
      </c>
      <c r="E132" s="4">
        <v>201</v>
      </c>
      <c r="F132" s="4">
        <f>ROUND(Source!O130,O132)</f>
        <v>0</v>
      </c>
      <c r="G132" s="4" t="s">
        <v>22</v>
      </c>
      <c r="H132" s="4" t="s">
        <v>23</v>
      </c>
      <c r="I132" s="4"/>
      <c r="J132" s="4"/>
      <c r="K132" s="4">
        <v>201</v>
      </c>
      <c r="L132" s="4">
        <v>1</v>
      </c>
      <c r="M132" s="4">
        <v>3</v>
      </c>
      <c r="N132" s="4" t="s">
        <v>6</v>
      </c>
      <c r="O132" s="4">
        <v>0</v>
      </c>
      <c r="P132" s="4"/>
      <c r="Q132" s="4"/>
      <c r="R132" s="4"/>
      <c r="S132" s="4"/>
      <c r="T132" s="4"/>
      <c r="U132" s="4"/>
      <c r="V132" s="4"/>
      <c r="W132" s="4">
        <v>0</v>
      </c>
      <c r="X132" s="4">
        <v>1</v>
      </c>
      <c r="Y132" s="4">
        <v>0</v>
      </c>
      <c r="Z132" s="4"/>
      <c r="AA132" s="4"/>
      <c r="AB132" s="4"/>
    </row>
    <row r="133" spans="1:206" x14ac:dyDescent="0.2">
      <c r="A133" s="4">
        <v>50</v>
      </c>
      <c r="B133" s="4">
        <v>0</v>
      </c>
      <c r="C133" s="4">
        <v>0</v>
      </c>
      <c r="D133" s="4">
        <v>1</v>
      </c>
      <c r="E133" s="4">
        <v>202</v>
      </c>
      <c r="F133" s="4">
        <f>ROUND(Source!P130,O133)</f>
        <v>0</v>
      </c>
      <c r="G133" s="4" t="s">
        <v>24</v>
      </c>
      <c r="H133" s="4" t="s">
        <v>25</v>
      </c>
      <c r="I133" s="4"/>
      <c r="J133" s="4"/>
      <c r="K133" s="4">
        <v>202</v>
      </c>
      <c r="L133" s="4">
        <v>2</v>
      </c>
      <c r="M133" s="4">
        <v>3</v>
      </c>
      <c r="N133" s="4" t="s">
        <v>6</v>
      </c>
      <c r="O133" s="4">
        <v>0</v>
      </c>
      <c r="P133" s="4"/>
      <c r="Q133" s="4"/>
      <c r="R133" s="4"/>
      <c r="S133" s="4"/>
      <c r="T133" s="4"/>
      <c r="U133" s="4"/>
      <c r="V133" s="4"/>
      <c r="W133" s="4">
        <v>0</v>
      </c>
      <c r="X133" s="4">
        <v>1</v>
      </c>
      <c r="Y133" s="4">
        <v>0</v>
      </c>
      <c r="Z133" s="4"/>
      <c r="AA133" s="4"/>
      <c r="AB133" s="4"/>
    </row>
    <row r="134" spans="1:206" x14ac:dyDescent="0.2">
      <c r="A134" s="4">
        <v>50</v>
      </c>
      <c r="B134" s="4">
        <v>0</v>
      </c>
      <c r="C134" s="4">
        <v>0</v>
      </c>
      <c r="D134" s="4">
        <v>1</v>
      </c>
      <c r="E134" s="4">
        <v>222</v>
      </c>
      <c r="F134" s="4">
        <f>ROUND(Source!AO130,O134)</f>
        <v>0</v>
      </c>
      <c r="G134" s="4" t="s">
        <v>26</v>
      </c>
      <c r="H134" s="4" t="s">
        <v>27</v>
      </c>
      <c r="I134" s="4"/>
      <c r="J134" s="4"/>
      <c r="K134" s="4">
        <v>222</v>
      </c>
      <c r="L134" s="4">
        <v>3</v>
      </c>
      <c r="M134" s="4">
        <v>3</v>
      </c>
      <c r="N134" s="4" t="s">
        <v>6</v>
      </c>
      <c r="O134" s="4">
        <v>0</v>
      </c>
      <c r="P134" s="4"/>
      <c r="Q134" s="4"/>
      <c r="R134" s="4"/>
      <c r="S134" s="4"/>
      <c r="T134" s="4"/>
      <c r="U134" s="4"/>
      <c r="V134" s="4"/>
      <c r="W134" s="4">
        <v>0</v>
      </c>
      <c r="X134" s="4">
        <v>1</v>
      </c>
      <c r="Y134" s="4">
        <v>0</v>
      </c>
      <c r="Z134" s="4"/>
      <c r="AA134" s="4"/>
      <c r="AB134" s="4"/>
    </row>
    <row r="135" spans="1:206" x14ac:dyDescent="0.2">
      <c r="A135" s="4">
        <v>50</v>
      </c>
      <c r="B135" s="4">
        <v>0</v>
      </c>
      <c r="C135" s="4">
        <v>0</v>
      </c>
      <c r="D135" s="4">
        <v>1</v>
      </c>
      <c r="E135" s="4">
        <v>225</v>
      </c>
      <c r="F135" s="4">
        <f>ROUND(Source!AV130,O135)</f>
        <v>0</v>
      </c>
      <c r="G135" s="4" t="s">
        <v>28</v>
      </c>
      <c r="H135" s="4" t="s">
        <v>29</v>
      </c>
      <c r="I135" s="4"/>
      <c r="J135" s="4"/>
      <c r="K135" s="4">
        <v>225</v>
      </c>
      <c r="L135" s="4">
        <v>4</v>
      </c>
      <c r="M135" s="4">
        <v>3</v>
      </c>
      <c r="N135" s="4" t="s">
        <v>6</v>
      </c>
      <c r="O135" s="4">
        <v>0</v>
      </c>
      <c r="P135" s="4"/>
      <c r="Q135" s="4"/>
      <c r="R135" s="4"/>
      <c r="S135" s="4"/>
      <c r="T135" s="4"/>
      <c r="U135" s="4"/>
      <c r="V135" s="4"/>
      <c r="W135" s="4">
        <v>0</v>
      </c>
      <c r="X135" s="4">
        <v>1</v>
      </c>
      <c r="Y135" s="4">
        <v>0</v>
      </c>
      <c r="Z135" s="4"/>
      <c r="AA135" s="4"/>
      <c r="AB135" s="4"/>
    </row>
    <row r="136" spans="1:206" x14ac:dyDescent="0.2">
      <c r="A136" s="4">
        <v>50</v>
      </c>
      <c r="B136" s="4">
        <v>0</v>
      </c>
      <c r="C136" s="4">
        <v>0</v>
      </c>
      <c r="D136" s="4">
        <v>1</v>
      </c>
      <c r="E136" s="4">
        <v>226</v>
      </c>
      <c r="F136" s="4">
        <f>ROUND(Source!AW130,O136)</f>
        <v>0</v>
      </c>
      <c r="G136" s="4" t="s">
        <v>30</v>
      </c>
      <c r="H136" s="4" t="s">
        <v>31</v>
      </c>
      <c r="I136" s="4"/>
      <c r="J136" s="4"/>
      <c r="K136" s="4">
        <v>226</v>
      </c>
      <c r="L136" s="4">
        <v>5</v>
      </c>
      <c r="M136" s="4">
        <v>3</v>
      </c>
      <c r="N136" s="4" t="s">
        <v>6</v>
      </c>
      <c r="O136" s="4">
        <v>0</v>
      </c>
      <c r="P136" s="4"/>
      <c r="Q136" s="4"/>
      <c r="R136" s="4"/>
      <c r="S136" s="4"/>
      <c r="T136" s="4"/>
      <c r="U136" s="4"/>
      <c r="V136" s="4"/>
      <c r="W136" s="4">
        <v>0</v>
      </c>
      <c r="X136" s="4">
        <v>1</v>
      </c>
      <c r="Y136" s="4">
        <v>0</v>
      </c>
      <c r="Z136" s="4"/>
      <c r="AA136" s="4"/>
      <c r="AB136" s="4"/>
    </row>
    <row r="137" spans="1:206" x14ac:dyDescent="0.2">
      <c r="A137" s="4">
        <v>50</v>
      </c>
      <c r="B137" s="4">
        <v>0</v>
      </c>
      <c r="C137" s="4">
        <v>0</v>
      </c>
      <c r="D137" s="4">
        <v>1</v>
      </c>
      <c r="E137" s="4">
        <v>227</v>
      </c>
      <c r="F137" s="4">
        <f>ROUND(Source!AX130,O137)</f>
        <v>0</v>
      </c>
      <c r="G137" s="4" t="s">
        <v>32</v>
      </c>
      <c r="H137" s="4" t="s">
        <v>33</v>
      </c>
      <c r="I137" s="4"/>
      <c r="J137" s="4"/>
      <c r="K137" s="4">
        <v>227</v>
      </c>
      <c r="L137" s="4">
        <v>6</v>
      </c>
      <c r="M137" s="4">
        <v>3</v>
      </c>
      <c r="N137" s="4" t="s">
        <v>6</v>
      </c>
      <c r="O137" s="4">
        <v>0</v>
      </c>
      <c r="P137" s="4"/>
      <c r="Q137" s="4"/>
      <c r="R137" s="4"/>
      <c r="S137" s="4"/>
      <c r="T137" s="4"/>
      <c r="U137" s="4"/>
      <c r="V137" s="4"/>
      <c r="W137" s="4">
        <v>0</v>
      </c>
      <c r="X137" s="4">
        <v>1</v>
      </c>
      <c r="Y137" s="4">
        <v>0</v>
      </c>
      <c r="Z137" s="4"/>
      <c r="AA137" s="4"/>
      <c r="AB137" s="4"/>
    </row>
    <row r="138" spans="1:206" x14ac:dyDescent="0.2">
      <c r="A138" s="4">
        <v>50</v>
      </c>
      <c r="B138" s="4">
        <v>0</v>
      </c>
      <c r="C138" s="4">
        <v>0</v>
      </c>
      <c r="D138" s="4">
        <v>1</v>
      </c>
      <c r="E138" s="4">
        <v>228</v>
      </c>
      <c r="F138" s="4">
        <f>ROUND(Source!AY130,O138)</f>
        <v>0</v>
      </c>
      <c r="G138" s="4" t="s">
        <v>34</v>
      </c>
      <c r="H138" s="4" t="s">
        <v>35</v>
      </c>
      <c r="I138" s="4"/>
      <c r="J138" s="4"/>
      <c r="K138" s="4">
        <v>228</v>
      </c>
      <c r="L138" s="4">
        <v>7</v>
      </c>
      <c r="M138" s="4">
        <v>3</v>
      </c>
      <c r="N138" s="4" t="s">
        <v>6</v>
      </c>
      <c r="O138" s="4">
        <v>0</v>
      </c>
      <c r="P138" s="4"/>
      <c r="Q138" s="4"/>
      <c r="R138" s="4"/>
      <c r="S138" s="4"/>
      <c r="T138" s="4"/>
      <c r="U138" s="4"/>
      <c r="V138" s="4"/>
      <c r="W138" s="4">
        <v>0</v>
      </c>
      <c r="X138" s="4">
        <v>1</v>
      </c>
      <c r="Y138" s="4">
        <v>0</v>
      </c>
      <c r="Z138" s="4"/>
      <c r="AA138" s="4"/>
      <c r="AB138" s="4"/>
    </row>
    <row r="139" spans="1:206" x14ac:dyDescent="0.2">
      <c r="A139" s="4">
        <v>50</v>
      </c>
      <c r="B139" s="4">
        <v>0</v>
      </c>
      <c r="C139" s="4">
        <v>0</v>
      </c>
      <c r="D139" s="4">
        <v>1</v>
      </c>
      <c r="E139" s="4">
        <v>216</v>
      </c>
      <c r="F139" s="4">
        <f>ROUND(Source!AP130,O139)</f>
        <v>0</v>
      </c>
      <c r="G139" s="4" t="s">
        <v>36</v>
      </c>
      <c r="H139" s="4" t="s">
        <v>37</v>
      </c>
      <c r="I139" s="4"/>
      <c r="J139" s="4"/>
      <c r="K139" s="4">
        <v>216</v>
      </c>
      <c r="L139" s="4">
        <v>8</v>
      </c>
      <c r="M139" s="4">
        <v>3</v>
      </c>
      <c r="N139" s="4" t="s">
        <v>6</v>
      </c>
      <c r="O139" s="4">
        <v>0</v>
      </c>
      <c r="P139" s="4"/>
      <c r="Q139" s="4"/>
      <c r="R139" s="4"/>
      <c r="S139" s="4"/>
      <c r="T139" s="4"/>
      <c r="U139" s="4"/>
      <c r="V139" s="4"/>
      <c r="W139" s="4">
        <v>0</v>
      </c>
      <c r="X139" s="4">
        <v>1</v>
      </c>
      <c r="Y139" s="4">
        <v>0</v>
      </c>
      <c r="Z139" s="4"/>
      <c r="AA139" s="4"/>
      <c r="AB139" s="4"/>
    </row>
    <row r="140" spans="1:206" x14ac:dyDescent="0.2">
      <c r="A140" s="4">
        <v>50</v>
      </c>
      <c r="B140" s="4">
        <v>0</v>
      </c>
      <c r="C140" s="4">
        <v>0</v>
      </c>
      <c r="D140" s="4">
        <v>1</v>
      </c>
      <c r="E140" s="4">
        <v>223</v>
      </c>
      <c r="F140" s="4">
        <f>ROUND(Source!AQ130,O140)</f>
        <v>0</v>
      </c>
      <c r="G140" s="4" t="s">
        <v>38</v>
      </c>
      <c r="H140" s="4" t="s">
        <v>39</v>
      </c>
      <c r="I140" s="4"/>
      <c r="J140" s="4"/>
      <c r="K140" s="4">
        <v>223</v>
      </c>
      <c r="L140" s="4">
        <v>9</v>
      </c>
      <c r="M140" s="4">
        <v>3</v>
      </c>
      <c r="N140" s="4" t="s">
        <v>6</v>
      </c>
      <c r="O140" s="4">
        <v>0</v>
      </c>
      <c r="P140" s="4"/>
      <c r="Q140" s="4"/>
      <c r="R140" s="4"/>
      <c r="S140" s="4"/>
      <c r="T140" s="4"/>
      <c r="U140" s="4"/>
      <c r="V140" s="4"/>
      <c r="W140" s="4">
        <v>0</v>
      </c>
      <c r="X140" s="4">
        <v>1</v>
      </c>
      <c r="Y140" s="4">
        <v>0</v>
      </c>
      <c r="Z140" s="4"/>
      <c r="AA140" s="4"/>
      <c r="AB140" s="4"/>
    </row>
    <row r="141" spans="1:206" x14ac:dyDescent="0.2">
      <c r="A141" s="4">
        <v>50</v>
      </c>
      <c r="B141" s="4">
        <v>0</v>
      </c>
      <c r="C141" s="4">
        <v>0</v>
      </c>
      <c r="D141" s="4">
        <v>1</v>
      </c>
      <c r="E141" s="4">
        <v>229</v>
      </c>
      <c r="F141" s="4">
        <f>ROUND(Source!AZ130,O141)</f>
        <v>0</v>
      </c>
      <c r="G141" s="4" t="s">
        <v>40</v>
      </c>
      <c r="H141" s="4" t="s">
        <v>41</v>
      </c>
      <c r="I141" s="4"/>
      <c r="J141" s="4"/>
      <c r="K141" s="4">
        <v>229</v>
      </c>
      <c r="L141" s="4">
        <v>10</v>
      </c>
      <c r="M141" s="4">
        <v>3</v>
      </c>
      <c r="N141" s="4" t="s">
        <v>6</v>
      </c>
      <c r="O141" s="4">
        <v>0</v>
      </c>
      <c r="P141" s="4"/>
      <c r="Q141" s="4"/>
      <c r="R141" s="4"/>
      <c r="S141" s="4"/>
      <c r="T141" s="4"/>
      <c r="U141" s="4"/>
      <c r="V141" s="4"/>
      <c r="W141" s="4">
        <v>0</v>
      </c>
      <c r="X141" s="4">
        <v>1</v>
      </c>
      <c r="Y141" s="4">
        <v>0</v>
      </c>
      <c r="Z141" s="4"/>
      <c r="AA141" s="4"/>
      <c r="AB141" s="4"/>
    </row>
    <row r="142" spans="1:206" x14ac:dyDescent="0.2">
      <c r="A142" s="4">
        <v>50</v>
      </c>
      <c r="B142" s="4">
        <v>0</v>
      </c>
      <c r="C142" s="4">
        <v>0</v>
      </c>
      <c r="D142" s="4">
        <v>1</v>
      </c>
      <c r="E142" s="4">
        <v>203</v>
      </c>
      <c r="F142" s="4">
        <f>ROUND(Source!Q130,O142)</f>
        <v>0</v>
      </c>
      <c r="G142" s="4" t="s">
        <v>42</v>
      </c>
      <c r="H142" s="4" t="s">
        <v>43</v>
      </c>
      <c r="I142" s="4"/>
      <c r="J142" s="4"/>
      <c r="K142" s="4">
        <v>203</v>
      </c>
      <c r="L142" s="4">
        <v>11</v>
      </c>
      <c r="M142" s="4">
        <v>3</v>
      </c>
      <c r="N142" s="4" t="s">
        <v>6</v>
      </c>
      <c r="O142" s="4">
        <v>0</v>
      </c>
      <c r="P142" s="4"/>
      <c r="Q142" s="4"/>
      <c r="R142" s="4"/>
      <c r="S142" s="4"/>
      <c r="T142" s="4"/>
      <c r="U142" s="4"/>
      <c r="V142" s="4"/>
      <c r="W142" s="4">
        <v>0</v>
      </c>
      <c r="X142" s="4">
        <v>1</v>
      </c>
      <c r="Y142" s="4">
        <v>0</v>
      </c>
      <c r="Z142" s="4"/>
      <c r="AA142" s="4"/>
      <c r="AB142" s="4"/>
    </row>
    <row r="143" spans="1:206" x14ac:dyDescent="0.2">
      <c r="A143" s="4">
        <v>50</v>
      </c>
      <c r="B143" s="4">
        <v>0</v>
      </c>
      <c r="C143" s="4">
        <v>0</v>
      </c>
      <c r="D143" s="4">
        <v>1</v>
      </c>
      <c r="E143" s="4">
        <v>231</v>
      </c>
      <c r="F143" s="4">
        <f>ROUND(Source!BB130,O143)</f>
        <v>0</v>
      </c>
      <c r="G143" s="4" t="s">
        <v>44</v>
      </c>
      <c r="H143" s="4" t="s">
        <v>45</v>
      </c>
      <c r="I143" s="4"/>
      <c r="J143" s="4"/>
      <c r="K143" s="4">
        <v>231</v>
      </c>
      <c r="L143" s="4">
        <v>12</v>
      </c>
      <c r="M143" s="4">
        <v>3</v>
      </c>
      <c r="N143" s="4" t="s">
        <v>6</v>
      </c>
      <c r="O143" s="4">
        <v>0</v>
      </c>
      <c r="P143" s="4"/>
      <c r="Q143" s="4"/>
      <c r="R143" s="4"/>
      <c r="S143" s="4"/>
      <c r="T143" s="4"/>
      <c r="U143" s="4"/>
      <c r="V143" s="4"/>
      <c r="W143" s="4">
        <v>0</v>
      </c>
      <c r="X143" s="4">
        <v>1</v>
      </c>
      <c r="Y143" s="4">
        <v>0</v>
      </c>
      <c r="Z143" s="4"/>
      <c r="AA143" s="4"/>
      <c r="AB143" s="4"/>
    </row>
    <row r="144" spans="1:206" x14ac:dyDescent="0.2">
      <c r="A144" s="4">
        <v>50</v>
      </c>
      <c r="B144" s="4">
        <v>0</v>
      </c>
      <c r="C144" s="4">
        <v>0</v>
      </c>
      <c r="D144" s="4">
        <v>1</v>
      </c>
      <c r="E144" s="4">
        <v>204</v>
      </c>
      <c r="F144" s="4">
        <f>ROUND(Source!R130,O144)</f>
        <v>0</v>
      </c>
      <c r="G144" s="4" t="s">
        <v>46</v>
      </c>
      <c r="H144" s="4" t="s">
        <v>47</v>
      </c>
      <c r="I144" s="4"/>
      <c r="J144" s="4"/>
      <c r="K144" s="4">
        <v>204</v>
      </c>
      <c r="L144" s="4">
        <v>13</v>
      </c>
      <c r="M144" s="4">
        <v>3</v>
      </c>
      <c r="N144" s="4" t="s">
        <v>6</v>
      </c>
      <c r="O144" s="4">
        <v>0</v>
      </c>
      <c r="P144" s="4"/>
      <c r="Q144" s="4"/>
      <c r="R144" s="4"/>
      <c r="S144" s="4"/>
      <c r="T144" s="4"/>
      <c r="U144" s="4"/>
      <c r="V144" s="4"/>
      <c r="W144" s="4">
        <v>0</v>
      </c>
      <c r="X144" s="4">
        <v>1</v>
      </c>
      <c r="Y144" s="4">
        <v>0</v>
      </c>
      <c r="Z144" s="4"/>
      <c r="AA144" s="4"/>
      <c r="AB144" s="4"/>
    </row>
    <row r="145" spans="1:88" x14ac:dyDescent="0.2">
      <c r="A145" s="4">
        <v>50</v>
      </c>
      <c r="B145" s="4">
        <v>0</v>
      </c>
      <c r="C145" s="4">
        <v>0</v>
      </c>
      <c r="D145" s="4">
        <v>1</v>
      </c>
      <c r="E145" s="4">
        <v>205</v>
      </c>
      <c r="F145" s="4">
        <f>ROUND(Source!S130,O145)</f>
        <v>0</v>
      </c>
      <c r="G145" s="4" t="s">
        <v>48</v>
      </c>
      <c r="H145" s="4" t="s">
        <v>49</v>
      </c>
      <c r="I145" s="4"/>
      <c r="J145" s="4"/>
      <c r="K145" s="4">
        <v>205</v>
      </c>
      <c r="L145" s="4">
        <v>14</v>
      </c>
      <c r="M145" s="4">
        <v>3</v>
      </c>
      <c r="N145" s="4" t="s">
        <v>6</v>
      </c>
      <c r="O145" s="4">
        <v>0</v>
      </c>
      <c r="P145" s="4"/>
      <c r="Q145" s="4"/>
      <c r="R145" s="4"/>
      <c r="S145" s="4"/>
      <c r="T145" s="4"/>
      <c r="U145" s="4"/>
      <c r="V145" s="4"/>
      <c r="W145" s="4">
        <v>0</v>
      </c>
      <c r="X145" s="4">
        <v>1</v>
      </c>
      <c r="Y145" s="4">
        <v>0</v>
      </c>
      <c r="Z145" s="4"/>
      <c r="AA145" s="4"/>
      <c r="AB145" s="4"/>
    </row>
    <row r="146" spans="1:88" x14ac:dyDescent="0.2">
      <c r="A146" s="4">
        <v>50</v>
      </c>
      <c r="B146" s="4">
        <v>0</v>
      </c>
      <c r="C146" s="4">
        <v>0</v>
      </c>
      <c r="D146" s="4">
        <v>1</v>
      </c>
      <c r="E146" s="4">
        <v>232</v>
      </c>
      <c r="F146" s="4">
        <f>ROUND(Source!BC130,O146)</f>
        <v>0</v>
      </c>
      <c r="G146" s="4" t="s">
        <v>50</v>
      </c>
      <c r="H146" s="4" t="s">
        <v>51</v>
      </c>
      <c r="I146" s="4"/>
      <c r="J146" s="4"/>
      <c r="K146" s="4">
        <v>232</v>
      </c>
      <c r="L146" s="4">
        <v>15</v>
      </c>
      <c r="M146" s="4">
        <v>3</v>
      </c>
      <c r="N146" s="4" t="s">
        <v>6</v>
      </c>
      <c r="O146" s="4">
        <v>0</v>
      </c>
      <c r="P146" s="4"/>
      <c r="Q146" s="4"/>
      <c r="R146" s="4"/>
      <c r="S146" s="4"/>
      <c r="T146" s="4"/>
      <c r="U146" s="4"/>
      <c r="V146" s="4"/>
      <c r="W146" s="4">
        <v>0</v>
      </c>
      <c r="X146" s="4">
        <v>1</v>
      </c>
      <c r="Y146" s="4">
        <v>0</v>
      </c>
      <c r="Z146" s="4"/>
      <c r="AA146" s="4"/>
      <c r="AB146" s="4"/>
    </row>
    <row r="147" spans="1:88" x14ac:dyDescent="0.2">
      <c r="A147" s="4">
        <v>50</v>
      </c>
      <c r="B147" s="4">
        <v>0</v>
      </c>
      <c r="C147" s="4">
        <v>0</v>
      </c>
      <c r="D147" s="4">
        <v>1</v>
      </c>
      <c r="E147" s="4">
        <v>214</v>
      </c>
      <c r="F147" s="4">
        <f>ROUND(Source!AS130,O147)</f>
        <v>0</v>
      </c>
      <c r="G147" s="4" t="s">
        <v>52</v>
      </c>
      <c r="H147" s="4" t="s">
        <v>53</v>
      </c>
      <c r="I147" s="4"/>
      <c r="J147" s="4"/>
      <c r="K147" s="4">
        <v>214</v>
      </c>
      <c r="L147" s="4">
        <v>16</v>
      </c>
      <c r="M147" s="4">
        <v>3</v>
      </c>
      <c r="N147" s="4" t="s">
        <v>6</v>
      </c>
      <c r="O147" s="4">
        <v>0</v>
      </c>
      <c r="P147" s="4"/>
      <c r="Q147" s="4"/>
      <c r="R147" s="4"/>
      <c r="S147" s="4"/>
      <c r="T147" s="4"/>
      <c r="U147" s="4"/>
      <c r="V147" s="4"/>
      <c r="W147" s="4">
        <v>0</v>
      </c>
      <c r="X147" s="4">
        <v>1</v>
      </c>
      <c r="Y147" s="4">
        <v>0</v>
      </c>
      <c r="Z147" s="4"/>
      <c r="AA147" s="4"/>
      <c r="AB147" s="4"/>
    </row>
    <row r="148" spans="1:88" x14ac:dyDescent="0.2">
      <c r="A148" s="4">
        <v>50</v>
      </c>
      <c r="B148" s="4">
        <v>0</v>
      </c>
      <c r="C148" s="4">
        <v>0</v>
      </c>
      <c r="D148" s="4">
        <v>1</v>
      </c>
      <c r="E148" s="4">
        <v>215</v>
      </c>
      <c r="F148" s="4">
        <f>ROUND(Source!AT130,O148)</f>
        <v>0</v>
      </c>
      <c r="G148" s="4" t="s">
        <v>54</v>
      </c>
      <c r="H148" s="4" t="s">
        <v>55</v>
      </c>
      <c r="I148" s="4"/>
      <c r="J148" s="4"/>
      <c r="K148" s="4">
        <v>215</v>
      </c>
      <c r="L148" s="4">
        <v>17</v>
      </c>
      <c r="M148" s="4">
        <v>3</v>
      </c>
      <c r="N148" s="4" t="s">
        <v>6</v>
      </c>
      <c r="O148" s="4">
        <v>0</v>
      </c>
      <c r="P148" s="4"/>
      <c r="Q148" s="4"/>
      <c r="R148" s="4"/>
      <c r="S148" s="4"/>
      <c r="T148" s="4"/>
      <c r="U148" s="4"/>
      <c r="V148" s="4"/>
      <c r="W148" s="4">
        <v>0</v>
      </c>
      <c r="X148" s="4">
        <v>1</v>
      </c>
      <c r="Y148" s="4">
        <v>0</v>
      </c>
      <c r="Z148" s="4"/>
      <c r="AA148" s="4"/>
      <c r="AB148" s="4"/>
    </row>
    <row r="149" spans="1:88" x14ac:dyDescent="0.2">
      <c r="A149" s="4">
        <v>50</v>
      </c>
      <c r="B149" s="4">
        <v>0</v>
      </c>
      <c r="C149" s="4">
        <v>0</v>
      </c>
      <c r="D149" s="4">
        <v>1</v>
      </c>
      <c r="E149" s="4">
        <v>217</v>
      </c>
      <c r="F149" s="4">
        <f>ROUND(Source!AU130,O149)</f>
        <v>0</v>
      </c>
      <c r="G149" s="4" t="s">
        <v>56</v>
      </c>
      <c r="H149" s="4" t="s">
        <v>57</v>
      </c>
      <c r="I149" s="4"/>
      <c r="J149" s="4"/>
      <c r="K149" s="4">
        <v>217</v>
      </c>
      <c r="L149" s="4">
        <v>18</v>
      </c>
      <c r="M149" s="4">
        <v>3</v>
      </c>
      <c r="N149" s="4" t="s">
        <v>6</v>
      </c>
      <c r="O149" s="4">
        <v>0</v>
      </c>
      <c r="P149" s="4"/>
      <c r="Q149" s="4"/>
      <c r="R149" s="4"/>
      <c r="S149" s="4"/>
      <c r="T149" s="4"/>
      <c r="U149" s="4"/>
      <c r="V149" s="4"/>
      <c r="W149" s="4">
        <v>0</v>
      </c>
      <c r="X149" s="4">
        <v>1</v>
      </c>
      <c r="Y149" s="4">
        <v>0</v>
      </c>
      <c r="Z149" s="4"/>
      <c r="AA149" s="4"/>
      <c r="AB149" s="4"/>
    </row>
    <row r="150" spans="1:88" x14ac:dyDescent="0.2">
      <c r="A150" s="4">
        <v>50</v>
      </c>
      <c r="B150" s="4">
        <v>0</v>
      </c>
      <c r="C150" s="4">
        <v>0</v>
      </c>
      <c r="D150" s="4">
        <v>1</v>
      </c>
      <c r="E150" s="4">
        <v>230</v>
      </c>
      <c r="F150" s="4">
        <f>ROUND(Source!BA130,O150)</f>
        <v>0</v>
      </c>
      <c r="G150" s="4" t="s">
        <v>58</v>
      </c>
      <c r="H150" s="4" t="s">
        <v>59</v>
      </c>
      <c r="I150" s="4"/>
      <c r="J150" s="4"/>
      <c r="K150" s="4">
        <v>230</v>
      </c>
      <c r="L150" s="4">
        <v>19</v>
      </c>
      <c r="M150" s="4">
        <v>3</v>
      </c>
      <c r="N150" s="4" t="s">
        <v>6</v>
      </c>
      <c r="O150" s="4">
        <v>0</v>
      </c>
      <c r="P150" s="4"/>
      <c r="Q150" s="4"/>
      <c r="R150" s="4"/>
      <c r="S150" s="4"/>
      <c r="T150" s="4"/>
      <c r="U150" s="4"/>
      <c r="V150" s="4"/>
      <c r="W150" s="4">
        <v>0</v>
      </c>
      <c r="X150" s="4">
        <v>1</v>
      </c>
      <c r="Y150" s="4">
        <v>0</v>
      </c>
      <c r="Z150" s="4"/>
      <c r="AA150" s="4"/>
      <c r="AB150" s="4"/>
    </row>
    <row r="151" spans="1:88" x14ac:dyDescent="0.2">
      <c r="A151" s="4">
        <v>50</v>
      </c>
      <c r="B151" s="4">
        <v>0</v>
      </c>
      <c r="C151" s="4">
        <v>0</v>
      </c>
      <c r="D151" s="4">
        <v>1</v>
      </c>
      <c r="E151" s="4">
        <v>206</v>
      </c>
      <c r="F151" s="4">
        <f>ROUND(Source!T130,O151)</f>
        <v>0</v>
      </c>
      <c r="G151" s="4" t="s">
        <v>60</v>
      </c>
      <c r="H151" s="4" t="s">
        <v>61</v>
      </c>
      <c r="I151" s="4"/>
      <c r="J151" s="4"/>
      <c r="K151" s="4">
        <v>206</v>
      </c>
      <c r="L151" s="4">
        <v>20</v>
      </c>
      <c r="M151" s="4">
        <v>3</v>
      </c>
      <c r="N151" s="4" t="s">
        <v>6</v>
      </c>
      <c r="O151" s="4">
        <v>0</v>
      </c>
      <c r="P151" s="4"/>
      <c r="Q151" s="4"/>
      <c r="R151" s="4"/>
      <c r="S151" s="4"/>
      <c r="T151" s="4"/>
      <c r="U151" s="4"/>
      <c r="V151" s="4"/>
      <c r="W151" s="4">
        <v>0</v>
      </c>
      <c r="X151" s="4">
        <v>1</v>
      </c>
      <c r="Y151" s="4">
        <v>0</v>
      </c>
      <c r="Z151" s="4"/>
      <c r="AA151" s="4"/>
      <c r="AB151" s="4"/>
    </row>
    <row r="152" spans="1:88" x14ac:dyDescent="0.2">
      <c r="A152" s="4">
        <v>50</v>
      </c>
      <c r="B152" s="4">
        <v>0</v>
      </c>
      <c r="C152" s="4">
        <v>0</v>
      </c>
      <c r="D152" s="4">
        <v>1</v>
      </c>
      <c r="E152" s="4">
        <v>207</v>
      </c>
      <c r="F152" s="4">
        <f>ROUND(Source!U130,O152)</f>
        <v>0</v>
      </c>
      <c r="G152" s="4" t="s">
        <v>62</v>
      </c>
      <c r="H152" s="4" t="s">
        <v>63</v>
      </c>
      <c r="I152" s="4"/>
      <c r="J152" s="4"/>
      <c r="K152" s="4">
        <v>207</v>
      </c>
      <c r="L152" s="4">
        <v>21</v>
      </c>
      <c r="M152" s="4">
        <v>3</v>
      </c>
      <c r="N152" s="4" t="s">
        <v>6</v>
      </c>
      <c r="O152" s="4">
        <v>7</v>
      </c>
      <c r="P152" s="4"/>
      <c r="Q152" s="4"/>
      <c r="R152" s="4"/>
      <c r="S152" s="4"/>
      <c r="T152" s="4"/>
      <c r="U152" s="4"/>
      <c r="V152" s="4"/>
      <c r="W152" s="4">
        <v>0</v>
      </c>
      <c r="X152" s="4">
        <v>1</v>
      </c>
      <c r="Y152" s="4">
        <v>0</v>
      </c>
      <c r="Z152" s="4"/>
      <c r="AA152" s="4"/>
      <c r="AB152" s="4"/>
    </row>
    <row r="153" spans="1:88" x14ac:dyDescent="0.2">
      <c r="A153" s="4">
        <v>50</v>
      </c>
      <c r="B153" s="4">
        <v>0</v>
      </c>
      <c r="C153" s="4">
        <v>0</v>
      </c>
      <c r="D153" s="4">
        <v>1</v>
      </c>
      <c r="E153" s="4">
        <v>208</v>
      </c>
      <c r="F153" s="4">
        <f>ROUND(Source!V130,O153)</f>
        <v>0</v>
      </c>
      <c r="G153" s="4" t="s">
        <v>64</v>
      </c>
      <c r="H153" s="4" t="s">
        <v>65</v>
      </c>
      <c r="I153" s="4"/>
      <c r="J153" s="4"/>
      <c r="K153" s="4">
        <v>208</v>
      </c>
      <c r="L153" s="4">
        <v>22</v>
      </c>
      <c r="M153" s="4">
        <v>3</v>
      </c>
      <c r="N153" s="4" t="s">
        <v>6</v>
      </c>
      <c r="O153" s="4">
        <v>7</v>
      </c>
      <c r="P153" s="4"/>
      <c r="Q153" s="4"/>
      <c r="R153" s="4"/>
      <c r="S153" s="4"/>
      <c r="T153" s="4"/>
      <c r="U153" s="4"/>
      <c r="V153" s="4"/>
      <c r="W153" s="4">
        <v>0</v>
      </c>
      <c r="X153" s="4">
        <v>1</v>
      </c>
      <c r="Y153" s="4">
        <v>0</v>
      </c>
      <c r="Z153" s="4"/>
      <c r="AA153" s="4"/>
      <c r="AB153" s="4"/>
    </row>
    <row r="154" spans="1:88" x14ac:dyDescent="0.2">
      <c r="A154" s="4">
        <v>50</v>
      </c>
      <c r="B154" s="4">
        <v>0</v>
      </c>
      <c r="C154" s="4">
        <v>0</v>
      </c>
      <c r="D154" s="4">
        <v>1</v>
      </c>
      <c r="E154" s="4">
        <v>209</v>
      </c>
      <c r="F154" s="4">
        <f>ROUND(Source!W130,O154)</f>
        <v>0</v>
      </c>
      <c r="G154" s="4" t="s">
        <v>66</v>
      </c>
      <c r="H154" s="4" t="s">
        <v>67</v>
      </c>
      <c r="I154" s="4"/>
      <c r="J154" s="4"/>
      <c r="K154" s="4">
        <v>209</v>
      </c>
      <c r="L154" s="4">
        <v>23</v>
      </c>
      <c r="M154" s="4">
        <v>3</v>
      </c>
      <c r="N154" s="4" t="s">
        <v>6</v>
      </c>
      <c r="O154" s="4">
        <v>0</v>
      </c>
      <c r="P154" s="4"/>
      <c r="Q154" s="4"/>
      <c r="R154" s="4"/>
      <c r="S154" s="4"/>
      <c r="T154" s="4"/>
      <c r="U154" s="4"/>
      <c r="V154" s="4"/>
      <c r="W154" s="4">
        <v>0</v>
      </c>
      <c r="X154" s="4">
        <v>1</v>
      </c>
      <c r="Y154" s="4">
        <v>0</v>
      </c>
      <c r="Z154" s="4"/>
      <c r="AA154" s="4"/>
      <c r="AB154" s="4"/>
    </row>
    <row r="155" spans="1:88" x14ac:dyDescent="0.2">
      <c r="A155" s="4">
        <v>50</v>
      </c>
      <c r="B155" s="4">
        <v>0</v>
      </c>
      <c r="C155" s="4">
        <v>0</v>
      </c>
      <c r="D155" s="4">
        <v>1</v>
      </c>
      <c r="E155" s="4">
        <v>233</v>
      </c>
      <c r="F155" s="4">
        <f>ROUND(Source!BD130,O155)</f>
        <v>0</v>
      </c>
      <c r="G155" s="4" t="s">
        <v>68</v>
      </c>
      <c r="H155" s="4" t="s">
        <v>69</v>
      </c>
      <c r="I155" s="4"/>
      <c r="J155" s="4"/>
      <c r="K155" s="4">
        <v>233</v>
      </c>
      <c r="L155" s="4">
        <v>24</v>
      </c>
      <c r="M155" s="4">
        <v>3</v>
      </c>
      <c r="N155" s="4" t="s">
        <v>6</v>
      </c>
      <c r="O155" s="4">
        <v>0</v>
      </c>
      <c r="P155" s="4"/>
      <c r="Q155" s="4"/>
      <c r="R155" s="4"/>
      <c r="S155" s="4"/>
      <c r="T155" s="4"/>
      <c r="U155" s="4"/>
      <c r="V155" s="4"/>
      <c r="W155" s="4">
        <v>0</v>
      </c>
      <c r="X155" s="4">
        <v>1</v>
      </c>
      <c r="Y155" s="4">
        <v>0</v>
      </c>
      <c r="Z155" s="4"/>
      <c r="AA155" s="4"/>
      <c r="AB155" s="4"/>
    </row>
    <row r="156" spans="1:88" x14ac:dyDescent="0.2">
      <c r="A156" s="4">
        <v>50</v>
      </c>
      <c r="B156" s="4">
        <v>0</v>
      </c>
      <c r="C156" s="4">
        <v>0</v>
      </c>
      <c r="D156" s="4">
        <v>1</v>
      </c>
      <c r="E156" s="4">
        <v>210</v>
      </c>
      <c r="F156" s="4">
        <f>ROUND(Source!X130,O156)</f>
        <v>0</v>
      </c>
      <c r="G156" s="4" t="s">
        <v>70</v>
      </c>
      <c r="H156" s="4" t="s">
        <v>71</v>
      </c>
      <c r="I156" s="4"/>
      <c r="J156" s="4"/>
      <c r="K156" s="4">
        <v>210</v>
      </c>
      <c r="L156" s="4">
        <v>25</v>
      </c>
      <c r="M156" s="4">
        <v>3</v>
      </c>
      <c r="N156" s="4" t="s">
        <v>6</v>
      </c>
      <c r="O156" s="4">
        <v>0</v>
      </c>
      <c r="P156" s="4"/>
      <c r="Q156" s="4"/>
      <c r="R156" s="4"/>
      <c r="S156" s="4"/>
      <c r="T156" s="4"/>
      <c r="U156" s="4"/>
      <c r="V156" s="4"/>
      <c r="W156" s="4">
        <v>0</v>
      </c>
      <c r="X156" s="4">
        <v>1</v>
      </c>
      <c r="Y156" s="4">
        <v>0</v>
      </c>
      <c r="Z156" s="4"/>
      <c r="AA156" s="4"/>
      <c r="AB156" s="4"/>
    </row>
    <row r="157" spans="1:88" x14ac:dyDescent="0.2">
      <c r="A157" s="4">
        <v>50</v>
      </c>
      <c r="B157" s="4">
        <v>0</v>
      </c>
      <c r="C157" s="4">
        <v>0</v>
      </c>
      <c r="D157" s="4">
        <v>1</v>
      </c>
      <c r="E157" s="4">
        <v>211</v>
      </c>
      <c r="F157" s="4">
        <f>ROUND(Source!Y130,O157)</f>
        <v>0</v>
      </c>
      <c r="G157" s="4" t="s">
        <v>72</v>
      </c>
      <c r="H157" s="4" t="s">
        <v>73</v>
      </c>
      <c r="I157" s="4"/>
      <c r="J157" s="4"/>
      <c r="K157" s="4">
        <v>211</v>
      </c>
      <c r="L157" s="4">
        <v>26</v>
      </c>
      <c r="M157" s="4">
        <v>3</v>
      </c>
      <c r="N157" s="4" t="s">
        <v>6</v>
      </c>
      <c r="O157" s="4">
        <v>0</v>
      </c>
      <c r="P157" s="4"/>
      <c r="Q157" s="4"/>
      <c r="R157" s="4"/>
      <c r="S157" s="4"/>
      <c r="T157" s="4"/>
      <c r="U157" s="4"/>
      <c r="V157" s="4"/>
      <c r="W157" s="4">
        <v>0</v>
      </c>
      <c r="X157" s="4">
        <v>1</v>
      </c>
      <c r="Y157" s="4">
        <v>0</v>
      </c>
      <c r="Z157" s="4"/>
      <c r="AA157" s="4"/>
      <c r="AB157" s="4"/>
    </row>
    <row r="158" spans="1:88" x14ac:dyDescent="0.2">
      <c r="A158" s="4">
        <v>50</v>
      </c>
      <c r="B158" s="4">
        <v>0</v>
      </c>
      <c r="C158" s="4">
        <v>0</v>
      </c>
      <c r="D158" s="4">
        <v>1</v>
      </c>
      <c r="E158" s="4">
        <v>224</v>
      </c>
      <c r="F158" s="4">
        <f>ROUND(Source!AR130,O158)</f>
        <v>0</v>
      </c>
      <c r="G158" s="4" t="s">
        <v>74</v>
      </c>
      <c r="H158" s="4" t="s">
        <v>75</v>
      </c>
      <c r="I158" s="4"/>
      <c r="J158" s="4"/>
      <c r="K158" s="4">
        <v>224</v>
      </c>
      <c r="L158" s="4">
        <v>27</v>
      </c>
      <c r="M158" s="4">
        <v>3</v>
      </c>
      <c r="N158" s="4" t="s">
        <v>6</v>
      </c>
      <c r="O158" s="4">
        <v>0</v>
      </c>
      <c r="P158" s="4"/>
      <c r="Q158" s="4"/>
      <c r="R158" s="4"/>
      <c r="S158" s="4"/>
      <c r="T158" s="4"/>
      <c r="U158" s="4"/>
      <c r="V158" s="4"/>
      <c r="W158" s="4">
        <v>0</v>
      </c>
      <c r="X158" s="4">
        <v>1</v>
      </c>
      <c r="Y158" s="4">
        <v>0</v>
      </c>
      <c r="Z158" s="4"/>
      <c r="AA158" s="4"/>
      <c r="AB158" s="4"/>
    </row>
    <row r="160" spans="1:88" x14ac:dyDescent="0.2">
      <c r="A160" s="1">
        <v>4</v>
      </c>
      <c r="B160" s="1">
        <v>1</v>
      </c>
      <c r="C160" s="1"/>
      <c r="D160" s="1">
        <f>ROW(A164)</f>
        <v>164</v>
      </c>
      <c r="E160" s="1"/>
      <c r="F160" s="1" t="s">
        <v>82</v>
      </c>
      <c r="G160" s="1" t="s">
        <v>83</v>
      </c>
      <c r="H160" s="1" t="s">
        <v>6</v>
      </c>
      <c r="I160" s="1">
        <v>0</v>
      </c>
      <c r="J160" s="1"/>
      <c r="K160" s="1">
        <v>-1</v>
      </c>
      <c r="L160" s="1"/>
      <c r="M160" s="1" t="s">
        <v>6</v>
      </c>
      <c r="N160" s="1"/>
      <c r="O160" s="1"/>
      <c r="P160" s="1"/>
      <c r="Q160" s="1"/>
      <c r="R160" s="1"/>
      <c r="S160" s="1">
        <v>0</v>
      </c>
      <c r="T160" s="1"/>
      <c r="U160" s="1" t="s">
        <v>6</v>
      </c>
      <c r="V160" s="1">
        <v>0</v>
      </c>
      <c r="W160" s="1"/>
      <c r="X160" s="1"/>
      <c r="Y160" s="1"/>
      <c r="Z160" s="1"/>
      <c r="AA160" s="1"/>
      <c r="AB160" s="1" t="s">
        <v>6</v>
      </c>
      <c r="AC160" s="1" t="s">
        <v>6</v>
      </c>
      <c r="AD160" s="1" t="s">
        <v>6</v>
      </c>
      <c r="AE160" s="1" t="s">
        <v>6</v>
      </c>
      <c r="AF160" s="1" t="s">
        <v>6</v>
      </c>
      <c r="AG160" s="1" t="s">
        <v>6</v>
      </c>
      <c r="AH160" s="1"/>
      <c r="AI160" s="1"/>
      <c r="AJ160" s="1"/>
      <c r="AK160" s="1"/>
      <c r="AL160" s="1"/>
      <c r="AM160" s="1"/>
      <c r="AN160" s="1"/>
      <c r="AO160" s="1"/>
      <c r="AP160" s="1" t="s">
        <v>6</v>
      </c>
      <c r="AQ160" s="1" t="s">
        <v>6</v>
      </c>
      <c r="AR160" s="1" t="s">
        <v>6</v>
      </c>
      <c r="AS160" s="1"/>
      <c r="AT160" s="1"/>
      <c r="AU160" s="1"/>
      <c r="AV160" s="1"/>
      <c r="AW160" s="1"/>
      <c r="AX160" s="1"/>
      <c r="AY160" s="1"/>
      <c r="AZ160" s="1" t="s">
        <v>6</v>
      </c>
      <c r="BA160" s="1"/>
      <c r="BB160" s="1" t="s">
        <v>6</v>
      </c>
      <c r="BC160" s="1" t="s">
        <v>6</v>
      </c>
      <c r="BD160" s="1" t="s">
        <v>6</v>
      </c>
      <c r="BE160" s="1" t="s">
        <v>6</v>
      </c>
      <c r="BF160" s="1" t="s">
        <v>6</v>
      </c>
      <c r="BG160" s="1" t="s">
        <v>6</v>
      </c>
      <c r="BH160" s="1" t="s">
        <v>6</v>
      </c>
      <c r="BI160" s="1" t="s">
        <v>6</v>
      </c>
      <c r="BJ160" s="1" t="s">
        <v>6</v>
      </c>
      <c r="BK160" s="1" t="s">
        <v>6</v>
      </c>
      <c r="BL160" s="1" t="s">
        <v>6</v>
      </c>
      <c r="BM160" s="1" t="s">
        <v>6</v>
      </c>
      <c r="BN160" s="1" t="s">
        <v>6</v>
      </c>
      <c r="BO160" s="1" t="s">
        <v>6</v>
      </c>
      <c r="BP160" s="1" t="s">
        <v>6</v>
      </c>
      <c r="BQ160" s="1"/>
      <c r="BR160" s="1"/>
      <c r="BS160" s="1"/>
      <c r="BT160" s="1"/>
      <c r="BU160" s="1"/>
      <c r="BV160" s="1"/>
      <c r="BW160" s="1"/>
      <c r="BX160" s="1">
        <v>0</v>
      </c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>
        <v>0</v>
      </c>
    </row>
    <row r="162" spans="1:206" x14ac:dyDescent="0.2">
      <c r="A162" s="2">
        <v>52</v>
      </c>
      <c r="B162" s="2">
        <f t="shared" ref="B162:G162" si="50">B164</f>
        <v>1</v>
      </c>
      <c r="C162" s="2">
        <f t="shared" si="50"/>
        <v>4</v>
      </c>
      <c r="D162" s="2">
        <f t="shared" si="50"/>
        <v>160</v>
      </c>
      <c r="E162" s="2">
        <f t="shared" si="50"/>
        <v>0</v>
      </c>
      <c r="F162" s="2" t="str">
        <f t="shared" si="50"/>
        <v>11</v>
      </c>
      <c r="G162" s="2" t="str">
        <f t="shared" si="50"/>
        <v>БЛОК САНУЗЛОВ 5 (3-ий ЭТАЖ)</v>
      </c>
      <c r="H162" s="2"/>
      <c r="I162" s="2"/>
      <c r="J162" s="2"/>
      <c r="K162" s="2"/>
      <c r="L162" s="2"/>
      <c r="M162" s="2"/>
      <c r="N162" s="2"/>
      <c r="O162" s="2">
        <f t="shared" ref="O162:AT162" si="51">O164</f>
        <v>0</v>
      </c>
      <c r="P162" s="2">
        <f t="shared" si="51"/>
        <v>0</v>
      </c>
      <c r="Q162" s="2">
        <f t="shared" si="51"/>
        <v>0</v>
      </c>
      <c r="R162" s="2">
        <f t="shared" si="51"/>
        <v>0</v>
      </c>
      <c r="S162" s="2">
        <f t="shared" si="51"/>
        <v>0</v>
      </c>
      <c r="T162" s="2">
        <f t="shared" si="51"/>
        <v>0</v>
      </c>
      <c r="U162" s="2">
        <f t="shared" si="51"/>
        <v>0</v>
      </c>
      <c r="V162" s="2">
        <f t="shared" si="51"/>
        <v>0</v>
      </c>
      <c r="W162" s="2">
        <f t="shared" si="51"/>
        <v>0</v>
      </c>
      <c r="X162" s="2">
        <f t="shared" si="51"/>
        <v>0</v>
      </c>
      <c r="Y162" s="2">
        <f t="shared" si="51"/>
        <v>0</v>
      </c>
      <c r="Z162" s="2">
        <f t="shared" si="51"/>
        <v>0</v>
      </c>
      <c r="AA162" s="2">
        <f t="shared" si="51"/>
        <v>0</v>
      </c>
      <c r="AB162" s="2">
        <f t="shared" si="51"/>
        <v>0</v>
      </c>
      <c r="AC162" s="2">
        <f t="shared" si="51"/>
        <v>0</v>
      </c>
      <c r="AD162" s="2">
        <f t="shared" si="51"/>
        <v>0</v>
      </c>
      <c r="AE162" s="2">
        <f t="shared" si="51"/>
        <v>0</v>
      </c>
      <c r="AF162" s="2">
        <f t="shared" si="51"/>
        <v>0</v>
      </c>
      <c r="AG162" s="2">
        <f t="shared" si="51"/>
        <v>0</v>
      </c>
      <c r="AH162" s="2">
        <f t="shared" si="51"/>
        <v>0</v>
      </c>
      <c r="AI162" s="2">
        <f t="shared" si="51"/>
        <v>0</v>
      </c>
      <c r="AJ162" s="2">
        <f t="shared" si="51"/>
        <v>0</v>
      </c>
      <c r="AK162" s="2">
        <f t="shared" si="51"/>
        <v>0</v>
      </c>
      <c r="AL162" s="2">
        <f t="shared" si="51"/>
        <v>0</v>
      </c>
      <c r="AM162" s="2">
        <f t="shared" si="51"/>
        <v>0</v>
      </c>
      <c r="AN162" s="2">
        <f t="shared" si="51"/>
        <v>0</v>
      </c>
      <c r="AO162" s="2">
        <f t="shared" si="51"/>
        <v>0</v>
      </c>
      <c r="AP162" s="2">
        <f t="shared" si="51"/>
        <v>0</v>
      </c>
      <c r="AQ162" s="2">
        <f t="shared" si="51"/>
        <v>0</v>
      </c>
      <c r="AR162" s="2">
        <f t="shared" si="51"/>
        <v>0</v>
      </c>
      <c r="AS162" s="2">
        <f t="shared" si="51"/>
        <v>0</v>
      </c>
      <c r="AT162" s="2">
        <f t="shared" si="51"/>
        <v>0</v>
      </c>
      <c r="AU162" s="2">
        <f t="shared" ref="AU162:BZ162" si="52">AU164</f>
        <v>0</v>
      </c>
      <c r="AV162" s="2">
        <f t="shared" si="52"/>
        <v>0</v>
      </c>
      <c r="AW162" s="2">
        <f t="shared" si="52"/>
        <v>0</v>
      </c>
      <c r="AX162" s="2">
        <f t="shared" si="52"/>
        <v>0</v>
      </c>
      <c r="AY162" s="2">
        <f t="shared" si="52"/>
        <v>0</v>
      </c>
      <c r="AZ162" s="2">
        <f t="shared" si="52"/>
        <v>0</v>
      </c>
      <c r="BA162" s="2">
        <f t="shared" si="52"/>
        <v>0</v>
      </c>
      <c r="BB162" s="2">
        <f t="shared" si="52"/>
        <v>0</v>
      </c>
      <c r="BC162" s="2">
        <f t="shared" si="52"/>
        <v>0</v>
      </c>
      <c r="BD162" s="2">
        <f t="shared" si="52"/>
        <v>0</v>
      </c>
      <c r="BE162" s="2">
        <f t="shared" si="52"/>
        <v>0</v>
      </c>
      <c r="BF162" s="2">
        <f t="shared" si="52"/>
        <v>0</v>
      </c>
      <c r="BG162" s="2">
        <f t="shared" si="52"/>
        <v>0</v>
      </c>
      <c r="BH162" s="2">
        <f t="shared" si="52"/>
        <v>0</v>
      </c>
      <c r="BI162" s="2">
        <f t="shared" si="52"/>
        <v>0</v>
      </c>
      <c r="BJ162" s="2">
        <f t="shared" si="52"/>
        <v>0</v>
      </c>
      <c r="BK162" s="2">
        <f t="shared" si="52"/>
        <v>0</v>
      </c>
      <c r="BL162" s="2">
        <f t="shared" si="52"/>
        <v>0</v>
      </c>
      <c r="BM162" s="2">
        <f t="shared" si="52"/>
        <v>0</v>
      </c>
      <c r="BN162" s="2">
        <f t="shared" si="52"/>
        <v>0</v>
      </c>
      <c r="BO162" s="2">
        <f t="shared" si="52"/>
        <v>0</v>
      </c>
      <c r="BP162" s="2">
        <f t="shared" si="52"/>
        <v>0</v>
      </c>
      <c r="BQ162" s="2">
        <f t="shared" si="52"/>
        <v>0</v>
      </c>
      <c r="BR162" s="2">
        <f t="shared" si="52"/>
        <v>0</v>
      </c>
      <c r="BS162" s="2">
        <f t="shared" si="52"/>
        <v>0</v>
      </c>
      <c r="BT162" s="2">
        <f t="shared" si="52"/>
        <v>0</v>
      </c>
      <c r="BU162" s="2">
        <f t="shared" si="52"/>
        <v>0</v>
      </c>
      <c r="BV162" s="2">
        <f t="shared" si="52"/>
        <v>0</v>
      </c>
      <c r="BW162" s="2">
        <f t="shared" si="52"/>
        <v>0</v>
      </c>
      <c r="BX162" s="2">
        <f t="shared" si="52"/>
        <v>0</v>
      </c>
      <c r="BY162" s="2">
        <f t="shared" si="52"/>
        <v>0</v>
      </c>
      <c r="BZ162" s="2">
        <f t="shared" si="52"/>
        <v>0</v>
      </c>
      <c r="CA162" s="2">
        <f t="shared" ref="CA162:DF162" si="53">CA164</f>
        <v>0</v>
      </c>
      <c r="CB162" s="2">
        <f t="shared" si="53"/>
        <v>0</v>
      </c>
      <c r="CC162" s="2">
        <f t="shared" si="53"/>
        <v>0</v>
      </c>
      <c r="CD162" s="2">
        <f t="shared" si="53"/>
        <v>0</v>
      </c>
      <c r="CE162" s="2">
        <f t="shared" si="53"/>
        <v>0</v>
      </c>
      <c r="CF162" s="2">
        <f t="shared" si="53"/>
        <v>0</v>
      </c>
      <c r="CG162" s="2">
        <f t="shared" si="53"/>
        <v>0</v>
      </c>
      <c r="CH162" s="2">
        <f t="shared" si="53"/>
        <v>0</v>
      </c>
      <c r="CI162" s="2">
        <f t="shared" si="53"/>
        <v>0</v>
      </c>
      <c r="CJ162" s="2">
        <f t="shared" si="53"/>
        <v>0</v>
      </c>
      <c r="CK162" s="2">
        <f t="shared" si="53"/>
        <v>0</v>
      </c>
      <c r="CL162" s="2">
        <f t="shared" si="53"/>
        <v>0</v>
      </c>
      <c r="CM162" s="2">
        <f t="shared" si="53"/>
        <v>0</v>
      </c>
      <c r="CN162" s="2">
        <f t="shared" si="53"/>
        <v>0</v>
      </c>
      <c r="CO162" s="2">
        <f t="shared" si="53"/>
        <v>0</v>
      </c>
      <c r="CP162" s="2">
        <f t="shared" si="53"/>
        <v>0</v>
      </c>
      <c r="CQ162" s="2">
        <f t="shared" si="53"/>
        <v>0</v>
      </c>
      <c r="CR162" s="2">
        <f t="shared" si="53"/>
        <v>0</v>
      </c>
      <c r="CS162" s="2">
        <f t="shared" si="53"/>
        <v>0</v>
      </c>
      <c r="CT162" s="2">
        <f t="shared" si="53"/>
        <v>0</v>
      </c>
      <c r="CU162" s="2">
        <f t="shared" si="53"/>
        <v>0</v>
      </c>
      <c r="CV162" s="2">
        <f t="shared" si="53"/>
        <v>0</v>
      </c>
      <c r="CW162" s="2">
        <f t="shared" si="53"/>
        <v>0</v>
      </c>
      <c r="CX162" s="2">
        <f t="shared" si="53"/>
        <v>0</v>
      </c>
      <c r="CY162" s="2">
        <f t="shared" si="53"/>
        <v>0</v>
      </c>
      <c r="CZ162" s="2">
        <f t="shared" si="53"/>
        <v>0</v>
      </c>
      <c r="DA162" s="2">
        <f t="shared" si="53"/>
        <v>0</v>
      </c>
      <c r="DB162" s="2">
        <f t="shared" si="53"/>
        <v>0</v>
      </c>
      <c r="DC162" s="2">
        <f t="shared" si="53"/>
        <v>0</v>
      </c>
      <c r="DD162" s="2">
        <f t="shared" si="53"/>
        <v>0</v>
      </c>
      <c r="DE162" s="2">
        <f t="shared" si="53"/>
        <v>0</v>
      </c>
      <c r="DF162" s="2">
        <f t="shared" si="53"/>
        <v>0</v>
      </c>
      <c r="DG162" s="3">
        <f t="shared" ref="DG162:EL162" si="54">DG164</f>
        <v>0</v>
      </c>
      <c r="DH162" s="3">
        <f t="shared" si="54"/>
        <v>0</v>
      </c>
      <c r="DI162" s="3">
        <f t="shared" si="54"/>
        <v>0</v>
      </c>
      <c r="DJ162" s="3">
        <f t="shared" si="54"/>
        <v>0</v>
      </c>
      <c r="DK162" s="3">
        <f t="shared" si="54"/>
        <v>0</v>
      </c>
      <c r="DL162" s="3">
        <f t="shared" si="54"/>
        <v>0</v>
      </c>
      <c r="DM162" s="3">
        <f t="shared" si="54"/>
        <v>0</v>
      </c>
      <c r="DN162" s="3">
        <f t="shared" si="54"/>
        <v>0</v>
      </c>
      <c r="DO162" s="3">
        <f t="shared" si="54"/>
        <v>0</v>
      </c>
      <c r="DP162" s="3">
        <f t="shared" si="54"/>
        <v>0</v>
      </c>
      <c r="DQ162" s="3">
        <f t="shared" si="54"/>
        <v>0</v>
      </c>
      <c r="DR162" s="3">
        <f t="shared" si="54"/>
        <v>0</v>
      </c>
      <c r="DS162" s="3">
        <f t="shared" si="54"/>
        <v>0</v>
      </c>
      <c r="DT162" s="3">
        <f t="shared" si="54"/>
        <v>0</v>
      </c>
      <c r="DU162" s="3">
        <f t="shared" si="54"/>
        <v>0</v>
      </c>
      <c r="DV162" s="3">
        <f t="shared" si="54"/>
        <v>0</v>
      </c>
      <c r="DW162" s="3">
        <f t="shared" si="54"/>
        <v>0</v>
      </c>
      <c r="DX162" s="3">
        <f t="shared" si="54"/>
        <v>0</v>
      </c>
      <c r="DY162" s="3">
        <f t="shared" si="54"/>
        <v>0</v>
      </c>
      <c r="DZ162" s="3">
        <f t="shared" si="54"/>
        <v>0</v>
      </c>
      <c r="EA162" s="3">
        <f t="shared" si="54"/>
        <v>0</v>
      </c>
      <c r="EB162" s="3">
        <f t="shared" si="54"/>
        <v>0</v>
      </c>
      <c r="EC162" s="3">
        <f t="shared" si="54"/>
        <v>0</v>
      </c>
      <c r="ED162" s="3">
        <f t="shared" si="54"/>
        <v>0</v>
      </c>
      <c r="EE162" s="3">
        <f t="shared" si="54"/>
        <v>0</v>
      </c>
      <c r="EF162" s="3">
        <f t="shared" si="54"/>
        <v>0</v>
      </c>
      <c r="EG162" s="3">
        <f t="shared" si="54"/>
        <v>0</v>
      </c>
      <c r="EH162" s="3">
        <f t="shared" si="54"/>
        <v>0</v>
      </c>
      <c r="EI162" s="3">
        <f t="shared" si="54"/>
        <v>0</v>
      </c>
      <c r="EJ162" s="3">
        <f t="shared" si="54"/>
        <v>0</v>
      </c>
      <c r="EK162" s="3">
        <f t="shared" si="54"/>
        <v>0</v>
      </c>
      <c r="EL162" s="3">
        <f t="shared" si="54"/>
        <v>0</v>
      </c>
      <c r="EM162" s="3">
        <f t="shared" ref="EM162:FR162" si="55">EM164</f>
        <v>0</v>
      </c>
      <c r="EN162" s="3">
        <f t="shared" si="55"/>
        <v>0</v>
      </c>
      <c r="EO162" s="3">
        <f t="shared" si="55"/>
        <v>0</v>
      </c>
      <c r="EP162" s="3">
        <f t="shared" si="55"/>
        <v>0</v>
      </c>
      <c r="EQ162" s="3">
        <f t="shared" si="55"/>
        <v>0</v>
      </c>
      <c r="ER162" s="3">
        <f t="shared" si="55"/>
        <v>0</v>
      </c>
      <c r="ES162" s="3">
        <f t="shared" si="55"/>
        <v>0</v>
      </c>
      <c r="ET162" s="3">
        <f t="shared" si="55"/>
        <v>0</v>
      </c>
      <c r="EU162" s="3">
        <f t="shared" si="55"/>
        <v>0</v>
      </c>
      <c r="EV162" s="3">
        <f t="shared" si="55"/>
        <v>0</v>
      </c>
      <c r="EW162" s="3">
        <f t="shared" si="55"/>
        <v>0</v>
      </c>
      <c r="EX162" s="3">
        <f t="shared" si="55"/>
        <v>0</v>
      </c>
      <c r="EY162" s="3">
        <f t="shared" si="55"/>
        <v>0</v>
      </c>
      <c r="EZ162" s="3">
        <f t="shared" si="55"/>
        <v>0</v>
      </c>
      <c r="FA162" s="3">
        <f t="shared" si="55"/>
        <v>0</v>
      </c>
      <c r="FB162" s="3">
        <f t="shared" si="55"/>
        <v>0</v>
      </c>
      <c r="FC162" s="3">
        <f t="shared" si="55"/>
        <v>0</v>
      </c>
      <c r="FD162" s="3">
        <f t="shared" si="55"/>
        <v>0</v>
      </c>
      <c r="FE162" s="3">
        <f t="shared" si="55"/>
        <v>0</v>
      </c>
      <c r="FF162" s="3">
        <f t="shared" si="55"/>
        <v>0</v>
      </c>
      <c r="FG162" s="3">
        <f t="shared" si="55"/>
        <v>0</v>
      </c>
      <c r="FH162" s="3">
        <f t="shared" si="55"/>
        <v>0</v>
      </c>
      <c r="FI162" s="3">
        <f t="shared" si="55"/>
        <v>0</v>
      </c>
      <c r="FJ162" s="3">
        <f t="shared" si="55"/>
        <v>0</v>
      </c>
      <c r="FK162" s="3">
        <f t="shared" si="55"/>
        <v>0</v>
      </c>
      <c r="FL162" s="3">
        <f t="shared" si="55"/>
        <v>0</v>
      </c>
      <c r="FM162" s="3">
        <f t="shared" si="55"/>
        <v>0</v>
      </c>
      <c r="FN162" s="3">
        <f t="shared" si="55"/>
        <v>0</v>
      </c>
      <c r="FO162" s="3">
        <f t="shared" si="55"/>
        <v>0</v>
      </c>
      <c r="FP162" s="3">
        <f t="shared" si="55"/>
        <v>0</v>
      </c>
      <c r="FQ162" s="3">
        <f t="shared" si="55"/>
        <v>0</v>
      </c>
      <c r="FR162" s="3">
        <f t="shared" si="55"/>
        <v>0</v>
      </c>
      <c r="FS162" s="3">
        <f t="shared" ref="FS162:GX162" si="56">FS164</f>
        <v>0</v>
      </c>
      <c r="FT162" s="3">
        <f t="shared" si="56"/>
        <v>0</v>
      </c>
      <c r="FU162" s="3">
        <f t="shared" si="56"/>
        <v>0</v>
      </c>
      <c r="FV162" s="3">
        <f t="shared" si="56"/>
        <v>0</v>
      </c>
      <c r="FW162" s="3">
        <f t="shared" si="56"/>
        <v>0</v>
      </c>
      <c r="FX162" s="3">
        <f t="shared" si="56"/>
        <v>0</v>
      </c>
      <c r="FY162" s="3">
        <f t="shared" si="56"/>
        <v>0</v>
      </c>
      <c r="FZ162" s="3">
        <f t="shared" si="56"/>
        <v>0</v>
      </c>
      <c r="GA162" s="3">
        <f t="shared" si="56"/>
        <v>0</v>
      </c>
      <c r="GB162" s="3">
        <f t="shared" si="56"/>
        <v>0</v>
      </c>
      <c r="GC162" s="3">
        <f t="shared" si="56"/>
        <v>0</v>
      </c>
      <c r="GD162" s="3">
        <f t="shared" si="56"/>
        <v>0</v>
      </c>
      <c r="GE162" s="3">
        <f t="shared" si="56"/>
        <v>0</v>
      </c>
      <c r="GF162" s="3">
        <f t="shared" si="56"/>
        <v>0</v>
      </c>
      <c r="GG162" s="3">
        <f t="shared" si="56"/>
        <v>0</v>
      </c>
      <c r="GH162" s="3">
        <f t="shared" si="56"/>
        <v>0</v>
      </c>
      <c r="GI162" s="3">
        <f t="shared" si="56"/>
        <v>0</v>
      </c>
      <c r="GJ162" s="3">
        <f t="shared" si="56"/>
        <v>0</v>
      </c>
      <c r="GK162" s="3">
        <f t="shared" si="56"/>
        <v>0</v>
      </c>
      <c r="GL162" s="3">
        <f t="shared" si="56"/>
        <v>0</v>
      </c>
      <c r="GM162" s="3">
        <f t="shared" si="56"/>
        <v>0</v>
      </c>
      <c r="GN162" s="3">
        <f t="shared" si="56"/>
        <v>0</v>
      </c>
      <c r="GO162" s="3">
        <f t="shared" si="56"/>
        <v>0</v>
      </c>
      <c r="GP162" s="3">
        <f t="shared" si="56"/>
        <v>0</v>
      </c>
      <c r="GQ162" s="3">
        <f t="shared" si="56"/>
        <v>0</v>
      </c>
      <c r="GR162" s="3">
        <f t="shared" si="56"/>
        <v>0</v>
      </c>
      <c r="GS162" s="3">
        <f t="shared" si="56"/>
        <v>0</v>
      </c>
      <c r="GT162" s="3">
        <f t="shared" si="56"/>
        <v>0</v>
      </c>
      <c r="GU162" s="3">
        <f t="shared" si="56"/>
        <v>0</v>
      </c>
      <c r="GV162" s="3">
        <f t="shared" si="56"/>
        <v>0</v>
      </c>
      <c r="GW162" s="3">
        <f t="shared" si="56"/>
        <v>0</v>
      </c>
      <c r="GX162" s="3">
        <f t="shared" si="56"/>
        <v>0</v>
      </c>
    </row>
    <row r="164" spans="1:206" x14ac:dyDescent="0.2">
      <c r="A164" s="2">
        <v>51</v>
      </c>
      <c r="B164" s="2">
        <f>B160</f>
        <v>1</v>
      </c>
      <c r="C164" s="2">
        <f>A160</f>
        <v>4</v>
      </c>
      <c r="D164" s="2">
        <f>ROW(A160)</f>
        <v>160</v>
      </c>
      <c r="E164" s="2"/>
      <c r="F164" s="2" t="str">
        <f>IF(F160&lt;&gt;"",F160,"")</f>
        <v>11</v>
      </c>
      <c r="G164" s="2" t="str">
        <f>IF(G160&lt;&gt;"",G160,"")</f>
        <v>БЛОК САНУЗЛОВ 5 (3-ий ЭТАЖ)</v>
      </c>
      <c r="H164" s="2">
        <v>0</v>
      </c>
      <c r="I164" s="2"/>
      <c r="J164" s="2"/>
      <c r="K164" s="2"/>
      <c r="L164" s="2"/>
      <c r="M164" s="2"/>
      <c r="N164" s="2"/>
      <c r="O164" s="2">
        <f t="shared" ref="O164:Y164" si="57">AB164</f>
        <v>0</v>
      </c>
      <c r="P164" s="2">
        <f t="shared" si="57"/>
        <v>0</v>
      </c>
      <c r="Q164" s="2">
        <f t="shared" si="57"/>
        <v>0</v>
      </c>
      <c r="R164" s="2">
        <f t="shared" si="57"/>
        <v>0</v>
      </c>
      <c r="S164" s="2">
        <f t="shared" si="57"/>
        <v>0</v>
      </c>
      <c r="T164" s="2">
        <f t="shared" si="57"/>
        <v>0</v>
      </c>
      <c r="U164" s="2">
        <f t="shared" si="57"/>
        <v>0</v>
      </c>
      <c r="V164" s="2">
        <f t="shared" si="57"/>
        <v>0</v>
      </c>
      <c r="W164" s="2">
        <f t="shared" si="57"/>
        <v>0</v>
      </c>
      <c r="X164" s="2">
        <f t="shared" si="57"/>
        <v>0</v>
      </c>
      <c r="Y164" s="2">
        <f t="shared" si="57"/>
        <v>0</v>
      </c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>
        <f t="shared" ref="AO164:BD164" si="58">BX164</f>
        <v>0</v>
      </c>
      <c r="AP164" s="2">
        <f t="shared" si="58"/>
        <v>0</v>
      </c>
      <c r="AQ164" s="2">
        <f t="shared" si="58"/>
        <v>0</v>
      </c>
      <c r="AR164" s="2">
        <f t="shared" si="58"/>
        <v>0</v>
      </c>
      <c r="AS164" s="2">
        <f t="shared" si="58"/>
        <v>0</v>
      </c>
      <c r="AT164" s="2">
        <f t="shared" si="58"/>
        <v>0</v>
      </c>
      <c r="AU164" s="2">
        <f t="shared" si="58"/>
        <v>0</v>
      </c>
      <c r="AV164" s="2">
        <f t="shared" si="58"/>
        <v>0</v>
      </c>
      <c r="AW164" s="2">
        <f t="shared" si="58"/>
        <v>0</v>
      </c>
      <c r="AX164" s="2">
        <f t="shared" si="58"/>
        <v>0</v>
      </c>
      <c r="AY164" s="2">
        <f t="shared" si="58"/>
        <v>0</v>
      </c>
      <c r="AZ164" s="2">
        <f t="shared" si="58"/>
        <v>0</v>
      </c>
      <c r="BA164" s="2">
        <f t="shared" si="58"/>
        <v>0</v>
      </c>
      <c r="BB164" s="2">
        <f t="shared" si="58"/>
        <v>0</v>
      </c>
      <c r="BC164" s="2">
        <f t="shared" si="58"/>
        <v>0</v>
      </c>
      <c r="BD164" s="2">
        <f t="shared" si="58"/>
        <v>0</v>
      </c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>
        <v>0</v>
      </c>
    </row>
    <row r="166" spans="1:206" x14ac:dyDescent="0.2">
      <c r="A166" s="4">
        <v>50</v>
      </c>
      <c r="B166" s="4">
        <v>0</v>
      </c>
      <c r="C166" s="4">
        <v>0</v>
      </c>
      <c r="D166" s="4">
        <v>1</v>
      </c>
      <c r="E166" s="4">
        <v>201</v>
      </c>
      <c r="F166" s="4">
        <f>ROUND(Source!O164,O166)</f>
        <v>0</v>
      </c>
      <c r="G166" s="4" t="s">
        <v>22</v>
      </c>
      <c r="H166" s="4" t="s">
        <v>23</v>
      </c>
      <c r="I166" s="4"/>
      <c r="J166" s="4"/>
      <c r="K166" s="4">
        <v>201</v>
      </c>
      <c r="L166" s="4">
        <v>1</v>
      </c>
      <c r="M166" s="4">
        <v>3</v>
      </c>
      <c r="N166" s="4" t="s">
        <v>6</v>
      </c>
      <c r="O166" s="4">
        <v>0</v>
      </c>
      <c r="P166" s="4"/>
      <c r="Q166" s="4"/>
      <c r="R166" s="4"/>
      <c r="S166" s="4"/>
      <c r="T166" s="4"/>
      <c r="U166" s="4"/>
      <c r="V166" s="4"/>
      <c r="W166" s="4">
        <v>0</v>
      </c>
      <c r="X166" s="4">
        <v>1</v>
      </c>
      <c r="Y166" s="4">
        <v>0</v>
      </c>
      <c r="Z166" s="4"/>
      <c r="AA166" s="4"/>
      <c r="AB166" s="4"/>
    </row>
    <row r="167" spans="1:206" x14ac:dyDescent="0.2">
      <c r="A167" s="4">
        <v>50</v>
      </c>
      <c r="B167" s="4">
        <v>0</v>
      </c>
      <c r="C167" s="4">
        <v>0</v>
      </c>
      <c r="D167" s="4">
        <v>1</v>
      </c>
      <c r="E167" s="4">
        <v>202</v>
      </c>
      <c r="F167" s="4">
        <f>ROUND(Source!P164,O167)</f>
        <v>0</v>
      </c>
      <c r="G167" s="4" t="s">
        <v>24</v>
      </c>
      <c r="H167" s="4" t="s">
        <v>25</v>
      </c>
      <c r="I167" s="4"/>
      <c r="J167" s="4"/>
      <c r="K167" s="4">
        <v>202</v>
      </c>
      <c r="L167" s="4">
        <v>2</v>
      </c>
      <c r="M167" s="4">
        <v>3</v>
      </c>
      <c r="N167" s="4" t="s">
        <v>6</v>
      </c>
      <c r="O167" s="4">
        <v>0</v>
      </c>
      <c r="P167" s="4"/>
      <c r="Q167" s="4"/>
      <c r="R167" s="4"/>
      <c r="S167" s="4"/>
      <c r="T167" s="4"/>
      <c r="U167" s="4"/>
      <c r="V167" s="4"/>
      <c r="W167" s="4">
        <v>0</v>
      </c>
      <c r="X167" s="4">
        <v>1</v>
      </c>
      <c r="Y167" s="4">
        <v>0</v>
      </c>
      <c r="Z167" s="4"/>
      <c r="AA167" s="4"/>
      <c r="AB167" s="4"/>
    </row>
    <row r="168" spans="1:206" x14ac:dyDescent="0.2">
      <c r="A168" s="4">
        <v>50</v>
      </c>
      <c r="B168" s="4">
        <v>0</v>
      </c>
      <c r="C168" s="4">
        <v>0</v>
      </c>
      <c r="D168" s="4">
        <v>1</v>
      </c>
      <c r="E168" s="4">
        <v>222</v>
      </c>
      <c r="F168" s="4">
        <f>ROUND(Source!AO164,O168)</f>
        <v>0</v>
      </c>
      <c r="G168" s="4" t="s">
        <v>26</v>
      </c>
      <c r="H168" s="4" t="s">
        <v>27</v>
      </c>
      <c r="I168" s="4"/>
      <c r="J168" s="4"/>
      <c r="K168" s="4">
        <v>222</v>
      </c>
      <c r="L168" s="4">
        <v>3</v>
      </c>
      <c r="M168" s="4">
        <v>3</v>
      </c>
      <c r="N168" s="4" t="s">
        <v>6</v>
      </c>
      <c r="O168" s="4">
        <v>0</v>
      </c>
      <c r="P168" s="4"/>
      <c r="Q168" s="4"/>
      <c r="R168" s="4"/>
      <c r="S168" s="4"/>
      <c r="T168" s="4"/>
      <c r="U168" s="4"/>
      <c r="V168" s="4"/>
      <c r="W168" s="4">
        <v>0</v>
      </c>
      <c r="X168" s="4">
        <v>1</v>
      </c>
      <c r="Y168" s="4">
        <v>0</v>
      </c>
      <c r="Z168" s="4"/>
      <c r="AA168" s="4"/>
      <c r="AB168" s="4"/>
    </row>
    <row r="169" spans="1:206" x14ac:dyDescent="0.2">
      <c r="A169" s="4">
        <v>50</v>
      </c>
      <c r="B169" s="4">
        <v>0</v>
      </c>
      <c r="C169" s="4">
        <v>0</v>
      </c>
      <c r="D169" s="4">
        <v>1</v>
      </c>
      <c r="E169" s="4">
        <v>225</v>
      </c>
      <c r="F169" s="4">
        <f>ROUND(Source!AV164,O169)</f>
        <v>0</v>
      </c>
      <c r="G169" s="4" t="s">
        <v>28</v>
      </c>
      <c r="H169" s="4" t="s">
        <v>29</v>
      </c>
      <c r="I169" s="4"/>
      <c r="J169" s="4"/>
      <c r="K169" s="4">
        <v>225</v>
      </c>
      <c r="L169" s="4">
        <v>4</v>
      </c>
      <c r="M169" s="4">
        <v>3</v>
      </c>
      <c r="N169" s="4" t="s">
        <v>6</v>
      </c>
      <c r="O169" s="4">
        <v>0</v>
      </c>
      <c r="P169" s="4"/>
      <c r="Q169" s="4"/>
      <c r="R169" s="4"/>
      <c r="S169" s="4"/>
      <c r="T169" s="4"/>
      <c r="U169" s="4"/>
      <c r="V169" s="4"/>
      <c r="W169" s="4">
        <v>0</v>
      </c>
      <c r="X169" s="4">
        <v>1</v>
      </c>
      <c r="Y169" s="4">
        <v>0</v>
      </c>
      <c r="Z169" s="4"/>
      <c r="AA169" s="4"/>
      <c r="AB169" s="4"/>
    </row>
    <row r="170" spans="1:206" x14ac:dyDescent="0.2">
      <c r="A170" s="4">
        <v>50</v>
      </c>
      <c r="B170" s="4">
        <v>0</v>
      </c>
      <c r="C170" s="4">
        <v>0</v>
      </c>
      <c r="D170" s="4">
        <v>1</v>
      </c>
      <c r="E170" s="4">
        <v>226</v>
      </c>
      <c r="F170" s="4">
        <f>ROUND(Source!AW164,O170)</f>
        <v>0</v>
      </c>
      <c r="G170" s="4" t="s">
        <v>30</v>
      </c>
      <c r="H170" s="4" t="s">
        <v>31</v>
      </c>
      <c r="I170" s="4"/>
      <c r="J170" s="4"/>
      <c r="K170" s="4">
        <v>226</v>
      </c>
      <c r="L170" s="4">
        <v>5</v>
      </c>
      <c r="M170" s="4">
        <v>3</v>
      </c>
      <c r="N170" s="4" t="s">
        <v>6</v>
      </c>
      <c r="O170" s="4">
        <v>0</v>
      </c>
      <c r="P170" s="4"/>
      <c r="Q170" s="4"/>
      <c r="R170" s="4"/>
      <c r="S170" s="4"/>
      <c r="T170" s="4"/>
      <c r="U170" s="4"/>
      <c r="V170" s="4"/>
      <c r="W170" s="4">
        <v>0</v>
      </c>
      <c r="X170" s="4">
        <v>1</v>
      </c>
      <c r="Y170" s="4">
        <v>0</v>
      </c>
      <c r="Z170" s="4"/>
      <c r="AA170" s="4"/>
      <c r="AB170" s="4"/>
    </row>
    <row r="171" spans="1:206" x14ac:dyDescent="0.2">
      <c r="A171" s="4">
        <v>50</v>
      </c>
      <c r="B171" s="4">
        <v>0</v>
      </c>
      <c r="C171" s="4">
        <v>0</v>
      </c>
      <c r="D171" s="4">
        <v>1</v>
      </c>
      <c r="E171" s="4">
        <v>227</v>
      </c>
      <c r="F171" s="4">
        <f>ROUND(Source!AX164,O171)</f>
        <v>0</v>
      </c>
      <c r="G171" s="4" t="s">
        <v>32</v>
      </c>
      <c r="H171" s="4" t="s">
        <v>33</v>
      </c>
      <c r="I171" s="4"/>
      <c r="J171" s="4"/>
      <c r="K171" s="4">
        <v>227</v>
      </c>
      <c r="L171" s="4">
        <v>6</v>
      </c>
      <c r="M171" s="4">
        <v>3</v>
      </c>
      <c r="N171" s="4" t="s">
        <v>6</v>
      </c>
      <c r="O171" s="4">
        <v>0</v>
      </c>
      <c r="P171" s="4"/>
      <c r="Q171" s="4"/>
      <c r="R171" s="4"/>
      <c r="S171" s="4"/>
      <c r="T171" s="4"/>
      <c r="U171" s="4"/>
      <c r="V171" s="4"/>
      <c r="W171" s="4">
        <v>0</v>
      </c>
      <c r="X171" s="4">
        <v>1</v>
      </c>
      <c r="Y171" s="4">
        <v>0</v>
      </c>
      <c r="Z171" s="4"/>
      <c r="AA171" s="4"/>
      <c r="AB171" s="4"/>
    </row>
    <row r="172" spans="1:206" x14ac:dyDescent="0.2">
      <c r="A172" s="4">
        <v>50</v>
      </c>
      <c r="B172" s="4">
        <v>0</v>
      </c>
      <c r="C172" s="4">
        <v>0</v>
      </c>
      <c r="D172" s="4">
        <v>1</v>
      </c>
      <c r="E172" s="4">
        <v>228</v>
      </c>
      <c r="F172" s="4">
        <f>ROUND(Source!AY164,O172)</f>
        <v>0</v>
      </c>
      <c r="G172" s="4" t="s">
        <v>34</v>
      </c>
      <c r="H172" s="4" t="s">
        <v>35</v>
      </c>
      <c r="I172" s="4"/>
      <c r="J172" s="4"/>
      <c r="K172" s="4">
        <v>228</v>
      </c>
      <c r="L172" s="4">
        <v>7</v>
      </c>
      <c r="M172" s="4">
        <v>3</v>
      </c>
      <c r="N172" s="4" t="s">
        <v>6</v>
      </c>
      <c r="O172" s="4">
        <v>0</v>
      </c>
      <c r="P172" s="4"/>
      <c r="Q172" s="4"/>
      <c r="R172" s="4"/>
      <c r="S172" s="4"/>
      <c r="T172" s="4"/>
      <c r="U172" s="4"/>
      <c r="V172" s="4"/>
      <c r="W172" s="4">
        <v>0</v>
      </c>
      <c r="X172" s="4">
        <v>1</v>
      </c>
      <c r="Y172" s="4">
        <v>0</v>
      </c>
      <c r="Z172" s="4"/>
      <c r="AA172" s="4"/>
      <c r="AB172" s="4"/>
    </row>
    <row r="173" spans="1:206" x14ac:dyDescent="0.2">
      <c r="A173" s="4">
        <v>50</v>
      </c>
      <c r="B173" s="4">
        <v>0</v>
      </c>
      <c r="C173" s="4">
        <v>0</v>
      </c>
      <c r="D173" s="4">
        <v>1</v>
      </c>
      <c r="E173" s="4">
        <v>216</v>
      </c>
      <c r="F173" s="4">
        <f>ROUND(Source!AP164,O173)</f>
        <v>0</v>
      </c>
      <c r="G173" s="4" t="s">
        <v>36</v>
      </c>
      <c r="H173" s="4" t="s">
        <v>37</v>
      </c>
      <c r="I173" s="4"/>
      <c r="J173" s="4"/>
      <c r="K173" s="4">
        <v>216</v>
      </c>
      <c r="L173" s="4">
        <v>8</v>
      </c>
      <c r="M173" s="4">
        <v>3</v>
      </c>
      <c r="N173" s="4" t="s">
        <v>6</v>
      </c>
      <c r="O173" s="4">
        <v>0</v>
      </c>
      <c r="P173" s="4"/>
      <c r="Q173" s="4"/>
      <c r="R173" s="4"/>
      <c r="S173" s="4"/>
      <c r="T173" s="4"/>
      <c r="U173" s="4"/>
      <c r="V173" s="4"/>
      <c r="W173" s="4">
        <v>0</v>
      </c>
      <c r="X173" s="4">
        <v>1</v>
      </c>
      <c r="Y173" s="4">
        <v>0</v>
      </c>
      <c r="Z173" s="4"/>
      <c r="AA173" s="4"/>
      <c r="AB173" s="4"/>
    </row>
    <row r="174" spans="1:206" x14ac:dyDescent="0.2">
      <c r="A174" s="4">
        <v>50</v>
      </c>
      <c r="B174" s="4">
        <v>0</v>
      </c>
      <c r="C174" s="4">
        <v>0</v>
      </c>
      <c r="D174" s="4">
        <v>1</v>
      </c>
      <c r="E174" s="4">
        <v>223</v>
      </c>
      <c r="F174" s="4">
        <f>ROUND(Source!AQ164,O174)</f>
        <v>0</v>
      </c>
      <c r="G174" s="4" t="s">
        <v>38</v>
      </c>
      <c r="H174" s="4" t="s">
        <v>39</v>
      </c>
      <c r="I174" s="4"/>
      <c r="J174" s="4"/>
      <c r="K174" s="4">
        <v>223</v>
      </c>
      <c r="L174" s="4">
        <v>9</v>
      </c>
      <c r="M174" s="4">
        <v>3</v>
      </c>
      <c r="N174" s="4" t="s">
        <v>6</v>
      </c>
      <c r="O174" s="4">
        <v>0</v>
      </c>
      <c r="P174" s="4"/>
      <c r="Q174" s="4"/>
      <c r="R174" s="4"/>
      <c r="S174" s="4"/>
      <c r="T174" s="4"/>
      <c r="U174" s="4"/>
      <c r="V174" s="4"/>
      <c r="W174" s="4">
        <v>0</v>
      </c>
      <c r="X174" s="4">
        <v>1</v>
      </c>
      <c r="Y174" s="4">
        <v>0</v>
      </c>
      <c r="Z174" s="4"/>
      <c r="AA174" s="4"/>
      <c r="AB174" s="4"/>
    </row>
    <row r="175" spans="1:206" x14ac:dyDescent="0.2">
      <c r="A175" s="4">
        <v>50</v>
      </c>
      <c r="B175" s="4">
        <v>0</v>
      </c>
      <c r="C175" s="4">
        <v>0</v>
      </c>
      <c r="D175" s="4">
        <v>1</v>
      </c>
      <c r="E175" s="4">
        <v>229</v>
      </c>
      <c r="F175" s="4">
        <f>ROUND(Source!AZ164,O175)</f>
        <v>0</v>
      </c>
      <c r="G175" s="4" t="s">
        <v>40</v>
      </c>
      <c r="H175" s="4" t="s">
        <v>41</v>
      </c>
      <c r="I175" s="4"/>
      <c r="J175" s="4"/>
      <c r="K175" s="4">
        <v>229</v>
      </c>
      <c r="L175" s="4">
        <v>10</v>
      </c>
      <c r="M175" s="4">
        <v>3</v>
      </c>
      <c r="N175" s="4" t="s">
        <v>6</v>
      </c>
      <c r="O175" s="4">
        <v>0</v>
      </c>
      <c r="P175" s="4"/>
      <c r="Q175" s="4"/>
      <c r="R175" s="4"/>
      <c r="S175" s="4"/>
      <c r="T175" s="4"/>
      <c r="U175" s="4"/>
      <c r="V175" s="4"/>
      <c r="W175" s="4">
        <v>0</v>
      </c>
      <c r="X175" s="4">
        <v>1</v>
      </c>
      <c r="Y175" s="4">
        <v>0</v>
      </c>
      <c r="Z175" s="4"/>
      <c r="AA175" s="4"/>
      <c r="AB175" s="4"/>
    </row>
    <row r="176" spans="1:206" x14ac:dyDescent="0.2">
      <c r="A176" s="4">
        <v>50</v>
      </c>
      <c r="B176" s="4">
        <v>0</v>
      </c>
      <c r="C176" s="4">
        <v>0</v>
      </c>
      <c r="D176" s="4">
        <v>1</v>
      </c>
      <c r="E176" s="4">
        <v>203</v>
      </c>
      <c r="F176" s="4">
        <f>ROUND(Source!Q164,O176)</f>
        <v>0</v>
      </c>
      <c r="G176" s="4" t="s">
        <v>42</v>
      </c>
      <c r="H176" s="4" t="s">
        <v>43</v>
      </c>
      <c r="I176" s="4"/>
      <c r="J176" s="4"/>
      <c r="K176" s="4">
        <v>203</v>
      </c>
      <c r="L176" s="4">
        <v>11</v>
      </c>
      <c r="M176" s="4">
        <v>3</v>
      </c>
      <c r="N176" s="4" t="s">
        <v>6</v>
      </c>
      <c r="O176" s="4">
        <v>0</v>
      </c>
      <c r="P176" s="4"/>
      <c r="Q176" s="4"/>
      <c r="R176" s="4"/>
      <c r="S176" s="4"/>
      <c r="T176" s="4"/>
      <c r="U176" s="4"/>
      <c r="V176" s="4"/>
      <c r="W176" s="4">
        <v>0</v>
      </c>
      <c r="X176" s="4">
        <v>1</v>
      </c>
      <c r="Y176" s="4">
        <v>0</v>
      </c>
      <c r="Z176" s="4"/>
      <c r="AA176" s="4"/>
      <c r="AB176" s="4"/>
    </row>
    <row r="177" spans="1:28" x14ac:dyDescent="0.2">
      <c r="A177" s="4">
        <v>50</v>
      </c>
      <c r="B177" s="4">
        <v>0</v>
      </c>
      <c r="C177" s="4">
        <v>0</v>
      </c>
      <c r="D177" s="4">
        <v>1</v>
      </c>
      <c r="E177" s="4">
        <v>231</v>
      </c>
      <c r="F177" s="4">
        <f>ROUND(Source!BB164,O177)</f>
        <v>0</v>
      </c>
      <c r="G177" s="4" t="s">
        <v>44</v>
      </c>
      <c r="H177" s="4" t="s">
        <v>45</v>
      </c>
      <c r="I177" s="4"/>
      <c r="J177" s="4"/>
      <c r="K177" s="4">
        <v>231</v>
      </c>
      <c r="L177" s="4">
        <v>12</v>
      </c>
      <c r="M177" s="4">
        <v>3</v>
      </c>
      <c r="N177" s="4" t="s">
        <v>6</v>
      </c>
      <c r="O177" s="4">
        <v>0</v>
      </c>
      <c r="P177" s="4"/>
      <c r="Q177" s="4"/>
      <c r="R177" s="4"/>
      <c r="S177" s="4"/>
      <c r="T177" s="4"/>
      <c r="U177" s="4"/>
      <c r="V177" s="4"/>
      <c r="W177" s="4">
        <v>0</v>
      </c>
      <c r="X177" s="4">
        <v>1</v>
      </c>
      <c r="Y177" s="4">
        <v>0</v>
      </c>
      <c r="Z177" s="4"/>
      <c r="AA177" s="4"/>
      <c r="AB177" s="4"/>
    </row>
    <row r="178" spans="1:28" x14ac:dyDescent="0.2">
      <c r="A178" s="4">
        <v>50</v>
      </c>
      <c r="B178" s="4">
        <v>0</v>
      </c>
      <c r="C178" s="4">
        <v>0</v>
      </c>
      <c r="D178" s="4">
        <v>1</v>
      </c>
      <c r="E178" s="4">
        <v>204</v>
      </c>
      <c r="F178" s="4">
        <f>ROUND(Source!R164,O178)</f>
        <v>0</v>
      </c>
      <c r="G178" s="4" t="s">
        <v>46</v>
      </c>
      <c r="H178" s="4" t="s">
        <v>47</v>
      </c>
      <c r="I178" s="4"/>
      <c r="J178" s="4"/>
      <c r="K178" s="4">
        <v>204</v>
      </c>
      <c r="L178" s="4">
        <v>13</v>
      </c>
      <c r="M178" s="4">
        <v>3</v>
      </c>
      <c r="N178" s="4" t="s">
        <v>6</v>
      </c>
      <c r="O178" s="4">
        <v>0</v>
      </c>
      <c r="P178" s="4"/>
      <c r="Q178" s="4"/>
      <c r="R178" s="4"/>
      <c r="S178" s="4"/>
      <c r="T178" s="4"/>
      <c r="U178" s="4"/>
      <c r="V178" s="4"/>
      <c r="W178" s="4">
        <v>0</v>
      </c>
      <c r="X178" s="4">
        <v>1</v>
      </c>
      <c r="Y178" s="4">
        <v>0</v>
      </c>
      <c r="Z178" s="4"/>
      <c r="AA178" s="4"/>
      <c r="AB178" s="4"/>
    </row>
    <row r="179" spans="1:28" x14ac:dyDescent="0.2">
      <c r="A179" s="4">
        <v>50</v>
      </c>
      <c r="B179" s="4">
        <v>0</v>
      </c>
      <c r="C179" s="4">
        <v>0</v>
      </c>
      <c r="D179" s="4">
        <v>1</v>
      </c>
      <c r="E179" s="4">
        <v>205</v>
      </c>
      <c r="F179" s="4">
        <f>ROUND(Source!S164,O179)</f>
        <v>0</v>
      </c>
      <c r="G179" s="4" t="s">
        <v>48</v>
      </c>
      <c r="H179" s="4" t="s">
        <v>49</v>
      </c>
      <c r="I179" s="4"/>
      <c r="J179" s="4"/>
      <c r="K179" s="4">
        <v>205</v>
      </c>
      <c r="L179" s="4">
        <v>14</v>
      </c>
      <c r="M179" s="4">
        <v>3</v>
      </c>
      <c r="N179" s="4" t="s">
        <v>6</v>
      </c>
      <c r="O179" s="4">
        <v>0</v>
      </c>
      <c r="P179" s="4"/>
      <c r="Q179" s="4"/>
      <c r="R179" s="4"/>
      <c r="S179" s="4"/>
      <c r="T179" s="4"/>
      <c r="U179" s="4"/>
      <c r="V179" s="4"/>
      <c r="W179" s="4">
        <v>0</v>
      </c>
      <c r="X179" s="4">
        <v>1</v>
      </c>
      <c r="Y179" s="4">
        <v>0</v>
      </c>
      <c r="Z179" s="4"/>
      <c r="AA179" s="4"/>
      <c r="AB179" s="4"/>
    </row>
    <row r="180" spans="1:28" x14ac:dyDescent="0.2">
      <c r="A180" s="4">
        <v>50</v>
      </c>
      <c r="B180" s="4">
        <v>0</v>
      </c>
      <c r="C180" s="4">
        <v>0</v>
      </c>
      <c r="D180" s="4">
        <v>1</v>
      </c>
      <c r="E180" s="4">
        <v>232</v>
      </c>
      <c r="F180" s="4">
        <f>ROUND(Source!BC164,O180)</f>
        <v>0</v>
      </c>
      <c r="G180" s="4" t="s">
        <v>50</v>
      </c>
      <c r="H180" s="4" t="s">
        <v>51</v>
      </c>
      <c r="I180" s="4"/>
      <c r="J180" s="4"/>
      <c r="K180" s="4">
        <v>232</v>
      </c>
      <c r="L180" s="4">
        <v>15</v>
      </c>
      <c r="M180" s="4">
        <v>3</v>
      </c>
      <c r="N180" s="4" t="s">
        <v>6</v>
      </c>
      <c r="O180" s="4">
        <v>0</v>
      </c>
      <c r="P180" s="4"/>
      <c r="Q180" s="4"/>
      <c r="R180" s="4"/>
      <c r="S180" s="4"/>
      <c r="T180" s="4"/>
      <c r="U180" s="4"/>
      <c r="V180" s="4"/>
      <c r="W180" s="4">
        <v>0</v>
      </c>
      <c r="X180" s="4">
        <v>1</v>
      </c>
      <c r="Y180" s="4">
        <v>0</v>
      </c>
      <c r="Z180" s="4"/>
      <c r="AA180" s="4"/>
      <c r="AB180" s="4"/>
    </row>
    <row r="181" spans="1:28" x14ac:dyDescent="0.2">
      <c r="A181" s="4">
        <v>50</v>
      </c>
      <c r="B181" s="4">
        <v>0</v>
      </c>
      <c r="C181" s="4">
        <v>0</v>
      </c>
      <c r="D181" s="4">
        <v>1</v>
      </c>
      <c r="E181" s="4">
        <v>214</v>
      </c>
      <c r="F181" s="4">
        <f>ROUND(Source!AS164,O181)</f>
        <v>0</v>
      </c>
      <c r="G181" s="4" t="s">
        <v>52</v>
      </c>
      <c r="H181" s="4" t="s">
        <v>53</v>
      </c>
      <c r="I181" s="4"/>
      <c r="J181" s="4"/>
      <c r="K181" s="4">
        <v>214</v>
      </c>
      <c r="L181" s="4">
        <v>16</v>
      </c>
      <c r="M181" s="4">
        <v>3</v>
      </c>
      <c r="N181" s="4" t="s">
        <v>6</v>
      </c>
      <c r="O181" s="4">
        <v>0</v>
      </c>
      <c r="P181" s="4"/>
      <c r="Q181" s="4"/>
      <c r="R181" s="4"/>
      <c r="S181" s="4"/>
      <c r="T181" s="4"/>
      <c r="U181" s="4"/>
      <c r="V181" s="4"/>
      <c r="W181" s="4">
        <v>0</v>
      </c>
      <c r="X181" s="4">
        <v>1</v>
      </c>
      <c r="Y181" s="4">
        <v>0</v>
      </c>
      <c r="Z181" s="4"/>
      <c r="AA181" s="4"/>
      <c r="AB181" s="4"/>
    </row>
    <row r="182" spans="1:28" x14ac:dyDescent="0.2">
      <c r="A182" s="4">
        <v>50</v>
      </c>
      <c r="B182" s="4">
        <v>0</v>
      </c>
      <c r="C182" s="4">
        <v>0</v>
      </c>
      <c r="D182" s="4">
        <v>1</v>
      </c>
      <c r="E182" s="4">
        <v>215</v>
      </c>
      <c r="F182" s="4">
        <f>ROUND(Source!AT164,O182)</f>
        <v>0</v>
      </c>
      <c r="G182" s="4" t="s">
        <v>54</v>
      </c>
      <c r="H182" s="4" t="s">
        <v>55</v>
      </c>
      <c r="I182" s="4"/>
      <c r="J182" s="4"/>
      <c r="K182" s="4">
        <v>215</v>
      </c>
      <c r="L182" s="4">
        <v>17</v>
      </c>
      <c r="M182" s="4">
        <v>3</v>
      </c>
      <c r="N182" s="4" t="s">
        <v>6</v>
      </c>
      <c r="O182" s="4">
        <v>0</v>
      </c>
      <c r="P182" s="4"/>
      <c r="Q182" s="4"/>
      <c r="R182" s="4"/>
      <c r="S182" s="4"/>
      <c r="T182" s="4"/>
      <c r="U182" s="4"/>
      <c r="V182" s="4"/>
      <c r="W182" s="4">
        <v>0</v>
      </c>
      <c r="X182" s="4">
        <v>1</v>
      </c>
      <c r="Y182" s="4">
        <v>0</v>
      </c>
      <c r="Z182" s="4"/>
      <c r="AA182" s="4"/>
      <c r="AB182" s="4"/>
    </row>
    <row r="183" spans="1:28" x14ac:dyDescent="0.2">
      <c r="A183" s="4">
        <v>50</v>
      </c>
      <c r="B183" s="4">
        <v>0</v>
      </c>
      <c r="C183" s="4">
        <v>0</v>
      </c>
      <c r="D183" s="4">
        <v>1</v>
      </c>
      <c r="E183" s="4">
        <v>217</v>
      </c>
      <c r="F183" s="4">
        <f>ROUND(Source!AU164,O183)</f>
        <v>0</v>
      </c>
      <c r="G183" s="4" t="s">
        <v>56</v>
      </c>
      <c r="H183" s="4" t="s">
        <v>57</v>
      </c>
      <c r="I183" s="4"/>
      <c r="J183" s="4"/>
      <c r="K183" s="4">
        <v>217</v>
      </c>
      <c r="L183" s="4">
        <v>18</v>
      </c>
      <c r="M183" s="4">
        <v>3</v>
      </c>
      <c r="N183" s="4" t="s">
        <v>6</v>
      </c>
      <c r="O183" s="4">
        <v>0</v>
      </c>
      <c r="P183" s="4"/>
      <c r="Q183" s="4"/>
      <c r="R183" s="4"/>
      <c r="S183" s="4"/>
      <c r="T183" s="4"/>
      <c r="U183" s="4"/>
      <c r="V183" s="4"/>
      <c r="W183" s="4">
        <v>0</v>
      </c>
      <c r="X183" s="4">
        <v>1</v>
      </c>
      <c r="Y183" s="4">
        <v>0</v>
      </c>
      <c r="Z183" s="4"/>
      <c r="AA183" s="4"/>
      <c r="AB183" s="4"/>
    </row>
    <row r="184" spans="1:28" x14ac:dyDescent="0.2">
      <c r="A184" s="4">
        <v>50</v>
      </c>
      <c r="B184" s="4">
        <v>0</v>
      </c>
      <c r="C184" s="4">
        <v>0</v>
      </c>
      <c r="D184" s="4">
        <v>1</v>
      </c>
      <c r="E184" s="4">
        <v>230</v>
      </c>
      <c r="F184" s="4">
        <f>ROUND(Source!BA164,O184)</f>
        <v>0</v>
      </c>
      <c r="G184" s="4" t="s">
        <v>58</v>
      </c>
      <c r="H184" s="4" t="s">
        <v>59</v>
      </c>
      <c r="I184" s="4"/>
      <c r="J184" s="4"/>
      <c r="K184" s="4">
        <v>230</v>
      </c>
      <c r="L184" s="4">
        <v>19</v>
      </c>
      <c r="M184" s="4">
        <v>3</v>
      </c>
      <c r="N184" s="4" t="s">
        <v>6</v>
      </c>
      <c r="O184" s="4">
        <v>0</v>
      </c>
      <c r="P184" s="4"/>
      <c r="Q184" s="4"/>
      <c r="R184" s="4"/>
      <c r="S184" s="4"/>
      <c r="T184" s="4"/>
      <c r="U184" s="4"/>
      <c r="V184" s="4"/>
      <c r="W184" s="4">
        <v>0</v>
      </c>
      <c r="X184" s="4">
        <v>1</v>
      </c>
      <c r="Y184" s="4">
        <v>0</v>
      </c>
      <c r="Z184" s="4"/>
      <c r="AA184" s="4"/>
      <c r="AB184" s="4"/>
    </row>
    <row r="185" spans="1:28" x14ac:dyDescent="0.2">
      <c r="A185" s="4">
        <v>50</v>
      </c>
      <c r="B185" s="4">
        <v>0</v>
      </c>
      <c r="C185" s="4">
        <v>0</v>
      </c>
      <c r="D185" s="4">
        <v>1</v>
      </c>
      <c r="E185" s="4">
        <v>206</v>
      </c>
      <c r="F185" s="4">
        <f>ROUND(Source!T164,O185)</f>
        <v>0</v>
      </c>
      <c r="G185" s="4" t="s">
        <v>60</v>
      </c>
      <c r="H185" s="4" t="s">
        <v>61</v>
      </c>
      <c r="I185" s="4"/>
      <c r="J185" s="4"/>
      <c r="K185" s="4">
        <v>206</v>
      </c>
      <c r="L185" s="4">
        <v>20</v>
      </c>
      <c r="M185" s="4">
        <v>3</v>
      </c>
      <c r="N185" s="4" t="s">
        <v>6</v>
      </c>
      <c r="O185" s="4">
        <v>0</v>
      </c>
      <c r="P185" s="4"/>
      <c r="Q185" s="4"/>
      <c r="R185" s="4"/>
      <c r="S185" s="4"/>
      <c r="T185" s="4"/>
      <c r="U185" s="4"/>
      <c r="V185" s="4"/>
      <c r="W185" s="4">
        <v>0</v>
      </c>
      <c r="X185" s="4">
        <v>1</v>
      </c>
      <c r="Y185" s="4">
        <v>0</v>
      </c>
      <c r="Z185" s="4"/>
      <c r="AA185" s="4"/>
      <c r="AB185" s="4"/>
    </row>
    <row r="186" spans="1:28" x14ac:dyDescent="0.2">
      <c r="A186" s="4">
        <v>50</v>
      </c>
      <c r="B186" s="4">
        <v>0</v>
      </c>
      <c r="C186" s="4">
        <v>0</v>
      </c>
      <c r="D186" s="4">
        <v>1</v>
      </c>
      <c r="E186" s="4">
        <v>207</v>
      </c>
      <c r="F186" s="4">
        <f>ROUND(Source!U164,O186)</f>
        <v>0</v>
      </c>
      <c r="G186" s="4" t="s">
        <v>62</v>
      </c>
      <c r="H186" s="4" t="s">
        <v>63</v>
      </c>
      <c r="I186" s="4"/>
      <c r="J186" s="4"/>
      <c r="K186" s="4">
        <v>207</v>
      </c>
      <c r="L186" s="4">
        <v>21</v>
      </c>
      <c r="M186" s="4">
        <v>3</v>
      </c>
      <c r="N186" s="4" t="s">
        <v>6</v>
      </c>
      <c r="O186" s="4">
        <v>7</v>
      </c>
      <c r="P186" s="4"/>
      <c r="Q186" s="4"/>
      <c r="R186" s="4"/>
      <c r="S186" s="4"/>
      <c r="T186" s="4"/>
      <c r="U186" s="4"/>
      <c r="V186" s="4"/>
      <c r="W186" s="4">
        <v>0</v>
      </c>
      <c r="X186" s="4">
        <v>1</v>
      </c>
      <c r="Y186" s="4">
        <v>0</v>
      </c>
      <c r="Z186" s="4"/>
      <c r="AA186" s="4"/>
      <c r="AB186" s="4"/>
    </row>
    <row r="187" spans="1:28" x14ac:dyDescent="0.2">
      <c r="A187" s="4">
        <v>50</v>
      </c>
      <c r="B187" s="4">
        <v>0</v>
      </c>
      <c r="C187" s="4">
        <v>0</v>
      </c>
      <c r="D187" s="4">
        <v>1</v>
      </c>
      <c r="E187" s="4">
        <v>208</v>
      </c>
      <c r="F187" s="4">
        <f>ROUND(Source!V164,O187)</f>
        <v>0</v>
      </c>
      <c r="G187" s="4" t="s">
        <v>64</v>
      </c>
      <c r="H187" s="4" t="s">
        <v>65</v>
      </c>
      <c r="I187" s="4"/>
      <c r="J187" s="4"/>
      <c r="K187" s="4">
        <v>208</v>
      </c>
      <c r="L187" s="4">
        <v>22</v>
      </c>
      <c r="M187" s="4">
        <v>3</v>
      </c>
      <c r="N187" s="4" t="s">
        <v>6</v>
      </c>
      <c r="O187" s="4">
        <v>7</v>
      </c>
      <c r="P187" s="4"/>
      <c r="Q187" s="4"/>
      <c r="R187" s="4"/>
      <c r="S187" s="4"/>
      <c r="T187" s="4"/>
      <c r="U187" s="4"/>
      <c r="V187" s="4"/>
      <c r="W187" s="4">
        <v>0</v>
      </c>
      <c r="X187" s="4">
        <v>1</v>
      </c>
      <c r="Y187" s="4">
        <v>0</v>
      </c>
      <c r="Z187" s="4"/>
      <c r="AA187" s="4"/>
      <c r="AB187" s="4"/>
    </row>
    <row r="188" spans="1:28" x14ac:dyDescent="0.2">
      <c r="A188" s="4">
        <v>50</v>
      </c>
      <c r="B188" s="4">
        <v>0</v>
      </c>
      <c r="C188" s="4">
        <v>0</v>
      </c>
      <c r="D188" s="4">
        <v>1</v>
      </c>
      <c r="E188" s="4">
        <v>209</v>
      </c>
      <c r="F188" s="4">
        <f>ROUND(Source!W164,O188)</f>
        <v>0</v>
      </c>
      <c r="G188" s="4" t="s">
        <v>66</v>
      </c>
      <c r="H188" s="4" t="s">
        <v>67</v>
      </c>
      <c r="I188" s="4"/>
      <c r="J188" s="4"/>
      <c r="K188" s="4">
        <v>209</v>
      </c>
      <c r="L188" s="4">
        <v>23</v>
      </c>
      <c r="M188" s="4">
        <v>3</v>
      </c>
      <c r="N188" s="4" t="s">
        <v>6</v>
      </c>
      <c r="O188" s="4">
        <v>0</v>
      </c>
      <c r="P188" s="4"/>
      <c r="Q188" s="4"/>
      <c r="R188" s="4"/>
      <c r="S188" s="4"/>
      <c r="T188" s="4"/>
      <c r="U188" s="4"/>
      <c r="V188" s="4"/>
      <c r="W188" s="4">
        <v>0</v>
      </c>
      <c r="X188" s="4">
        <v>1</v>
      </c>
      <c r="Y188" s="4">
        <v>0</v>
      </c>
      <c r="Z188" s="4"/>
      <c r="AA188" s="4"/>
      <c r="AB188" s="4"/>
    </row>
    <row r="189" spans="1:28" x14ac:dyDescent="0.2">
      <c r="A189" s="4">
        <v>50</v>
      </c>
      <c r="B189" s="4">
        <v>0</v>
      </c>
      <c r="C189" s="4">
        <v>0</v>
      </c>
      <c r="D189" s="4">
        <v>1</v>
      </c>
      <c r="E189" s="4">
        <v>233</v>
      </c>
      <c r="F189" s="4">
        <f>ROUND(Source!BD164,O189)</f>
        <v>0</v>
      </c>
      <c r="G189" s="4" t="s">
        <v>68</v>
      </c>
      <c r="H189" s="4" t="s">
        <v>69</v>
      </c>
      <c r="I189" s="4"/>
      <c r="J189" s="4"/>
      <c r="K189" s="4">
        <v>233</v>
      </c>
      <c r="L189" s="4">
        <v>24</v>
      </c>
      <c r="M189" s="4">
        <v>3</v>
      </c>
      <c r="N189" s="4" t="s">
        <v>6</v>
      </c>
      <c r="O189" s="4">
        <v>0</v>
      </c>
      <c r="P189" s="4"/>
      <c r="Q189" s="4"/>
      <c r="R189" s="4"/>
      <c r="S189" s="4"/>
      <c r="T189" s="4"/>
      <c r="U189" s="4"/>
      <c r="V189" s="4"/>
      <c r="W189" s="4">
        <v>0</v>
      </c>
      <c r="X189" s="4">
        <v>1</v>
      </c>
      <c r="Y189" s="4">
        <v>0</v>
      </c>
      <c r="Z189" s="4"/>
      <c r="AA189" s="4"/>
      <c r="AB189" s="4"/>
    </row>
    <row r="190" spans="1:28" x14ac:dyDescent="0.2">
      <c r="A190" s="4">
        <v>50</v>
      </c>
      <c r="B190" s="4">
        <v>0</v>
      </c>
      <c r="C190" s="4">
        <v>0</v>
      </c>
      <c r="D190" s="4">
        <v>1</v>
      </c>
      <c r="E190" s="4">
        <v>210</v>
      </c>
      <c r="F190" s="4">
        <f>ROUND(Source!X164,O190)</f>
        <v>0</v>
      </c>
      <c r="G190" s="4" t="s">
        <v>70</v>
      </c>
      <c r="H190" s="4" t="s">
        <v>71</v>
      </c>
      <c r="I190" s="4"/>
      <c r="J190" s="4"/>
      <c r="K190" s="4">
        <v>210</v>
      </c>
      <c r="L190" s="4">
        <v>25</v>
      </c>
      <c r="M190" s="4">
        <v>3</v>
      </c>
      <c r="N190" s="4" t="s">
        <v>6</v>
      </c>
      <c r="O190" s="4">
        <v>0</v>
      </c>
      <c r="P190" s="4"/>
      <c r="Q190" s="4"/>
      <c r="R190" s="4"/>
      <c r="S190" s="4"/>
      <c r="T190" s="4"/>
      <c r="U190" s="4"/>
      <c r="V190" s="4"/>
      <c r="W190" s="4">
        <v>0</v>
      </c>
      <c r="X190" s="4">
        <v>1</v>
      </c>
      <c r="Y190" s="4">
        <v>0</v>
      </c>
      <c r="Z190" s="4"/>
      <c r="AA190" s="4"/>
      <c r="AB190" s="4"/>
    </row>
    <row r="191" spans="1:28" x14ac:dyDescent="0.2">
      <c r="A191" s="4">
        <v>50</v>
      </c>
      <c r="B191" s="4">
        <v>0</v>
      </c>
      <c r="C191" s="4">
        <v>0</v>
      </c>
      <c r="D191" s="4">
        <v>1</v>
      </c>
      <c r="E191" s="4">
        <v>211</v>
      </c>
      <c r="F191" s="4">
        <f>ROUND(Source!Y164,O191)</f>
        <v>0</v>
      </c>
      <c r="G191" s="4" t="s">
        <v>72</v>
      </c>
      <c r="H191" s="4" t="s">
        <v>73</v>
      </c>
      <c r="I191" s="4"/>
      <c r="J191" s="4"/>
      <c r="K191" s="4">
        <v>211</v>
      </c>
      <c r="L191" s="4">
        <v>26</v>
      </c>
      <c r="M191" s="4">
        <v>3</v>
      </c>
      <c r="N191" s="4" t="s">
        <v>6</v>
      </c>
      <c r="O191" s="4">
        <v>0</v>
      </c>
      <c r="P191" s="4"/>
      <c r="Q191" s="4"/>
      <c r="R191" s="4"/>
      <c r="S191" s="4"/>
      <c r="T191" s="4"/>
      <c r="U191" s="4"/>
      <c r="V191" s="4"/>
      <c r="W191" s="4">
        <v>0</v>
      </c>
      <c r="X191" s="4">
        <v>1</v>
      </c>
      <c r="Y191" s="4">
        <v>0</v>
      </c>
      <c r="Z191" s="4"/>
      <c r="AA191" s="4"/>
      <c r="AB191" s="4"/>
    </row>
    <row r="192" spans="1:28" x14ac:dyDescent="0.2">
      <c r="A192" s="4">
        <v>50</v>
      </c>
      <c r="B192" s="4">
        <v>0</v>
      </c>
      <c r="C192" s="4">
        <v>0</v>
      </c>
      <c r="D192" s="4">
        <v>1</v>
      </c>
      <c r="E192" s="4">
        <v>224</v>
      </c>
      <c r="F192" s="4">
        <f>ROUND(Source!AR164,O192)</f>
        <v>0</v>
      </c>
      <c r="G192" s="4" t="s">
        <v>74</v>
      </c>
      <c r="H192" s="4" t="s">
        <v>75</v>
      </c>
      <c r="I192" s="4"/>
      <c r="J192" s="4"/>
      <c r="K192" s="4">
        <v>224</v>
      </c>
      <c r="L192" s="4">
        <v>27</v>
      </c>
      <c r="M192" s="4">
        <v>3</v>
      </c>
      <c r="N192" s="4" t="s">
        <v>6</v>
      </c>
      <c r="O192" s="4">
        <v>0</v>
      </c>
      <c r="P192" s="4"/>
      <c r="Q192" s="4"/>
      <c r="R192" s="4"/>
      <c r="S192" s="4"/>
      <c r="T192" s="4"/>
      <c r="U192" s="4"/>
      <c r="V192" s="4"/>
      <c r="W192" s="4">
        <v>0</v>
      </c>
      <c r="X192" s="4">
        <v>1</v>
      </c>
      <c r="Y192" s="4">
        <v>0</v>
      </c>
      <c r="Z192" s="4"/>
      <c r="AA192" s="4"/>
      <c r="AB192" s="4"/>
    </row>
    <row r="194" spans="1:206" x14ac:dyDescent="0.2">
      <c r="A194" s="1">
        <v>4</v>
      </c>
      <c r="B194" s="1">
        <v>1</v>
      </c>
      <c r="C194" s="1"/>
      <c r="D194" s="1">
        <f>ROW(A198)</f>
        <v>198</v>
      </c>
      <c r="E194" s="1"/>
      <c r="F194" s="1" t="s">
        <v>84</v>
      </c>
      <c r="G194" s="1" t="s">
        <v>85</v>
      </c>
      <c r="H194" s="1" t="s">
        <v>6</v>
      </c>
      <c r="I194" s="1">
        <v>0</v>
      </c>
      <c r="J194" s="1"/>
      <c r="K194" s="1">
        <v>-1</v>
      </c>
      <c r="L194" s="1"/>
      <c r="M194" s="1" t="s">
        <v>6</v>
      </c>
      <c r="N194" s="1"/>
      <c r="O194" s="1"/>
      <c r="P194" s="1"/>
      <c r="Q194" s="1"/>
      <c r="R194" s="1"/>
      <c r="S194" s="1">
        <v>0</v>
      </c>
      <c r="T194" s="1"/>
      <c r="U194" s="1" t="s">
        <v>6</v>
      </c>
      <c r="V194" s="1">
        <v>0</v>
      </c>
      <c r="W194" s="1"/>
      <c r="X194" s="1"/>
      <c r="Y194" s="1"/>
      <c r="Z194" s="1"/>
      <c r="AA194" s="1"/>
      <c r="AB194" s="1" t="s">
        <v>6</v>
      </c>
      <c r="AC194" s="1" t="s">
        <v>6</v>
      </c>
      <c r="AD194" s="1" t="s">
        <v>6</v>
      </c>
      <c r="AE194" s="1" t="s">
        <v>6</v>
      </c>
      <c r="AF194" s="1" t="s">
        <v>6</v>
      </c>
      <c r="AG194" s="1" t="s">
        <v>6</v>
      </c>
      <c r="AH194" s="1"/>
      <c r="AI194" s="1"/>
      <c r="AJ194" s="1"/>
      <c r="AK194" s="1"/>
      <c r="AL194" s="1"/>
      <c r="AM194" s="1"/>
      <c r="AN194" s="1"/>
      <c r="AO194" s="1"/>
      <c r="AP194" s="1" t="s">
        <v>6</v>
      </c>
      <c r="AQ194" s="1" t="s">
        <v>6</v>
      </c>
      <c r="AR194" s="1" t="s">
        <v>6</v>
      </c>
      <c r="AS194" s="1"/>
      <c r="AT194" s="1"/>
      <c r="AU194" s="1"/>
      <c r="AV194" s="1"/>
      <c r="AW194" s="1"/>
      <c r="AX194" s="1"/>
      <c r="AY194" s="1"/>
      <c r="AZ194" s="1" t="s">
        <v>6</v>
      </c>
      <c r="BA194" s="1"/>
      <c r="BB194" s="1" t="s">
        <v>6</v>
      </c>
      <c r="BC194" s="1" t="s">
        <v>6</v>
      </c>
      <c r="BD194" s="1" t="s">
        <v>6</v>
      </c>
      <c r="BE194" s="1" t="s">
        <v>6</v>
      </c>
      <c r="BF194" s="1" t="s">
        <v>6</v>
      </c>
      <c r="BG194" s="1" t="s">
        <v>6</v>
      </c>
      <c r="BH194" s="1" t="s">
        <v>6</v>
      </c>
      <c r="BI194" s="1" t="s">
        <v>6</v>
      </c>
      <c r="BJ194" s="1" t="s">
        <v>6</v>
      </c>
      <c r="BK194" s="1" t="s">
        <v>6</v>
      </c>
      <c r="BL194" s="1" t="s">
        <v>6</v>
      </c>
      <c r="BM194" s="1" t="s">
        <v>6</v>
      </c>
      <c r="BN194" s="1" t="s">
        <v>6</v>
      </c>
      <c r="BO194" s="1" t="s">
        <v>6</v>
      </c>
      <c r="BP194" s="1" t="s">
        <v>6</v>
      </c>
      <c r="BQ194" s="1"/>
      <c r="BR194" s="1"/>
      <c r="BS194" s="1"/>
      <c r="BT194" s="1"/>
      <c r="BU194" s="1"/>
      <c r="BV194" s="1"/>
      <c r="BW194" s="1"/>
      <c r="BX194" s="1">
        <v>0</v>
      </c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>
        <v>0</v>
      </c>
    </row>
    <row r="196" spans="1:206" x14ac:dyDescent="0.2">
      <c r="A196" s="2">
        <v>52</v>
      </c>
      <c r="B196" s="2">
        <f t="shared" ref="B196:G196" si="59">B198</f>
        <v>1</v>
      </c>
      <c r="C196" s="2">
        <f t="shared" si="59"/>
        <v>4</v>
      </c>
      <c r="D196" s="2">
        <f t="shared" si="59"/>
        <v>194</v>
      </c>
      <c r="E196" s="2">
        <f t="shared" si="59"/>
        <v>0</v>
      </c>
      <c r="F196" s="2" t="str">
        <f t="shared" si="59"/>
        <v>12</v>
      </c>
      <c r="G196" s="2" t="str">
        <f t="shared" si="59"/>
        <v>БЛОК САНУЗЛОВ 6 (3-ий ЭТАЖ)</v>
      </c>
      <c r="H196" s="2"/>
      <c r="I196" s="2"/>
      <c r="J196" s="2"/>
      <c r="K196" s="2"/>
      <c r="L196" s="2"/>
      <c r="M196" s="2"/>
      <c r="N196" s="2"/>
      <c r="O196" s="2">
        <f t="shared" ref="O196:AT196" si="60">O198</f>
        <v>0</v>
      </c>
      <c r="P196" s="2">
        <f t="shared" si="60"/>
        <v>0</v>
      </c>
      <c r="Q196" s="2">
        <f t="shared" si="60"/>
        <v>0</v>
      </c>
      <c r="R196" s="2">
        <f t="shared" si="60"/>
        <v>0</v>
      </c>
      <c r="S196" s="2">
        <f t="shared" si="60"/>
        <v>0</v>
      </c>
      <c r="T196" s="2">
        <f t="shared" si="60"/>
        <v>0</v>
      </c>
      <c r="U196" s="2">
        <f t="shared" si="60"/>
        <v>0</v>
      </c>
      <c r="V196" s="2">
        <f t="shared" si="60"/>
        <v>0</v>
      </c>
      <c r="W196" s="2">
        <f t="shared" si="60"/>
        <v>0</v>
      </c>
      <c r="X196" s="2">
        <f t="shared" si="60"/>
        <v>0</v>
      </c>
      <c r="Y196" s="2">
        <f t="shared" si="60"/>
        <v>0</v>
      </c>
      <c r="Z196" s="2">
        <f t="shared" si="60"/>
        <v>0</v>
      </c>
      <c r="AA196" s="2">
        <f t="shared" si="60"/>
        <v>0</v>
      </c>
      <c r="AB196" s="2">
        <f t="shared" si="60"/>
        <v>0</v>
      </c>
      <c r="AC196" s="2">
        <f t="shared" si="60"/>
        <v>0</v>
      </c>
      <c r="AD196" s="2">
        <f t="shared" si="60"/>
        <v>0</v>
      </c>
      <c r="AE196" s="2">
        <f t="shared" si="60"/>
        <v>0</v>
      </c>
      <c r="AF196" s="2">
        <f t="shared" si="60"/>
        <v>0</v>
      </c>
      <c r="AG196" s="2">
        <f t="shared" si="60"/>
        <v>0</v>
      </c>
      <c r="AH196" s="2">
        <f t="shared" si="60"/>
        <v>0</v>
      </c>
      <c r="AI196" s="2">
        <f t="shared" si="60"/>
        <v>0</v>
      </c>
      <c r="AJ196" s="2">
        <f t="shared" si="60"/>
        <v>0</v>
      </c>
      <c r="AK196" s="2">
        <f t="shared" si="60"/>
        <v>0</v>
      </c>
      <c r="AL196" s="2">
        <f t="shared" si="60"/>
        <v>0</v>
      </c>
      <c r="AM196" s="2">
        <f t="shared" si="60"/>
        <v>0</v>
      </c>
      <c r="AN196" s="2">
        <f t="shared" si="60"/>
        <v>0</v>
      </c>
      <c r="AO196" s="2">
        <f t="shared" si="60"/>
        <v>0</v>
      </c>
      <c r="AP196" s="2">
        <f t="shared" si="60"/>
        <v>0</v>
      </c>
      <c r="AQ196" s="2">
        <f t="shared" si="60"/>
        <v>0</v>
      </c>
      <c r="AR196" s="2">
        <f t="shared" si="60"/>
        <v>0</v>
      </c>
      <c r="AS196" s="2">
        <f t="shared" si="60"/>
        <v>0</v>
      </c>
      <c r="AT196" s="2">
        <f t="shared" si="60"/>
        <v>0</v>
      </c>
      <c r="AU196" s="2">
        <f t="shared" ref="AU196:BZ196" si="61">AU198</f>
        <v>0</v>
      </c>
      <c r="AV196" s="2">
        <f t="shared" si="61"/>
        <v>0</v>
      </c>
      <c r="AW196" s="2">
        <f t="shared" si="61"/>
        <v>0</v>
      </c>
      <c r="AX196" s="2">
        <f t="shared" si="61"/>
        <v>0</v>
      </c>
      <c r="AY196" s="2">
        <f t="shared" si="61"/>
        <v>0</v>
      </c>
      <c r="AZ196" s="2">
        <f t="shared" si="61"/>
        <v>0</v>
      </c>
      <c r="BA196" s="2">
        <f t="shared" si="61"/>
        <v>0</v>
      </c>
      <c r="BB196" s="2">
        <f t="shared" si="61"/>
        <v>0</v>
      </c>
      <c r="BC196" s="2">
        <f t="shared" si="61"/>
        <v>0</v>
      </c>
      <c r="BD196" s="2">
        <f t="shared" si="61"/>
        <v>0</v>
      </c>
      <c r="BE196" s="2">
        <f t="shared" si="61"/>
        <v>0</v>
      </c>
      <c r="BF196" s="2">
        <f t="shared" si="61"/>
        <v>0</v>
      </c>
      <c r="BG196" s="2">
        <f t="shared" si="61"/>
        <v>0</v>
      </c>
      <c r="BH196" s="2">
        <f t="shared" si="61"/>
        <v>0</v>
      </c>
      <c r="BI196" s="2">
        <f t="shared" si="61"/>
        <v>0</v>
      </c>
      <c r="BJ196" s="2">
        <f t="shared" si="61"/>
        <v>0</v>
      </c>
      <c r="BK196" s="2">
        <f t="shared" si="61"/>
        <v>0</v>
      </c>
      <c r="BL196" s="2">
        <f t="shared" si="61"/>
        <v>0</v>
      </c>
      <c r="BM196" s="2">
        <f t="shared" si="61"/>
        <v>0</v>
      </c>
      <c r="BN196" s="2">
        <f t="shared" si="61"/>
        <v>0</v>
      </c>
      <c r="BO196" s="2">
        <f t="shared" si="61"/>
        <v>0</v>
      </c>
      <c r="BP196" s="2">
        <f t="shared" si="61"/>
        <v>0</v>
      </c>
      <c r="BQ196" s="2">
        <f t="shared" si="61"/>
        <v>0</v>
      </c>
      <c r="BR196" s="2">
        <f t="shared" si="61"/>
        <v>0</v>
      </c>
      <c r="BS196" s="2">
        <f t="shared" si="61"/>
        <v>0</v>
      </c>
      <c r="BT196" s="2">
        <f t="shared" si="61"/>
        <v>0</v>
      </c>
      <c r="BU196" s="2">
        <f t="shared" si="61"/>
        <v>0</v>
      </c>
      <c r="BV196" s="2">
        <f t="shared" si="61"/>
        <v>0</v>
      </c>
      <c r="BW196" s="2">
        <f t="shared" si="61"/>
        <v>0</v>
      </c>
      <c r="BX196" s="2">
        <f t="shared" si="61"/>
        <v>0</v>
      </c>
      <c r="BY196" s="2">
        <f t="shared" si="61"/>
        <v>0</v>
      </c>
      <c r="BZ196" s="2">
        <f t="shared" si="61"/>
        <v>0</v>
      </c>
      <c r="CA196" s="2">
        <f t="shared" ref="CA196:DF196" si="62">CA198</f>
        <v>0</v>
      </c>
      <c r="CB196" s="2">
        <f t="shared" si="62"/>
        <v>0</v>
      </c>
      <c r="CC196" s="2">
        <f t="shared" si="62"/>
        <v>0</v>
      </c>
      <c r="CD196" s="2">
        <f t="shared" si="62"/>
        <v>0</v>
      </c>
      <c r="CE196" s="2">
        <f t="shared" si="62"/>
        <v>0</v>
      </c>
      <c r="CF196" s="2">
        <f t="shared" si="62"/>
        <v>0</v>
      </c>
      <c r="CG196" s="2">
        <f t="shared" si="62"/>
        <v>0</v>
      </c>
      <c r="CH196" s="2">
        <f t="shared" si="62"/>
        <v>0</v>
      </c>
      <c r="CI196" s="2">
        <f t="shared" si="62"/>
        <v>0</v>
      </c>
      <c r="CJ196" s="2">
        <f t="shared" si="62"/>
        <v>0</v>
      </c>
      <c r="CK196" s="2">
        <f t="shared" si="62"/>
        <v>0</v>
      </c>
      <c r="CL196" s="2">
        <f t="shared" si="62"/>
        <v>0</v>
      </c>
      <c r="CM196" s="2">
        <f t="shared" si="62"/>
        <v>0</v>
      </c>
      <c r="CN196" s="2">
        <f t="shared" si="62"/>
        <v>0</v>
      </c>
      <c r="CO196" s="2">
        <f t="shared" si="62"/>
        <v>0</v>
      </c>
      <c r="CP196" s="2">
        <f t="shared" si="62"/>
        <v>0</v>
      </c>
      <c r="CQ196" s="2">
        <f t="shared" si="62"/>
        <v>0</v>
      </c>
      <c r="CR196" s="2">
        <f t="shared" si="62"/>
        <v>0</v>
      </c>
      <c r="CS196" s="2">
        <f t="shared" si="62"/>
        <v>0</v>
      </c>
      <c r="CT196" s="2">
        <f t="shared" si="62"/>
        <v>0</v>
      </c>
      <c r="CU196" s="2">
        <f t="shared" si="62"/>
        <v>0</v>
      </c>
      <c r="CV196" s="2">
        <f t="shared" si="62"/>
        <v>0</v>
      </c>
      <c r="CW196" s="2">
        <f t="shared" si="62"/>
        <v>0</v>
      </c>
      <c r="CX196" s="2">
        <f t="shared" si="62"/>
        <v>0</v>
      </c>
      <c r="CY196" s="2">
        <f t="shared" si="62"/>
        <v>0</v>
      </c>
      <c r="CZ196" s="2">
        <f t="shared" si="62"/>
        <v>0</v>
      </c>
      <c r="DA196" s="2">
        <f t="shared" si="62"/>
        <v>0</v>
      </c>
      <c r="DB196" s="2">
        <f t="shared" si="62"/>
        <v>0</v>
      </c>
      <c r="DC196" s="2">
        <f t="shared" si="62"/>
        <v>0</v>
      </c>
      <c r="DD196" s="2">
        <f t="shared" si="62"/>
        <v>0</v>
      </c>
      <c r="DE196" s="2">
        <f t="shared" si="62"/>
        <v>0</v>
      </c>
      <c r="DF196" s="2">
        <f t="shared" si="62"/>
        <v>0</v>
      </c>
      <c r="DG196" s="3">
        <f t="shared" ref="DG196:EL196" si="63">DG198</f>
        <v>0</v>
      </c>
      <c r="DH196" s="3">
        <f t="shared" si="63"/>
        <v>0</v>
      </c>
      <c r="DI196" s="3">
        <f t="shared" si="63"/>
        <v>0</v>
      </c>
      <c r="DJ196" s="3">
        <f t="shared" si="63"/>
        <v>0</v>
      </c>
      <c r="DK196" s="3">
        <f t="shared" si="63"/>
        <v>0</v>
      </c>
      <c r="DL196" s="3">
        <f t="shared" si="63"/>
        <v>0</v>
      </c>
      <c r="DM196" s="3">
        <f t="shared" si="63"/>
        <v>0</v>
      </c>
      <c r="DN196" s="3">
        <f t="shared" si="63"/>
        <v>0</v>
      </c>
      <c r="DO196" s="3">
        <f t="shared" si="63"/>
        <v>0</v>
      </c>
      <c r="DP196" s="3">
        <f t="shared" si="63"/>
        <v>0</v>
      </c>
      <c r="DQ196" s="3">
        <f t="shared" si="63"/>
        <v>0</v>
      </c>
      <c r="DR196" s="3">
        <f t="shared" si="63"/>
        <v>0</v>
      </c>
      <c r="DS196" s="3">
        <f t="shared" si="63"/>
        <v>0</v>
      </c>
      <c r="DT196" s="3">
        <f t="shared" si="63"/>
        <v>0</v>
      </c>
      <c r="DU196" s="3">
        <f t="shared" si="63"/>
        <v>0</v>
      </c>
      <c r="DV196" s="3">
        <f t="shared" si="63"/>
        <v>0</v>
      </c>
      <c r="DW196" s="3">
        <f t="shared" si="63"/>
        <v>0</v>
      </c>
      <c r="DX196" s="3">
        <f t="shared" si="63"/>
        <v>0</v>
      </c>
      <c r="DY196" s="3">
        <f t="shared" si="63"/>
        <v>0</v>
      </c>
      <c r="DZ196" s="3">
        <f t="shared" si="63"/>
        <v>0</v>
      </c>
      <c r="EA196" s="3">
        <f t="shared" si="63"/>
        <v>0</v>
      </c>
      <c r="EB196" s="3">
        <f t="shared" si="63"/>
        <v>0</v>
      </c>
      <c r="EC196" s="3">
        <f t="shared" si="63"/>
        <v>0</v>
      </c>
      <c r="ED196" s="3">
        <f t="shared" si="63"/>
        <v>0</v>
      </c>
      <c r="EE196" s="3">
        <f t="shared" si="63"/>
        <v>0</v>
      </c>
      <c r="EF196" s="3">
        <f t="shared" si="63"/>
        <v>0</v>
      </c>
      <c r="EG196" s="3">
        <f t="shared" si="63"/>
        <v>0</v>
      </c>
      <c r="EH196" s="3">
        <f t="shared" si="63"/>
        <v>0</v>
      </c>
      <c r="EI196" s="3">
        <f t="shared" si="63"/>
        <v>0</v>
      </c>
      <c r="EJ196" s="3">
        <f t="shared" si="63"/>
        <v>0</v>
      </c>
      <c r="EK196" s="3">
        <f t="shared" si="63"/>
        <v>0</v>
      </c>
      <c r="EL196" s="3">
        <f t="shared" si="63"/>
        <v>0</v>
      </c>
      <c r="EM196" s="3">
        <f t="shared" ref="EM196:FR196" si="64">EM198</f>
        <v>0</v>
      </c>
      <c r="EN196" s="3">
        <f t="shared" si="64"/>
        <v>0</v>
      </c>
      <c r="EO196" s="3">
        <f t="shared" si="64"/>
        <v>0</v>
      </c>
      <c r="EP196" s="3">
        <f t="shared" si="64"/>
        <v>0</v>
      </c>
      <c r="EQ196" s="3">
        <f t="shared" si="64"/>
        <v>0</v>
      </c>
      <c r="ER196" s="3">
        <f t="shared" si="64"/>
        <v>0</v>
      </c>
      <c r="ES196" s="3">
        <f t="shared" si="64"/>
        <v>0</v>
      </c>
      <c r="ET196" s="3">
        <f t="shared" si="64"/>
        <v>0</v>
      </c>
      <c r="EU196" s="3">
        <f t="shared" si="64"/>
        <v>0</v>
      </c>
      <c r="EV196" s="3">
        <f t="shared" si="64"/>
        <v>0</v>
      </c>
      <c r="EW196" s="3">
        <f t="shared" si="64"/>
        <v>0</v>
      </c>
      <c r="EX196" s="3">
        <f t="shared" si="64"/>
        <v>0</v>
      </c>
      <c r="EY196" s="3">
        <f t="shared" si="64"/>
        <v>0</v>
      </c>
      <c r="EZ196" s="3">
        <f t="shared" si="64"/>
        <v>0</v>
      </c>
      <c r="FA196" s="3">
        <f t="shared" si="64"/>
        <v>0</v>
      </c>
      <c r="FB196" s="3">
        <f t="shared" si="64"/>
        <v>0</v>
      </c>
      <c r="FC196" s="3">
        <f t="shared" si="64"/>
        <v>0</v>
      </c>
      <c r="FD196" s="3">
        <f t="shared" si="64"/>
        <v>0</v>
      </c>
      <c r="FE196" s="3">
        <f t="shared" si="64"/>
        <v>0</v>
      </c>
      <c r="FF196" s="3">
        <f t="shared" si="64"/>
        <v>0</v>
      </c>
      <c r="FG196" s="3">
        <f t="shared" si="64"/>
        <v>0</v>
      </c>
      <c r="FH196" s="3">
        <f t="shared" si="64"/>
        <v>0</v>
      </c>
      <c r="FI196" s="3">
        <f t="shared" si="64"/>
        <v>0</v>
      </c>
      <c r="FJ196" s="3">
        <f t="shared" si="64"/>
        <v>0</v>
      </c>
      <c r="FK196" s="3">
        <f t="shared" si="64"/>
        <v>0</v>
      </c>
      <c r="FL196" s="3">
        <f t="shared" si="64"/>
        <v>0</v>
      </c>
      <c r="FM196" s="3">
        <f t="shared" si="64"/>
        <v>0</v>
      </c>
      <c r="FN196" s="3">
        <f t="shared" si="64"/>
        <v>0</v>
      </c>
      <c r="FO196" s="3">
        <f t="shared" si="64"/>
        <v>0</v>
      </c>
      <c r="FP196" s="3">
        <f t="shared" si="64"/>
        <v>0</v>
      </c>
      <c r="FQ196" s="3">
        <f t="shared" si="64"/>
        <v>0</v>
      </c>
      <c r="FR196" s="3">
        <f t="shared" si="64"/>
        <v>0</v>
      </c>
      <c r="FS196" s="3">
        <f t="shared" ref="FS196:GX196" si="65">FS198</f>
        <v>0</v>
      </c>
      <c r="FT196" s="3">
        <f t="shared" si="65"/>
        <v>0</v>
      </c>
      <c r="FU196" s="3">
        <f t="shared" si="65"/>
        <v>0</v>
      </c>
      <c r="FV196" s="3">
        <f t="shared" si="65"/>
        <v>0</v>
      </c>
      <c r="FW196" s="3">
        <f t="shared" si="65"/>
        <v>0</v>
      </c>
      <c r="FX196" s="3">
        <f t="shared" si="65"/>
        <v>0</v>
      </c>
      <c r="FY196" s="3">
        <f t="shared" si="65"/>
        <v>0</v>
      </c>
      <c r="FZ196" s="3">
        <f t="shared" si="65"/>
        <v>0</v>
      </c>
      <c r="GA196" s="3">
        <f t="shared" si="65"/>
        <v>0</v>
      </c>
      <c r="GB196" s="3">
        <f t="shared" si="65"/>
        <v>0</v>
      </c>
      <c r="GC196" s="3">
        <f t="shared" si="65"/>
        <v>0</v>
      </c>
      <c r="GD196" s="3">
        <f t="shared" si="65"/>
        <v>0</v>
      </c>
      <c r="GE196" s="3">
        <f t="shared" si="65"/>
        <v>0</v>
      </c>
      <c r="GF196" s="3">
        <f t="shared" si="65"/>
        <v>0</v>
      </c>
      <c r="GG196" s="3">
        <f t="shared" si="65"/>
        <v>0</v>
      </c>
      <c r="GH196" s="3">
        <f t="shared" si="65"/>
        <v>0</v>
      </c>
      <c r="GI196" s="3">
        <f t="shared" si="65"/>
        <v>0</v>
      </c>
      <c r="GJ196" s="3">
        <f t="shared" si="65"/>
        <v>0</v>
      </c>
      <c r="GK196" s="3">
        <f t="shared" si="65"/>
        <v>0</v>
      </c>
      <c r="GL196" s="3">
        <f t="shared" si="65"/>
        <v>0</v>
      </c>
      <c r="GM196" s="3">
        <f t="shared" si="65"/>
        <v>0</v>
      </c>
      <c r="GN196" s="3">
        <f t="shared" si="65"/>
        <v>0</v>
      </c>
      <c r="GO196" s="3">
        <f t="shared" si="65"/>
        <v>0</v>
      </c>
      <c r="GP196" s="3">
        <f t="shared" si="65"/>
        <v>0</v>
      </c>
      <c r="GQ196" s="3">
        <f t="shared" si="65"/>
        <v>0</v>
      </c>
      <c r="GR196" s="3">
        <f t="shared" si="65"/>
        <v>0</v>
      </c>
      <c r="GS196" s="3">
        <f t="shared" si="65"/>
        <v>0</v>
      </c>
      <c r="GT196" s="3">
        <f t="shared" si="65"/>
        <v>0</v>
      </c>
      <c r="GU196" s="3">
        <f t="shared" si="65"/>
        <v>0</v>
      </c>
      <c r="GV196" s="3">
        <f t="shared" si="65"/>
        <v>0</v>
      </c>
      <c r="GW196" s="3">
        <f t="shared" si="65"/>
        <v>0</v>
      </c>
      <c r="GX196" s="3">
        <f t="shared" si="65"/>
        <v>0</v>
      </c>
    </row>
    <row r="198" spans="1:206" x14ac:dyDescent="0.2">
      <c r="A198" s="2">
        <v>51</v>
      </c>
      <c r="B198" s="2">
        <f>B194</f>
        <v>1</v>
      </c>
      <c r="C198" s="2">
        <f>A194</f>
        <v>4</v>
      </c>
      <c r="D198" s="2">
        <f>ROW(A194)</f>
        <v>194</v>
      </c>
      <c r="E198" s="2"/>
      <c r="F198" s="2" t="str">
        <f>IF(F194&lt;&gt;"",F194,"")</f>
        <v>12</v>
      </c>
      <c r="G198" s="2" t="str">
        <f>IF(G194&lt;&gt;"",G194,"")</f>
        <v>БЛОК САНУЗЛОВ 6 (3-ий ЭТАЖ)</v>
      </c>
      <c r="H198" s="2">
        <v>0</v>
      </c>
      <c r="I198" s="2"/>
      <c r="J198" s="2"/>
      <c r="K198" s="2"/>
      <c r="L198" s="2"/>
      <c r="M198" s="2"/>
      <c r="N198" s="2"/>
      <c r="O198" s="2">
        <f t="shared" ref="O198:Y198" si="66">AB198</f>
        <v>0</v>
      </c>
      <c r="P198" s="2">
        <f t="shared" si="66"/>
        <v>0</v>
      </c>
      <c r="Q198" s="2">
        <f t="shared" si="66"/>
        <v>0</v>
      </c>
      <c r="R198" s="2">
        <f t="shared" si="66"/>
        <v>0</v>
      </c>
      <c r="S198" s="2">
        <f t="shared" si="66"/>
        <v>0</v>
      </c>
      <c r="T198" s="2">
        <f t="shared" si="66"/>
        <v>0</v>
      </c>
      <c r="U198" s="2">
        <f t="shared" si="66"/>
        <v>0</v>
      </c>
      <c r="V198" s="2">
        <f t="shared" si="66"/>
        <v>0</v>
      </c>
      <c r="W198" s="2">
        <f t="shared" si="66"/>
        <v>0</v>
      </c>
      <c r="X198" s="2">
        <f t="shared" si="66"/>
        <v>0</v>
      </c>
      <c r="Y198" s="2">
        <f t="shared" si="66"/>
        <v>0</v>
      </c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>
        <f t="shared" ref="AO198:BD198" si="67">BX198</f>
        <v>0</v>
      </c>
      <c r="AP198" s="2">
        <f t="shared" si="67"/>
        <v>0</v>
      </c>
      <c r="AQ198" s="2">
        <f t="shared" si="67"/>
        <v>0</v>
      </c>
      <c r="AR198" s="2">
        <f t="shared" si="67"/>
        <v>0</v>
      </c>
      <c r="AS198" s="2">
        <f t="shared" si="67"/>
        <v>0</v>
      </c>
      <c r="AT198" s="2">
        <f t="shared" si="67"/>
        <v>0</v>
      </c>
      <c r="AU198" s="2">
        <f t="shared" si="67"/>
        <v>0</v>
      </c>
      <c r="AV198" s="2">
        <f t="shared" si="67"/>
        <v>0</v>
      </c>
      <c r="AW198" s="2">
        <f t="shared" si="67"/>
        <v>0</v>
      </c>
      <c r="AX198" s="2">
        <f t="shared" si="67"/>
        <v>0</v>
      </c>
      <c r="AY198" s="2">
        <f t="shared" si="67"/>
        <v>0</v>
      </c>
      <c r="AZ198" s="2">
        <f t="shared" si="67"/>
        <v>0</v>
      </c>
      <c r="BA198" s="2">
        <f t="shared" si="67"/>
        <v>0</v>
      </c>
      <c r="BB198" s="2">
        <f t="shared" si="67"/>
        <v>0</v>
      </c>
      <c r="BC198" s="2">
        <f t="shared" si="67"/>
        <v>0</v>
      </c>
      <c r="BD198" s="2">
        <f t="shared" si="67"/>
        <v>0</v>
      </c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>
        <v>0</v>
      </c>
    </row>
    <row r="200" spans="1:206" x14ac:dyDescent="0.2">
      <c r="A200" s="4">
        <v>50</v>
      </c>
      <c r="B200" s="4">
        <v>0</v>
      </c>
      <c r="C200" s="4">
        <v>0</v>
      </c>
      <c r="D200" s="4">
        <v>1</v>
      </c>
      <c r="E200" s="4">
        <v>201</v>
      </c>
      <c r="F200" s="4">
        <f>ROUND(Source!O198,O200)</f>
        <v>0</v>
      </c>
      <c r="G200" s="4" t="s">
        <v>22</v>
      </c>
      <c r="H200" s="4" t="s">
        <v>23</v>
      </c>
      <c r="I200" s="4"/>
      <c r="J200" s="4"/>
      <c r="K200" s="4">
        <v>201</v>
      </c>
      <c r="L200" s="4">
        <v>1</v>
      </c>
      <c r="M200" s="4">
        <v>3</v>
      </c>
      <c r="N200" s="4" t="s">
        <v>6</v>
      </c>
      <c r="O200" s="4">
        <v>0</v>
      </c>
      <c r="P200" s="4"/>
      <c r="Q200" s="4"/>
      <c r="R200" s="4"/>
      <c r="S200" s="4"/>
      <c r="T200" s="4"/>
      <c r="U200" s="4"/>
      <c r="V200" s="4"/>
      <c r="W200" s="4">
        <v>0</v>
      </c>
      <c r="X200" s="4">
        <v>1</v>
      </c>
      <c r="Y200" s="4">
        <v>0</v>
      </c>
      <c r="Z200" s="4"/>
      <c r="AA200" s="4"/>
      <c r="AB200" s="4"/>
    </row>
    <row r="201" spans="1:206" x14ac:dyDescent="0.2">
      <c r="A201" s="4">
        <v>50</v>
      </c>
      <c r="B201" s="4">
        <v>0</v>
      </c>
      <c r="C201" s="4">
        <v>0</v>
      </c>
      <c r="D201" s="4">
        <v>1</v>
      </c>
      <c r="E201" s="4">
        <v>202</v>
      </c>
      <c r="F201" s="4">
        <f>ROUND(Source!P198,O201)</f>
        <v>0</v>
      </c>
      <c r="G201" s="4" t="s">
        <v>24</v>
      </c>
      <c r="H201" s="4" t="s">
        <v>25</v>
      </c>
      <c r="I201" s="4"/>
      <c r="J201" s="4"/>
      <c r="K201" s="4">
        <v>202</v>
      </c>
      <c r="L201" s="4">
        <v>2</v>
      </c>
      <c r="M201" s="4">
        <v>3</v>
      </c>
      <c r="N201" s="4" t="s">
        <v>6</v>
      </c>
      <c r="O201" s="4">
        <v>0</v>
      </c>
      <c r="P201" s="4"/>
      <c r="Q201" s="4"/>
      <c r="R201" s="4"/>
      <c r="S201" s="4"/>
      <c r="T201" s="4"/>
      <c r="U201" s="4"/>
      <c r="V201" s="4"/>
      <c r="W201" s="4">
        <v>0</v>
      </c>
      <c r="X201" s="4">
        <v>1</v>
      </c>
      <c r="Y201" s="4">
        <v>0</v>
      </c>
      <c r="Z201" s="4"/>
      <c r="AA201" s="4"/>
      <c r="AB201" s="4"/>
    </row>
    <row r="202" spans="1:206" x14ac:dyDescent="0.2">
      <c r="A202" s="4">
        <v>50</v>
      </c>
      <c r="B202" s="4">
        <v>0</v>
      </c>
      <c r="C202" s="4">
        <v>0</v>
      </c>
      <c r="D202" s="4">
        <v>1</v>
      </c>
      <c r="E202" s="4">
        <v>222</v>
      </c>
      <c r="F202" s="4">
        <f>ROUND(Source!AO198,O202)</f>
        <v>0</v>
      </c>
      <c r="G202" s="4" t="s">
        <v>26</v>
      </c>
      <c r="H202" s="4" t="s">
        <v>27</v>
      </c>
      <c r="I202" s="4"/>
      <c r="J202" s="4"/>
      <c r="K202" s="4">
        <v>222</v>
      </c>
      <c r="L202" s="4">
        <v>3</v>
      </c>
      <c r="M202" s="4">
        <v>3</v>
      </c>
      <c r="N202" s="4" t="s">
        <v>6</v>
      </c>
      <c r="O202" s="4">
        <v>0</v>
      </c>
      <c r="P202" s="4"/>
      <c r="Q202" s="4"/>
      <c r="R202" s="4"/>
      <c r="S202" s="4"/>
      <c r="T202" s="4"/>
      <c r="U202" s="4"/>
      <c r="V202" s="4"/>
      <c r="W202" s="4">
        <v>0</v>
      </c>
      <c r="X202" s="4">
        <v>1</v>
      </c>
      <c r="Y202" s="4">
        <v>0</v>
      </c>
      <c r="Z202" s="4"/>
      <c r="AA202" s="4"/>
      <c r="AB202" s="4"/>
    </row>
    <row r="203" spans="1:206" x14ac:dyDescent="0.2">
      <c r="A203" s="4">
        <v>50</v>
      </c>
      <c r="B203" s="4">
        <v>0</v>
      </c>
      <c r="C203" s="4">
        <v>0</v>
      </c>
      <c r="D203" s="4">
        <v>1</v>
      </c>
      <c r="E203" s="4">
        <v>225</v>
      </c>
      <c r="F203" s="4">
        <f>ROUND(Source!AV198,O203)</f>
        <v>0</v>
      </c>
      <c r="G203" s="4" t="s">
        <v>28</v>
      </c>
      <c r="H203" s="4" t="s">
        <v>29</v>
      </c>
      <c r="I203" s="4"/>
      <c r="J203" s="4"/>
      <c r="K203" s="4">
        <v>225</v>
      </c>
      <c r="L203" s="4">
        <v>4</v>
      </c>
      <c r="M203" s="4">
        <v>3</v>
      </c>
      <c r="N203" s="4" t="s">
        <v>6</v>
      </c>
      <c r="O203" s="4">
        <v>0</v>
      </c>
      <c r="P203" s="4"/>
      <c r="Q203" s="4"/>
      <c r="R203" s="4"/>
      <c r="S203" s="4"/>
      <c r="T203" s="4"/>
      <c r="U203" s="4"/>
      <c r="V203" s="4"/>
      <c r="W203" s="4">
        <v>0</v>
      </c>
      <c r="X203" s="4">
        <v>1</v>
      </c>
      <c r="Y203" s="4">
        <v>0</v>
      </c>
      <c r="Z203" s="4"/>
      <c r="AA203" s="4"/>
      <c r="AB203" s="4"/>
    </row>
    <row r="204" spans="1:206" x14ac:dyDescent="0.2">
      <c r="A204" s="4">
        <v>50</v>
      </c>
      <c r="B204" s="4">
        <v>0</v>
      </c>
      <c r="C204" s="4">
        <v>0</v>
      </c>
      <c r="D204" s="4">
        <v>1</v>
      </c>
      <c r="E204" s="4">
        <v>226</v>
      </c>
      <c r="F204" s="4">
        <f>ROUND(Source!AW198,O204)</f>
        <v>0</v>
      </c>
      <c r="G204" s="4" t="s">
        <v>30</v>
      </c>
      <c r="H204" s="4" t="s">
        <v>31</v>
      </c>
      <c r="I204" s="4"/>
      <c r="J204" s="4"/>
      <c r="K204" s="4">
        <v>226</v>
      </c>
      <c r="L204" s="4">
        <v>5</v>
      </c>
      <c r="M204" s="4">
        <v>3</v>
      </c>
      <c r="N204" s="4" t="s">
        <v>6</v>
      </c>
      <c r="O204" s="4">
        <v>0</v>
      </c>
      <c r="P204" s="4"/>
      <c r="Q204" s="4"/>
      <c r="R204" s="4"/>
      <c r="S204" s="4"/>
      <c r="T204" s="4"/>
      <c r="U204" s="4"/>
      <c r="V204" s="4"/>
      <c r="W204" s="4">
        <v>0</v>
      </c>
      <c r="X204" s="4">
        <v>1</v>
      </c>
      <c r="Y204" s="4">
        <v>0</v>
      </c>
      <c r="Z204" s="4"/>
      <c r="AA204" s="4"/>
      <c r="AB204" s="4"/>
    </row>
    <row r="205" spans="1:206" x14ac:dyDescent="0.2">
      <c r="A205" s="4">
        <v>50</v>
      </c>
      <c r="B205" s="4">
        <v>0</v>
      </c>
      <c r="C205" s="4">
        <v>0</v>
      </c>
      <c r="D205" s="4">
        <v>1</v>
      </c>
      <c r="E205" s="4">
        <v>227</v>
      </c>
      <c r="F205" s="4">
        <f>ROUND(Source!AX198,O205)</f>
        <v>0</v>
      </c>
      <c r="G205" s="4" t="s">
        <v>32</v>
      </c>
      <c r="H205" s="4" t="s">
        <v>33</v>
      </c>
      <c r="I205" s="4"/>
      <c r="J205" s="4"/>
      <c r="K205" s="4">
        <v>227</v>
      </c>
      <c r="L205" s="4">
        <v>6</v>
      </c>
      <c r="M205" s="4">
        <v>3</v>
      </c>
      <c r="N205" s="4" t="s">
        <v>6</v>
      </c>
      <c r="O205" s="4">
        <v>0</v>
      </c>
      <c r="P205" s="4"/>
      <c r="Q205" s="4"/>
      <c r="R205" s="4"/>
      <c r="S205" s="4"/>
      <c r="T205" s="4"/>
      <c r="U205" s="4"/>
      <c r="V205" s="4"/>
      <c r="W205" s="4">
        <v>0</v>
      </c>
      <c r="X205" s="4">
        <v>1</v>
      </c>
      <c r="Y205" s="4">
        <v>0</v>
      </c>
      <c r="Z205" s="4"/>
      <c r="AA205" s="4"/>
      <c r="AB205" s="4"/>
    </row>
    <row r="206" spans="1:206" x14ac:dyDescent="0.2">
      <c r="A206" s="4">
        <v>50</v>
      </c>
      <c r="B206" s="4">
        <v>0</v>
      </c>
      <c r="C206" s="4">
        <v>0</v>
      </c>
      <c r="D206" s="4">
        <v>1</v>
      </c>
      <c r="E206" s="4">
        <v>228</v>
      </c>
      <c r="F206" s="4">
        <f>ROUND(Source!AY198,O206)</f>
        <v>0</v>
      </c>
      <c r="G206" s="4" t="s">
        <v>34</v>
      </c>
      <c r="H206" s="4" t="s">
        <v>35</v>
      </c>
      <c r="I206" s="4"/>
      <c r="J206" s="4"/>
      <c r="K206" s="4">
        <v>228</v>
      </c>
      <c r="L206" s="4">
        <v>7</v>
      </c>
      <c r="M206" s="4">
        <v>3</v>
      </c>
      <c r="N206" s="4" t="s">
        <v>6</v>
      </c>
      <c r="O206" s="4">
        <v>0</v>
      </c>
      <c r="P206" s="4"/>
      <c r="Q206" s="4"/>
      <c r="R206" s="4"/>
      <c r="S206" s="4"/>
      <c r="T206" s="4"/>
      <c r="U206" s="4"/>
      <c r="V206" s="4"/>
      <c r="W206" s="4">
        <v>0</v>
      </c>
      <c r="X206" s="4">
        <v>1</v>
      </c>
      <c r="Y206" s="4">
        <v>0</v>
      </c>
      <c r="Z206" s="4"/>
      <c r="AA206" s="4"/>
      <c r="AB206" s="4"/>
    </row>
    <row r="207" spans="1:206" x14ac:dyDescent="0.2">
      <c r="A207" s="4">
        <v>50</v>
      </c>
      <c r="B207" s="4">
        <v>0</v>
      </c>
      <c r="C207" s="4">
        <v>0</v>
      </c>
      <c r="D207" s="4">
        <v>1</v>
      </c>
      <c r="E207" s="4">
        <v>216</v>
      </c>
      <c r="F207" s="4">
        <f>ROUND(Source!AP198,O207)</f>
        <v>0</v>
      </c>
      <c r="G207" s="4" t="s">
        <v>36</v>
      </c>
      <c r="H207" s="4" t="s">
        <v>37</v>
      </c>
      <c r="I207" s="4"/>
      <c r="J207" s="4"/>
      <c r="K207" s="4">
        <v>216</v>
      </c>
      <c r="L207" s="4">
        <v>8</v>
      </c>
      <c r="M207" s="4">
        <v>3</v>
      </c>
      <c r="N207" s="4" t="s">
        <v>6</v>
      </c>
      <c r="O207" s="4">
        <v>0</v>
      </c>
      <c r="P207" s="4"/>
      <c r="Q207" s="4"/>
      <c r="R207" s="4"/>
      <c r="S207" s="4"/>
      <c r="T207" s="4"/>
      <c r="U207" s="4"/>
      <c r="V207" s="4"/>
      <c r="W207" s="4">
        <v>0</v>
      </c>
      <c r="X207" s="4">
        <v>1</v>
      </c>
      <c r="Y207" s="4">
        <v>0</v>
      </c>
      <c r="Z207" s="4"/>
      <c r="AA207" s="4"/>
      <c r="AB207" s="4"/>
    </row>
    <row r="208" spans="1:206" x14ac:dyDescent="0.2">
      <c r="A208" s="4">
        <v>50</v>
      </c>
      <c r="B208" s="4">
        <v>0</v>
      </c>
      <c r="C208" s="4">
        <v>0</v>
      </c>
      <c r="D208" s="4">
        <v>1</v>
      </c>
      <c r="E208" s="4">
        <v>223</v>
      </c>
      <c r="F208" s="4">
        <f>ROUND(Source!AQ198,O208)</f>
        <v>0</v>
      </c>
      <c r="G208" s="4" t="s">
        <v>38</v>
      </c>
      <c r="H208" s="4" t="s">
        <v>39</v>
      </c>
      <c r="I208" s="4"/>
      <c r="J208" s="4"/>
      <c r="K208" s="4">
        <v>223</v>
      </c>
      <c r="L208" s="4">
        <v>9</v>
      </c>
      <c r="M208" s="4">
        <v>3</v>
      </c>
      <c r="N208" s="4" t="s">
        <v>6</v>
      </c>
      <c r="O208" s="4">
        <v>0</v>
      </c>
      <c r="P208" s="4"/>
      <c r="Q208" s="4"/>
      <c r="R208" s="4"/>
      <c r="S208" s="4"/>
      <c r="T208" s="4"/>
      <c r="U208" s="4"/>
      <c r="V208" s="4"/>
      <c r="W208" s="4">
        <v>0</v>
      </c>
      <c r="X208" s="4">
        <v>1</v>
      </c>
      <c r="Y208" s="4">
        <v>0</v>
      </c>
      <c r="Z208" s="4"/>
      <c r="AA208" s="4"/>
      <c r="AB208" s="4"/>
    </row>
    <row r="209" spans="1:28" x14ac:dyDescent="0.2">
      <c r="A209" s="4">
        <v>50</v>
      </c>
      <c r="B209" s="4">
        <v>0</v>
      </c>
      <c r="C209" s="4">
        <v>0</v>
      </c>
      <c r="D209" s="4">
        <v>1</v>
      </c>
      <c r="E209" s="4">
        <v>229</v>
      </c>
      <c r="F209" s="4">
        <f>ROUND(Source!AZ198,O209)</f>
        <v>0</v>
      </c>
      <c r="G209" s="4" t="s">
        <v>40</v>
      </c>
      <c r="H209" s="4" t="s">
        <v>41</v>
      </c>
      <c r="I209" s="4"/>
      <c r="J209" s="4"/>
      <c r="K209" s="4">
        <v>229</v>
      </c>
      <c r="L209" s="4">
        <v>10</v>
      </c>
      <c r="M209" s="4">
        <v>3</v>
      </c>
      <c r="N209" s="4" t="s">
        <v>6</v>
      </c>
      <c r="O209" s="4">
        <v>0</v>
      </c>
      <c r="P209" s="4"/>
      <c r="Q209" s="4"/>
      <c r="R209" s="4"/>
      <c r="S209" s="4"/>
      <c r="T209" s="4"/>
      <c r="U209" s="4"/>
      <c r="V209" s="4"/>
      <c r="W209" s="4">
        <v>0</v>
      </c>
      <c r="X209" s="4">
        <v>1</v>
      </c>
      <c r="Y209" s="4">
        <v>0</v>
      </c>
      <c r="Z209" s="4"/>
      <c r="AA209" s="4"/>
      <c r="AB209" s="4"/>
    </row>
    <row r="210" spans="1:28" x14ac:dyDescent="0.2">
      <c r="A210" s="4">
        <v>50</v>
      </c>
      <c r="B210" s="4">
        <v>0</v>
      </c>
      <c r="C210" s="4">
        <v>0</v>
      </c>
      <c r="D210" s="4">
        <v>1</v>
      </c>
      <c r="E210" s="4">
        <v>203</v>
      </c>
      <c r="F210" s="4">
        <f>ROUND(Source!Q198,O210)</f>
        <v>0</v>
      </c>
      <c r="G210" s="4" t="s">
        <v>42</v>
      </c>
      <c r="H210" s="4" t="s">
        <v>43</v>
      </c>
      <c r="I210" s="4"/>
      <c r="J210" s="4"/>
      <c r="K210" s="4">
        <v>203</v>
      </c>
      <c r="L210" s="4">
        <v>11</v>
      </c>
      <c r="M210" s="4">
        <v>3</v>
      </c>
      <c r="N210" s="4" t="s">
        <v>6</v>
      </c>
      <c r="O210" s="4">
        <v>0</v>
      </c>
      <c r="P210" s="4"/>
      <c r="Q210" s="4"/>
      <c r="R210" s="4"/>
      <c r="S210" s="4"/>
      <c r="T210" s="4"/>
      <c r="U210" s="4"/>
      <c r="V210" s="4"/>
      <c r="W210" s="4">
        <v>0</v>
      </c>
      <c r="X210" s="4">
        <v>1</v>
      </c>
      <c r="Y210" s="4">
        <v>0</v>
      </c>
      <c r="Z210" s="4"/>
      <c r="AA210" s="4"/>
      <c r="AB210" s="4"/>
    </row>
    <row r="211" spans="1:28" x14ac:dyDescent="0.2">
      <c r="A211" s="4">
        <v>50</v>
      </c>
      <c r="B211" s="4">
        <v>0</v>
      </c>
      <c r="C211" s="4">
        <v>0</v>
      </c>
      <c r="D211" s="4">
        <v>1</v>
      </c>
      <c r="E211" s="4">
        <v>231</v>
      </c>
      <c r="F211" s="4">
        <f>ROUND(Source!BB198,O211)</f>
        <v>0</v>
      </c>
      <c r="G211" s="4" t="s">
        <v>44</v>
      </c>
      <c r="H211" s="4" t="s">
        <v>45</v>
      </c>
      <c r="I211" s="4"/>
      <c r="J211" s="4"/>
      <c r="K211" s="4">
        <v>231</v>
      </c>
      <c r="L211" s="4">
        <v>12</v>
      </c>
      <c r="M211" s="4">
        <v>3</v>
      </c>
      <c r="N211" s="4" t="s">
        <v>6</v>
      </c>
      <c r="O211" s="4">
        <v>0</v>
      </c>
      <c r="P211" s="4"/>
      <c r="Q211" s="4"/>
      <c r="R211" s="4"/>
      <c r="S211" s="4"/>
      <c r="T211" s="4"/>
      <c r="U211" s="4"/>
      <c r="V211" s="4"/>
      <c r="W211" s="4">
        <v>0</v>
      </c>
      <c r="X211" s="4">
        <v>1</v>
      </c>
      <c r="Y211" s="4">
        <v>0</v>
      </c>
      <c r="Z211" s="4"/>
      <c r="AA211" s="4"/>
      <c r="AB211" s="4"/>
    </row>
    <row r="212" spans="1:28" x14ac:dyDescent="0.2">
      <c r="A212" s="4">
        <v>50</v>
      </c>
      <c r="B212" s="4">
        <v>0</v>
      </c>
      <c r="C212" s="4">
        <v>0</v>
      </c>
      <c r="D212" s="4">
        <v>1</v>
      </c>
      <c r="E212" s="4">
        <v>204</v>
      </c>
      <c r="F212" s="4">
        <f>ROUND(Source!R198,O212)</f>
        <v>0</v>
      </c>
      <c r="G212" s="4" t="s">
        <v>46</v>
      </c>
      <c r="H212" s="4" t="s">
        <v>47</v>
      </c>
      <c r="I212" s="4"/>
      <c r="J212" s="4"/>
      <c r="K212" s="4">
        <v>204</v>
      </c>
      <c r="L212" s="4">
        <v>13</v>
      </c>
      <c r="M212" s="4">
        <v>3</v>
      </c>
      <c r="N212" s="4" t="s">
        <v>6</v>
      </c>
      <c r="O212" s="4">
        <v>0</v>
      </c>
      <c r="P212" s="4"/>
      <c r="Q212" s="4"/>
      <c r="R212" s="4"/>
      <c r="S212" s="4"/>
      <c r="T212" s="4"/>
      <c r="U212" s="4"/>
      <c r="V212" s="4"/>
      <c r="W212" s="4">
        <v>0</v>
      </c>
      <c r="X212" s="4">
        <v>1</v>
      </c>
      <c r="Y212" s="4">
        <v>0</v>
      </c>
      <c r="Z212" s="4"/>
      <c r="AA212" s="4"/>
      <c r="AB212" s="4"/>
    </row>
    <row r="213" spans="1:28" x14ac:dyDescent="0.2">
      <c r="A213" s="4">
        <v>50</v>
      </c>
      <c r="B213" s="4">
        <v>0</v>
      </c>
      <c r="C213" s="4">
        <v>0</v>
      </c>
      <c r="D213" s="4">
        <v>1</v>
      </c>
      <c r="E213" s="4">
        <v>205</v>
      </c>
      <c r="F213" s="4">
        <f>ROUND(Source!S198,O213)</f>
        <v>0</v>
      </c>
      <c r="G213" s="4" t="s">
        <v>48</v>
      </c>
      <c r="H213" s="4" t="s">
        <v>49</v>
      </c>
      <c r="I213" s="4"/>
      <c r="J213" s="4"/>
      <c r="K213" s="4">
        <v>205</v>
      </c>
      <c r="L213" s="4">
        <v>14</v>
      </c>
      <c r="M213" s="4">
        <v>3</v>
      </c>
      <c r="N213" s="4" t="s">
        <v>6</v>
      </c>
      <c r="O213" s="4">
        <v>0</v>
      </c>
      <c r="P213" s="4"/>
      <c r="Q213" s="4"/>
      <c r="R213" s="4"/>
      <c r="S213" s="4"/>
      <c r="T213" s="4"/>
      <c r="U213" s="4"/>
      <c r="V213" s="4"/>
      <c r="W213" s="4">
        <v>0</v>
      </c>
      <c r="X213" s="4">
        <v>1</v>
      </c>
      <c r="Y213" s="4">
        <v>0</v>
      </c>
      <c r="Z213" s="4"/>
      <c r="AA213" s="4"/>
      <c r="AB213" s="4"/>
    </row>
    <row r="214" spans="1:28" x14ac:dyDescent="0.2">
      <c r="A214" s="4">
        <v>50</v>
      </c>
      <c r="B214" s="4">
        <v>0</v>
      </c>
      <c r="C214" s="4">
        <v>0</v>
      </c>
      <c r="D214" s="4">
        <v>1</v>
      </c>
      <c r="E214" s="4">
        <v>232</v>
      </c>
      <c r="F214" s="4">
        <f>ROUND(Source!BC198,O214)</f>
        <v>0</v>
      </c>
      <c r="G214" s="4" t="s">
        <v>50</v>
      </c>
      <c r="H214" s="4" t="s">
        <v>51</v>
      </c>
      <c r="I214" s="4"/>
      <c r="J214" s="4"/>
      <c r="K214" s="4">
        <v>232</v>
      </c>
      <c r="L214" s="4">
        <v>15</v>
      </c>
      <c r="M214" s="4">
        <v>3</v>
      </c>
      <c r="N214" s="4" t="s">
        <v>6</v>
      </c>
      <c r="O214" s="4">
        <v>0</v>
      </c>
      <c r="P214" s="4"/>
      <c r="Q214" s="4"/>
      <c r="R214" s="4"/>
      <c r="S214" s="4"/>
      <c r="T214" s="4"/>
      <c r="U214" s="4"/>
      <c r="V214" s="4"/>
      <c r="W214" s="4">
        <v>0</v>
      </c>
      <c r="X214" s="4">
        <v>1</v>
      </c>
      <c r="Y214" s="4">
        <v>0</v>
      </c>
      <c r="Z214" s="4"/>
      <c r="AA214" s="4"/>
      <c r="AB214" s="4"/>
    </row>
    <row r="215" spans="1:28" x14ac:dyDescent="0.2">
      <c r="A215" s="4">
        <v>50</v>
      </c>
      <c r="B215" s="4">
        <v>0</v>
      </c>
      <c r="C215" s="4">
        <v>0</v>
      </c>
      <c r="D215" s="4">
        <v>1</v>
      </c>
      <c r="E215" s="4">
        <v>214</v>
      </c>
      <c r="F215" s="4">
        <f>ROUND(Source!AS198,O215)</f>
        <v>0</v>
      </c>
      <c r="G215" s="4" t="s">
        <v>52</v>
      </c>
      <c r="H215" s="4" t="s">
        <v>53</v>
      </c>
      <c r="I215" s="4"/>
      <c r="J215" s="4"/>
      <c r="K215" s="4">
        <v>214</v>
      </c>
      <c r="L215" s="4">
        <v>16</v>
      </c>
      <c r="M215" s="4">
        <v>3</v>
      </c>
      <c r="N215" s="4" t="s">
        <v>6</v>
      </c>
      <c r="O215" s="4">
        <v>0</v>
      </c>
      <c r="P215" s="4"/>
      <c r="Q215" s="4"/>
      <c r="R215" s="4"/>
      <c r="S215" s="4"/>
      <c r="T215" s="4"/>
      <c r="U215" s="4"/>
      <c r="V215" s="4"/>
      <c r="W215" s="4">
        <v>0</v>
      </c>
      <c r="X215" s="4">
        <v>1</v>
      </c>
      <c r="Y215" s="4">
        <v>0</v>
      </c>
      <c r="Z215" s="4"/>
      <c r="AA215" s="4"/>
      <c r="AB215" s="4"/>
    </row>
    <row r="216" spans="1:28" x14ac:dyDescent="0.2">
      <c r="A216" s="4">
        <v>50</v>
      </c>
      <c r="B216" s="4">
        <v>0</v>
      </c>
      <c r="C216" s="4">
        <v>0</v>
      </c>
      <c r="D216" s="4">
        <v>1</v>
      </c>
      <c r="E216" s="4">
        <v>215</v>
      </c>
      <c r="F216" s="4">
        <f>ROUND(Source!AT198,O216)</f>
        <v>0</v>
      </c>
      <c r="G216" s="4" t="s">
        <v>54</v>
      </c>
      <c r="H216" s="4" t="s">
        <v>55</v>
      </c>
      <c r="I216" s="4"/>
      <c r="J216" s="4"/>
      <c r="K216" s="4">
        <v>215</v>
      </c>
      <c r="L216" s="4">
        <v>17</v>
      </c>
      <c r="M216" s="4">
        <v>3</v>
      </c>
      <c r="N216" s="4" t="s">
        <v>6</v>
      </c>
      <c r="O216" s="4">
        <v>0</v>
      </c>
      <c r="P216" s="4"/>
      <c r="Q216" s="4"/>
      <c r="R216" s="4"/>
      <c r="S216" s="4"/>
      <c r="T216" s="4"/>
      <c r="U216" s="4"/>
      <c r="V216" s="4"/>
      <c r="W216" s="4">
        <v>0</v>
      </c>
      <c r="X216" s="4">
        <v>1</v>
      </c>
      <c r="Y216" s="4">
        <v>0</v>
      </c>
      <c r="Z216" s="4"/>
      <c r="AA216" s="4"/>
      <c r="AB216" s="4"/>
    </row>
    <row r="217" spans="1:28" x14ac:dyDescent="0.2">
      <c r="A217" s="4">
        <v>50</v>
      </c>
      <c r="B217" s="4">
        <v>0</v>
      </c>
      <c r="C217" s="4">
        <v>0</v>
      </c>
      <c r="D217" s="4">
        <v>1</v>
      </c>
      <c r="E217" s="4">
        <v>217</v>
      </c>
      <c r="F217" s="4">
        <f>ROUND(Source!AU198,O217)</f>
        <v>0</v>
      </c>
      <c r="G217" s="4" t="s">
        <v>56</v>
      </c>
      <c r="H217" s="4" t="s">
        <v>57</v>
      </c>
      <c r="I217" s="4"/>
      <c r="J217" s="4"/>
      <c r="K217" s="4">
        <v>217</v>
      </c>
      <c r="L217" s="4">
        <v>18</v>
      </c>
      <c r="M217" s="4">
        <v>3</v>
      </c>
      <c r="N217" s="4" t="s">
        <v>6</v>
      </c>
      <c r="O217" s="4">
        <v>0</v>
      </c>
      <c r="P217" s="4"/>
      <c r="Q217" s="4"/>
      <c r="R217" s="4"/>
      <c r="S217" s="4"/>
      <c r="T217" s="4"/>
      <c r="U217" s="4"/>
      <c r="V217" s="4"/>
      <c r="W217" s="4">
        <v>0</v>
      </c>
      <c r="X217" s="4">
        <v>1</v>
      </c>
      <c r="Y217" s="4">
        <v>0</v>
      </c>
      <c r="Z217" s="4"/>
      <c r="AA217" s="4"/>
      <c r="AB217" s="4"/>
    </row>
    <row r="218" spans="1:28" x14ac:dyDescent="0.2">
      <c r="A218" s="4">
        <v>50</v>
      </c>
      <c r="B218" s="4">
        <v>0</v>
      </c>
      <c r="C218" s="4">
        <v>0</v>
      </c>
      <c r="D218" s="4">
        <v>1</v>
      </c>
      <c r="E218" s="4">
        <v>230</v>
      </c>
      <c r="F218" s="4">
        <f>ROUND(Source!BA198,O218)</f>
        <v>0</v>
      </c>
      <c r="G218" s="4" t="s">
        <v>58</v>
      </c>
      <c r="H218" s="4" t="s">
        <v>59</v>
      </c>
      <c r="I218" s="4"/>
      <c r="J218" s="4"/>
      <c r="K218" s="4">
        <v>230</v>
      </c>
      <c r="L218" s="4">
        <v>19</v>
      </c>
      <c r="M218" s="4">
        <v>3</v>
      </c>
      <c r="N218" s="4" t="s">
        <v>6</v>
      </c>
      <c r="O218" s="4">
        <v>0</v>
      </c>
      <c r="P218" s="4"/>
      <c r="Q218" s="4"/>
      <c r="R218" s="4"/>
      <c r="S218" s="4"/>
      <c r="T218" s="4"/>
      <c r="U218" s="4"/>
      <c r="V218" s="4"/>
      <c r="W218" s="4">
        <v>0</v>
      </c>
      <c r="X218" s="4">
        <v>1</v>
      </c>
      <c r="Y218" s="4">
        <v>0</v>
      </c>
      <c r="Z218" s="4"/>
      <c r="AA218" s="4"/>
      <c r="AB218" s="4"/>
    </row>
    <row r="219" spans="1:28" x14ac:dyDescent="0.2">
      <c r="A219" s="4">
        <v>50</v>
      </c>
      <c r="B219" s="4">
        <v>0</v>
      </c>
      <c r="C219" s="4">
        <v>0</v>
      </c>
      <c r="D219" s="4">
        <v>1</v>
      </c>
      <c r="E219" s="4">
        <v>206</v>
      </c>
      <c r="F219" s="4">
        <f>ROUND(Source!T198,O219)</f>
        <v>0</v>
      </c>
      <c r="G219" s="4" t="s">
        <v>60</v>
      </c>
      <c r="H219" s="4" t="s">
        <v>61</v>
      </c>
      <c r="I219" s="4"/>
      <c r="J219" s="4"/>
      <c r="K219" s="4">
        <v>206</v>
      </c>
      <c r="L219" s="4">
        <v>20</v>
      </c>
      <c r="M219" s="4">
        <v>3</v>
      </c>
      <c r="N219" s="4" t="s">
        <v>6</v>
      </c>
      <c r="O219" s="4">
        <v>0</v>
      </c>
      <c r="P219" s="4"/>
      <c r="Q219" s="4"/>
      <c r="R219" s="4"/>
      <c r="S219" s="4"/>
      <c r="T219" s="4"/>
      <c r="U219" s="4"/>
      <c r="V219" s="4"/>
      <c r="W219" s="4">
        <v>0</v>
      </c>
      <c r="X219" s="4">
        <v>1</v>
      </c>
      <c r="Y219" s="4">
        <v>0</v>
      </c>
      <c r="Z219" s="4"/>
      <c r="AA219" s="4"/>
      <c r="AB219" s="4"/>
    </row>
    <row r="220" spans="1:28" x14ac:dyDescent="0.2">
      <c r="A220" s="4">
        <v>50</v>
      </c>
      <c r="B220" s="4">
        <v>0</v>
      </c>
      <c r="C220" s="4">
        <v>0</v>
      </c>
      <c r="D220" s="4">
        <v>1</v>
      </c>
      <c r="E220" s="4">
        <v>207</v>
      </c>
      <c r="F220" s="4">
        <f>ROUND(Source!U198,O220)</f>
        <v>0</v>
      </c>
      <c r="G220" s="4" t="s">
        <v>62</v>
      </c>
      <c r="H220" s="4" t="s">
        <v>63</v>
      </c>
      <c r="I220" s="4"/>
      <c r="J220" s="4"/>
      <c r="K220" s="4">
        <v>207</v>
      </c>
      <c r="L220" s="4">
        <v>21</v>
      </c>
      <c r="M220" s="4">
        <v>3</v>
      </c>
      <c r="N220" s="4" t="s">
        <v>6</v>
      </c>
      <c r="O220" s="4">
        <v>7</v>
      </c>
      <c r="P220" s="4"/>
      <c r="Q220" s="4"/>
      <c r="R220" s="4"/>
      <c r="S220" s="4"/>
      <c r="T220" s="4"/>
      <c r="U220" s="4"/>
      <c r="V220" s="4"/>
      <c r="W220" s="4">
        <v>0</v>
      </c>
      <c r="X220" s="4">
        <v>1</v>
      </c>
      <c r="Y220" s="4">
        <v>0</v>
      </c>
      <c r="Z220" s="4"/>
      <c r="AA220" s="4"/>
      <c r="AB220" s="4"/>
    </row>
    <row r="221" spans="1:28" x14ac:dyDescent="0.2">
      <c r="A221" s="4">
        <v>50</v>
      </c>
      <c r="B221" s="4">
        <v>0</v>
      </c>
      <c r="C221" s="4">
        <v>0</v>
      </c>
      <c r="D221" s="4">
        <v>1</v>
      </c>
      <c r="E221" s="4">
        <v>208</v>
      </c>
      <c r="F221" s="4">
        <f>ROUND(Source!V198,O221)</f>
        <v>0</v>
      </c>
      <c r="G221" s="4" t="s">
        <v>64</v>
      </c>
      <c r="H221" s="4" t="s">
        <v>65</v>
      </c>
      <c r="I221" s="4"/>
      <c r="J221" s="4"/>
      <c r="K221" s="4">
        <v>208</v>
      </c>
      <c r="L221" s="4">
        <v>22</v>
      </c>
      <c r="M221" s="4">
        <v>3</v>
      </c>
      <c r="N221" s="4" t="s">
        <v>6</v>
      </c>
      <c r="O221" s="4">
        <v>7</v>
      </c>
      <c r="P221" s="4"/>
      <c r="Q221" s="4"/>
      <c r="R221" s="4"/>
      <c r="S221" s="4"/>
      <c r="T221" s="4"/>
      <c r="U221" s="4"/>
      <c r="V221" s="4"/>
      <c r="W221" s="4">
        <v>0</v>
      </c>
      <c r="X221" s="4">
        <v>1</v>
      </c>
      <c r="Y221" s="4">
        <v>0</v>
      </c>
      <c r="Z221" s="4"/>
      <c r="AA221" s="4"/>
      <c r="AB221" s="4"/>
    </row>
    <row r="222" spans="1:28" x14ac:dyDescent="0.2">
      <c r="A222" s="4">
        <v>50</v>
      </c>
      <c r="B222" s="4">
        <v>0</v>
      </c>
      <c r="C222" s="4">
        <v>0</v>
      </c>
      <c r="D222" s="4">
        <v>1</v>
      </c>
      <c r="E222" s="4">
        <v>209</v>
      </c>
      <c r="F222" s="4">
        <f>ROUND(Source!W198,O222)</f>
        <v>0</v>
      </c>
      <c r="G222" s="4" t="s">
        <v>66</v>
      </c>
      <c r="H222" s="4" t="s">
        <v>67</v>
      </c>
      <c r="I222" s="4"/>
      <c r="J222" s="4"/>
      <c r="K222" s="4">
        <v>209</v>
      </c>
      <c r="L222" s="4">
        <v>23</v>
      </c>
      <c r="M222" s="4">
        <v>3</v>
      </c>
      <c r="N222" s="4" t="s">
        <v>6</v>
      </c>
      <c r="O222" s="4">
        <v>0</v>
      </c>
      <c r="P222" s="4"/>
      <c r="Q222" s="4"/>
      <c r="R222" s="4"/>
      <c r="S222" s="4"/>
      <c r="T222" s="4"/>
      <c r="U222" s="4"/>
      <c r="V222" s="4"/>
      <c r="W222" s="4">
        <v>0</v>
      </c>
      <c r="X222" s="4">
        <v>1</v>
      </c>
      <c r="Y222" s="4">
        <v>0</v>
      </c>
      <c r="Z222" s="4"/>
      <c r="AA222" s="4"/>
      <c r="AB222" s="4"/>
    </row>
    <row r="223" spans="1:28" x14ac:dyDescent="0.2">
      <c r="A223" s="4">
        <v>50</v>
      </c>
      <c r="B223" s="4">
        <v>0</v>
      </c>
      <c r="C223" s="4">
        <v>0</v>
      </c>
      <c r="D223" s="4">
        <v>1</v>
      </c>
      <c r="E223" s="4">
        <v>233</v>
      </c>
      <c r="F223" s="4">
        <f>ROUND(Source!BD198,O223)</f>
        <v>0</v>
      </c>
      <c r="G223" s="4" t="s">
        <v>68</v>
      </c>
      <c r="H223" s="4" t="s">
        <v>69</v>
      </c>
      <c r="I223" s="4"/>
      <c r="J223" s="4"/>
      <c r="K223" s="4">
        <v>233</v>
      </c>
      <c r="L223" s="4">
        <v>24</v>
      </c>
      <c r="M223" s="4">
        <v>3</v>
      </c>
      <c r="N223" s="4" t="s">
        <v>6</v>
      </c>
      <c r="O223" s="4">
        <v>0</v>
      </c>
      <c r="P223" s="4"/>
      <c r="Q223" s="4"/>
      <c r="R223" s="4"/>
      <c r="S223" s="4"/>
      <c r="T223" s="4"/>
      <c r="U223" s="4"/>
      <c r="V223" s="4"/>
      <c r="W223" s="4">
        <v>0</v>
      </c>
      <c r="X223" s="4">
        <v>1</v>
      </c>
      <c r="Y223" s="4">
        <v>0</v>
      </c>
      <c r="Z223" s="4"/>
      <c r="AA223" s="4"/>
      <c r="AB223" s="4"/>
    </row>
    <row r="224" spans="1:28" x14ac:dyDescent="0.2">
      <c r="A224" s="4">
        <v>50</v>
      </c>
      <c r="B224" s="4">
        <v>0</v>
      </c>
      <c r="C224" s="4">
        <v>0</v>
      </c>
      <c r="D224" s="4">
        <v>1</v>
      </c>
      <c r="E224" s="4">
        <v>210</v>
      </c>
      <c r="F224" s="4">
        <f>ROUND(Source!X198,O224)</f>
        <v>0</v>
      </c>
      <c r="G224" s="4" t="s">
        <v>70</v>
      </c>
      <c r="H224" s="4" t="s">
        <v>71</v>
      </c>
      <c r="I224" s="4"/>
      <c r="J224" s="4"/>
      <c r="K224" s="4">
        <v>210</v>
      </c>
      <c r="L224" s="4">
        <v>25</v>
      </c>
      <c r="M224" s="4">
        <v>3</v>
      </c>
      <c r="N224" s="4" t="s">
        <v>6</v>
      </c>
      <c r="O224" s="4">
        <v>0</v>
      </c>
      <c r="P224" s="4"/>
      <c r="Q224" s="4"/>
      <c r="R224" s="4"/>
      <c r="S224" s="4"/>
      <c r="T224" s="4"/>
      <c r="U224" s="4"/>
      <c r="V224" s="4"/>
      <c r="W224" s="4">
        <v>0</v>
      </c>
      <c r="X224" s="4">
        <v>1</v>
      </c>
      <c r="Y224" s="4">
        <v>0</v>
      </c>
      <c r="Z224" s="4"/>
      <c r="AA224" s="4"/>
      <c r="AB224" s="4"/>
    </row>
    <row r="225" spans="1:255" x14ac:dyDescent="0.2">
      <c r="A225" s="4">
        <v>50</v>
      </c>
      <c r="B225" s="4">
        <v>0</v>
      </c>
      <c r="C225" s="4">
        <v>0</v>
      </c>
      <c r="D225" s="4">
        <v>1</v>
      </c>
      <c r="E225" s="4">
        <v>211</v>
      </c>
      <c r="F225" s="4">
        <f>ROUND(Source!Y198,O225)</f>
        <v>0</v>
      </c>
      <c r="G225" s="4" t="s">
        <v>72</v>
      </c>
      <c r="H225" s="4" t="s">
        <v>73</v>
      </c>
      <c r="I225" s="4"/>
      <c r="J225" s="4"/>
      <c r="K225" s="4">
        <v>211</v>
      </c>
      <c r="L225" s="4">
        <v>26</v>
      </c>
      <c r="M225" s="4">
        <v>3</v>
      </c>
      <c r="N225" s="4" t="s">
        <v>6</v>
      </c>
      <c r="O225" s="4">
        <v>0</v>
      </c>
      <c r="P225" s="4"/>
      <c r="Q225" s="4"/>
      <c r="R225" s="4"/>
      <c r="S225" s="4"/>
      <c r="T225" s="4"/>
      <c r="U225" s="4"/>
      <c r="V225" s="4"/>
      <c r="W225" s="4">
        <v>0</v>
      </c>
      <c r="X225" s="4">
        <v>1</v>
      </c>
      <c r="Y225" s="4">
        <v>0</v>
      </c>
      <c r="Z225" s="4"/>
      <c r="AA225" s="4"/>
      <c r="AB225" s="4"/>
    </row>
    <row r="226" spans="1:255" x14ac:dyDescent="0.2">
      <c r="A226" s="4">
        <v>50</v>
      </c>
      <c r="B226" s="4">
        <v>0</v>
      </c>
      <c r="C226" s="4">
        <v>0</v>
      </c>
      <c r="D226" s="4">
        <v>1</v>
      </c>
      <c r="E226" s="4">
        <v>224</v>
      </c>
      <c r="F226" s="4">
        <f>ROUND(Source!AR198,O226)</f>
        <v>0</v>
      </c>
      <c r="G226" s="4" t="s">
        <v>74</v>
      </c>
      <c r="H226" s="4" t="s">
        <v>75</v>
      </c>
      <c r="I226" s="4"/>
      <c r="J226" s="4"/>
      <c r="K226" s="4">
        <v>224</v>
      </c>
      <c r="L226" s="4">
        <v>27</v>
      </c>
      <c r="M226" s="4">
        <v>3</v>
      </c>
      <c r="N226" s="4" t="s">
        <v>6</v>
      </c>
      <c r="O226" s="4">
        <v>0</v>
      </c>
      <c r="P226" s="4"/>
      <c r="Q226" s="4"/>
      <c r="R226" s="4"/>
      <c r="S226" s="4"/>
      <c r="T226" s="4"/>
      <c r="U226" s="4"/>
      <c r="V226" s="4"/>
      <c r="W226" s="4">
        <v>0</v>
      </c>
      <c r="X226" s="4">
        <v>1</v>
      </c>
      <c r="Y226" s="4">
        <v>0</v>
      </c>
      <c r="Z226" s="4"/>
      <c r="AA226" s="4"/>
      <c r="AB226" s="4"/>
    </row>
    <row r="228" spans="1:255" x14ac:dyDescent="0.2">
      <c r="A228" s="1">
        <v>4</v>
      </c>
      <c r="B228" s="1">
        <v>1</v>
      </c>
      <c r="C228" s="1"/>
      <c r="D228" s="1">
        <f>ROW(A251)</f>
        <v>251</v>
      </c>
      <c r="E228" s="1"/>
      <c r="F228" s="1" t="s">
        <v>86</v>
      </c>
      <c r="G228" s="1" t="s">
        <v>87</v>
      </c>
      <c r="H228" s="1" t="s">
        <v>6</v>
      </c>
      <c r="I228" s="1">
        <v>0</v>
      </c>
      <c r="J228" s="1"/>
      <c r="K228" s="1">
        <v>-1</v>
      </c>
      <c r="L228" s="1"/>
      <c r="M228" s="1" t="s">
        <v>6</v>
      </c>
      <c r="N228" s="1"/>
      <c r="O228" s="1"/>
      <c r="P228" s="1"/>
      <c r="Q228" s="1"/>
      <c r="R228" s="1"/>
      <c r="S228" s="1">
        <v>0</v>
      </c>
      <c r="T228" s="1"/>
      <c r="U228" s="1" t="s">
        <v>6</v>
      </c>
      <c r="V228" s="1">
        <v>0</v>
      </c>
      <c r="W228" s="1"/>
      <c r="X228" s="1"/>
      <c r="Y228" s="1"/>
      <c r="Z228" s="1"/>
      <c r="AA228" s="1"/>
      <c r="AB228" s="1" t="s">
        <v>6</v>
      </c>
      <c r="AC228" s="1" t="s">
        <v>6</v>
      </c>
      <c r="AD228" s="1" t="s">
        <v>6</v>
      </c>
      <c r="AE228" s="1" t="s">
        <v>6</v>
      </c>
      <c r="AF228" s="1" t="s">
        <v>6</v>
      </c>
      <c r="AG228" s="1" t="s">
        <v>6</v>
      </c>
      <c r="AH228" s="1"/>
      <c r="AI228" s="1"/>
      <c r="AJ228" s="1"/>
      <c r="AK228" s="1"/>
      <c r="AL228" s="1"/>
      <c r="AM228" s="1"/>
      <c r="AN228" s="1"/>
      <c r="AO228" s="1"/>
      <c r="AP228" s="1" t="s">
        <v>6</v>
      </c>
      <c r="AQ228" s="1" t="s">
        <v>6</v>
      </c>
      <c r="AR228" s="1" t="s">
        <v>6</v>
      </c>
      <c r="AS228" s="1"/>
      <c r="AT228" s="1"/>
      <c r="AU228" s="1"/>
      <c r="AV228" s="1"/>
      <c r="AW228" s="1"/>
      <c r="AX228" s="1"/>
      <c r="AY228" s="1"/>
      <c r="AZ228" s="1" t="s">
        <v>6</v>
      </c>
      <c r="BA228" s="1"/>
      <c r="BB228" s="1" t="s">
        <v>6</v>
      </c>
      <c r="BC228" s="1" t="s">
        <v>6</v>
      </c>
      <c r="BD228" s="1" t="s">
        <v>6</v>
      </c>
      <c r="BE228" s="1" t="s">
        <v>6</v>
      </c>
      <c r="BF228" s="1" t="s">
        <v>6</v>
      </c>
      <c r="BG228" s="1" t="s">
        <v>6</v>
      </c>
      <c r="BH228" s="1" t="s">
        <v>6</v>
      </c>
      <c r="BI228" s="1" t="s">
        <v>6</v>
      </c>
      <c r="BJ228" s="1" t="s">
        <v>6</v>
      </c>
      <c r="BK228" s="1" t="s">
        <v>6</v>
      </c>
      <c r="BL228" s="1" t="s">
        <v>6</v>
      </c>
      <c r="BM228" s="1" t="s">
        <v>6</v>
      </c>
      <c r="BN228" s="1" t="s">
        <v>6</v>
      </c>
      <c r="BO228" s="1" t="s">
        <v>6</v>
      </c>
      <c r="BP228" s="1" t="s">
        <v>6</v>
      </c>
      <c r="BQ228" s="1"/>
      <c r="BR228" s="1"/>
      <c r="BS228" s="1"/>
      <c r="BT228" s="1"/>
      <c r="BU228" s="1"/>
      <c r="BV228" s="1"/>
      <c r="BW228" s="1"/>
      <c r="BX228" s="1">
        <v>0</v>
      </c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>
        <v>0</v>
      </c>
    </row>
    <row r="230" spans="1:255" x14ac:dyDescent="0.2">
      <c r="A230" s="2">
        <v>52</v>
      </c>
      <c r="B230" s="2">
        <f t="shared" ref="B230:G230" si="68">B251</f>
        <v>1</v>
      </c>
      <c r="C230" s="2">
        <f t="shared" si="68"/>
        <v>4</v>
      </c>
      <c r="D230" s="2">
        <f t="shared" si="68"/>
        <v>228</v>
      </c>
      <c r="E230" s="2">
        <f t="shared" si="68"/>
        <v>0</v>
      </c>
      <c r="F230" s="2" t="str">
        <f t="shared" si="68"/>
        <v>16</v>
      </c>
      <c r="G230" s="2" t="str">
        <f t="shared" si="68"/>
        <v>Помещения 74-78 (3 этаж)</v>
      </c>
      <c r="H230" s="2"/>
      <c r="I230" s="2"/>
      <c r="J230" s="2"/>
      <c r="K230" s="2"/>
      <c r="L230" s="2"/>
      <c r="M230" s="2"/>
      <c r="N230" s="2"/>
      <c r="O230" s="2">
        <f t="shared" ref="O230:AT230" si="69">O251</f>
        <v>49316.7</v>
      </c>
      <c r="P230" s="2">
        <f t="shared" si="69"/>
        <v>42159.96</v>
      </c>
      <c r="Q230" s="2">
        <f t="shared" si="69"/>
        <v>130.9</v>
      </c>
      <c r="R230" s="2">
        <f t="shared" si="69"/>
        <v>10.39</v>
      </c>
      <c r="S230" s="2">
        <f t="shared" si="69"/>
        <v>7015.45</v>
      </c>
      <c r="T230" s="2">
        <f t="shared" si="69"/>
        <v>0</v>
      </c>
      <c r="U230" s="2">
        <f t="shared" si="69"/>
        <v>21.243079999999999</v>
      </c>
      <c r="V230" s="2">
        <f t="shared" si="69"/>
        <v>3.0199999999999998E-2</v>
      </c>
      <c r="W230" s="2">
        <f t="shared" si="69"/>
        <v>0</v>
      </c>
      <c r="X230" s="2">
        <f t="shared" si="69"/>
        <v>6511.19</v>
      </c>
      <c r="Y230" s="2">
        <f t="shared" si="69"/>
        <v>3397.31</v>
      </c>
      <c r="Z230" s="2">
        <f t="shared" si="69"/>
        <v>0</v>
      </c>
      <c r="AA230" s="2">
        <f t="shared" si="69"/>
        <v>0</v>
      </c>
      <c r="AB230" s="2">
        <f t="shared" si="69"/>
        <v>49316.7</v>
      </c>
      <c r="AC230" s="2">
        <f t="shared" si="69"/>
        <v>42159.96</v>
      </c>
      <c r="AD230" s="2">
        <f t="shared" si="69"/>
        <v>130.9</v>
      </c>
      <c r="AE230" s="2">
        <f t="shared" si="69"/>
        <v>10.39</v>
      </c>
      <c r="AF230" s="2">
        <f t="shared" si="69"/>
        <v>7015.45</v>
      </c>
      <c r="AG230" s="2">
        <f t="shared" si="69"/>
        <v>0</v>
      </c>
      <c r="AH230" s="2">
        <f t="shared" si="69"/>
        <v>21.243079999999999</v>
      </c>
      <c r="AI230" s="2">
        <f t="shared" si="69"/>
        <v>3.0199999999999998E-2</v>
      </c>
      <c r="AJ230" s="2">
        <f t="shared" si="69"/>
        <v>0</v>
      </c>
      <c r="AK230" s="2">
        <f t="shared" si="69"/>
        <v>6511.19</v>
      </c>
      <c r="AL230" s="2">
        <f t="shared" si="69"/>
        <v>3397.31</v>
      </c>
      <c r="AM230" s="2">
        <f t="shared" si="69"/>
        <v>0</v>
      </c>
      <c r="AN230" s="2">
        <f t="shared" si="69"/>
        <v>0</v>
      </c>
      <c r="AO230" s="2">
        <f t="shared" si="69"/>
        <v>0</v>
      </c>
      <c r="AP230" s="2">
        <f t="shared" si="69"/>
        <v>0</v>
      </c>
      <c r="AQ230" s="2">
        <f t="shared" si="69"/>
        <v>0</v>
      </c>
      <c r="AR230" s="2">
        <f t="shared" si="69"/>
        <v>59225.2</v>
      </c>
      <c r="AS230" s="2">
        <f t="shared" si="69"/>
        <v>3029.44</v>
      </c>
      <c r="AT230" s="2">
        <f t="shared" si="69"/>
        <v>56195.76</v>
      </c>
      <c r="AU230" s="2">
        <f t="shared" ref="AU230:BZ230" si="70">AU251</f>
        <v>0</v>
      </c>
      <c r="AV230" s="2">
        <f t="shared" si="70"/>
        <v>42159.96</v>
      </c>
      <c r="AW230" s="2">
        <f t="shared" si="70"/>
        <v>42159.96</v>
      </c>
      <c r="AX230" s="2">
        <f t="shared" si="70"/>
        <v>0</v>
      </c>
      <c r="AY230" s="2">
        <f t="shared" si="70"/>
        <v>42159.96</v>
      </c>
      <c r="AZ230" s="2">
        <f t="shared" si="70"/>
        <v>0</v>
      </c>
      <c r="BA230" s="2">
        <f t="shared" si="70"/>
        <v>0</v>
      </c>
      <c r="BB230" s="2">
        <f t="shared" si="70"/>
        <v>0</v>
      </c>
      <c r="BC230" s="2">
        <f t="shared" si="70"/>
        <v>0</v>
      </c>
      <c r="BD230" s="2">
        <f t="shared" si="70"/>
        <v>0</v>
      </c>
      <c r="BE230" s="2">
        <f t="shared" si="70"/>
        <v>0</v>
      </c>
      <c r="BF230" s="2">
        <f t="shared" si="70"/>
        <v>0</v>
      </c>
      <c r="BG230" s="2">
        <f t="shared" si="70"/>
        <v>0</v>
      </c>
      <c r="BH230" s="2">
        <f t="shared" si="70"/>
        <v>0</v>
      </c>
      <c r="BI230" s="2">
        <f t="shared" si="70"/>
        <v>0</v>
      </c>
      <c r="BJ230" s="2">
        <f t="shared" si="70"/>
        <v>0</v>
      </c>
      <c r="BK230" s="2">
        <f t="shared" si="70"/>
        <v>0</v>
      </c>
      <c r="BL230" s="2">
        <f t="shared" si="70"/>
        <v>0</v>
      </c>
      <c r="BM230" s="2">
        <f t="shared" si="70"/>
        <v>0</v>
      </c>
      <c r="BN230" s="2">
        <f t="shared" si="70"/>
        <v>0</v>
      </c>
      <c r="BO230" s="2">
        <f t="shared" si="70"/>
        <v>0</v>
      </c>
      <c r="BP230" s="2">
        <f t="shared" si="70"/>
        <v>0</v>
      </c>
      <c r="BQ230" s="2">
        <f t="shared" si="70"/>
        <v>0</v>
      </c>
      <c r="BR230" s="2">
        <f t="shared" si="70"/>
        <v>0</v>
      </c>
      <c r="BS230" s="2">
        <f t="shared" si="70"/>
        <v>0</v>
      </c>
      <c r="BT230" s="2">
        <f t="shared" si="70"/>
        <v>0</v>
      </c>
      <c r="BU230" s="2">
        <f t="shared" si="70"/>
        <v>0</v>
      </c>
      <c r="BV230" s="2">
        <f t="shared" si="70"/>
        <v>0</v>
      </c>
      <c r="BW230" s="2">
        <f t="shared" si="70"/>
        <v>0</v>
      </c>
      <c r="BX230" s="2">
        <f t="shared" si="70"/>
        <v>0</v>
      </c>
      <c r="BY230" s="2">
        <f t="shared" si="70"/>
        <v>0</v>
      </c>
      <c r="BZ230" s="2">
        <f t="shared" si="70"/>
        <v>0</v>
      </c>
      <c r="CA230" s="2">
        <f t="shared" ref="CA230:DF230" si="71">CA251</f>
        <v>59225.2</v>
      </c>
      <c r="CB230" s="2">
        <f t="shared" si="71"/>
        <v>3029.44</v>
      </c>
      <c r="CC230" s="2">
        <f t="shared" si="71"/>
        <v>56195.76</v>
      </c>
      <c r="CD230" s="2">
        <f t="shared" si="71"/>
        <v>0</v>
      </c>
      <c r="CE230" s="2">
        <f t="shared" si="71"/>
        <v>42159.96</v>
      </c>
      <c r="CF230" s="2">
        <f t="shared" si="71"/>
        <v>42159.96</v>
      </c>
      <c r="CG230" s="2">
        <f t="shared" si="71"/>
        <v>0</v>
      </c>
      <c r="CH230" s="2">
        <f t="shared" si="71"/>
        <v>42159.96</v>
      </c>
      <c r="CI230" s="2">
        <f t="shared" si="71"/>
        <v>0</v>
      </c>
      <c r="CJ230" s="2">
        <f t="shared" si="71"/>
        <v>0</v>
      </c>
      <c r="CK230" s="2">
        <f t="shared" si="71"/>
        <v>0</v>
      </c>
      <c r="CL230" s="2">
        <f t="shared" si="71"/>
        <v>0</v>
      </c>
      <c r="CM230" s="2">
        <f t="shared" si="71"/>
        <v>0</v>
      </c>
      <c r="CN230" s="2">
        <f t="shared" si="71"/>
        <v>0</v>
      </c>
      <c r="CO230" s="2">
        <f t="shared" si="71"/>
        <v>0</v>
      </c>
      <c r="CP230" s="2">
        <f t="shared" si="71"/>
        <v>0</v>
      </c>
      <c r="CQ230" s="2">
        <f t="shared" si="71"/>
        <v>0</v>
      </c>
      <c r="CR230" s="2">
        <f t="shared" si="71"/>
        <v>0</v>
      </c>
      <c r="CS230" s="2">
        <f t="shared" si="71"/>
        <v>0</v>
      </c>
      <c r="CT230" s="2">
        <f t="shared" si="71"/>
        <v>0</v>
      </c>
      <c r="CU230" s="2">
        <f t="shared" si="71"/>
        <v>0</v>
      </c>
      <c r="CV230" s="2">
        <f t="shared" si="71"/>
        <v>0</v>
      </c>
      <c r="CW230" s="2">
        <f t="shared" si="71"/>
        <v>0</v>
      </c>
      <c r="CX230" s="2">
        <f t="shared" si="71"/>
        <v>0</v>
      </c>
      <c r="CY230" s="2">
        <f t="shared" si="71"/>
        <v>0</v>
      </c>
      <c r="CZ230" s="2">
        <f t="shared" si="71"/>
        <v>0</v>
      </c>
      <c r="DA230" s="2">
        <f t="shared" si="71"/>
        <v>0</v>
      </c>
      <c r="DB230" s="2">
        <f t="shared" si="71"/>
        <v>0</v>
      </c>
      <c r="DC230" s="2">
        <f t="shared" si="71"/>
        <v>0</v>
      </c>
      <c r="DD230" s="2">
        <f t="shared" si="71"/>
        <v>0</v>
      </c>
      <c r="DE230" s="2">
        <f t="shared" si="71"/>
        <v>0</v>
      </c>
      <c r="DF230" s="2">
        <f t="shared" si="71"/>
        <v>0</v>
      </c>
      <c r="DG230" s="3">
        <f t="shared" ref="DG230:EL230" si="72">DG251</f>
        <v>0</v>
      </c>
      <c r="DH230" s="3">
        <f t="shared" si="72"/>
        <v>0</v>
      </c>
      <c r="DI230" s="3">
        <f t="shared" si="72"/>
        <v>0</v>
      </c>
      <c r="DJ230" s="3">
        <f t="shared" si="72"/>
        <v>0</v>
      </c>
      <c r="DK230" s="3">
        <f t="shared" si="72"/>
        <v>0</v>
      </c>
      <c r="DL230" s="3">
        <f t="shared" si="72"/>
        <v>0</v>
      </c>
      <c r="DM230" s="3">
        <f t="shared" si="72"/>
        <v>0</v>
      </c>
      <c r="DN230" s="3">
        <f t="shared" si="72"/>
        <v>0</v>
      </c>
      <c r="DO230" s="3">
        <f t="shared" si="72"/>
        <v>0</v>
      </c>
      <c r="DP230" s="3">
        <f t="shared" si="72"/>
        <v>0</v>
      </c>
      <c r="DQ230" s="3">
        <f t="shared" si="72"/>
        <v>0</v>
      </c>
      <c r="DR230" s="3">
        <f t="shared" si="72"/>
        <v>0</v>
      </c>
      <c r="DS230" s="3">
        <f t="shared" si="72"/>
        <v>0</v>
      </c>
      <c r="DT230" s="3">
        <f t="shared" si="72"/>
        <v>0</v>
      </c>
      <c r="DU230" s="3">
        <f t="shared" si="72"/>
        <v>0</v>
      </c>
      <c r="DV230" s="3">
        <f t="shared" si="72"/>
        <v>0</v>
      </c>
      <c r="DW230" s="3">
        <f t="shared" si="72"/>
        <v>0</v>
      </c>
      <c r="DX230" s="3">
        <f t="shared" si="72"/>
        <v>0</v>
      </c>
      <c r="DY230" s="3">
        <f t="shared" si="72"/>
        <v>0</v>
      </c>
      <c r="DZ230" s="3">
        <f t="shared" si="72"/>
        <v>0</v>
      </c>
      <c r="EA230" s="3">
        <f t="shared" si="72"/>
        <v>0</v>
      </c>
      <c r="EB230" s="3">
        <f t="shared" si="72"/>
        <v>0</v>
      </c>
      <c r="EC230" s="3">
        <f t="shared" si="72"/>
        <v>0</v>
      </c>
      <c r="ED230" s="3">
        <f t="shared" si="72"/>
        <v>0</v>
      </c>
      <c r="EE230" s="3">
        <f t="shared" si="72"/>
        <v>0</v>
      </c>
      <c r="EF230" s="3">
        <f t="shared" si="72"/>
        <v>0</v>
      </c>
      <c r="EG230" s="3">
        <f t="shared" si="72"/>
        <v>0</v>
      </c>
      <c r="EH230" s="3">
        <f t="shared" si="72"/>
        <v>0</v>
      </c>
      <c r="EI230" s="3">
        <f t="shared" si="72"/>
        <v>0</v>
      </c>
      <c r="EJ230" s="3">
        <f t="shared" si="72"/>
        <v>0</v>
      </c>
      <c r="EK230" s="3">
        <f t="shared" si="72"/>
        <v>0</v>
      </c>
      <c r="EL230" s="3">
        <f t="shared" si="72"/>
        <v>0</v>
      </c>
      <c r="EM230" s="3">
        <f t="shared" ref="EM230:FR230" si="73">EM251</f>
        <v>0</v>
      </c>
      <c r="EN230" s="3">
        <f t="shared" si="73"/>
        <v>0</v>
      </c>
      <c r="EO230" s="3">
        <f t="shared" si="73"/>
        <v>0</v>
      </c>
      <c r="EP230" s="3">
        <f t="shared" si="73"/>
        <v>0</v>
      </c>
      <c r="EQ230" s="3">
        <f t="shared" si="73"/>
        <v>0</v>
      </c>
      <c r="ER230" s="3">
        <f t="shared" si="73"/>
        <v>0</v>
      </c>
      <c r="ES230" s="3">
        <f t="shared" si="73"/>
        <v>0</v>
      </c>
      <c r="ET230" s="3">
        <f t="shared" si="73"/>
        <v>0</v>
      </c>
      <c r="EU230" s="3">
        <f t="shared" si="73"/>
        <v>0</v>
      </c>
      <c r="EV230" s="3">
        <f t="shared" si="73"/>
        <v>0</v>
      </c>
      <c r="EW230" s="3">
        <f t="shared" si="73"/>
        <v>0</v>
      </c>
      <c r="EX230" s="3">
        <f t="shared" si="73"/>
        <v>0</v>
      </c>
      <c r="EY230" s="3">
        <f t="shared" si="73"/>
        <v>0</v>
      </c>
      <c r="EZ230" s="3">
        <f t="shared" si="73"/>
        <v>0</v>
      </c>
      <c r="FA230" s="3">
        <f t="shared" si="73"/>
        <v>0</v>
      </c>
      <c r="FB230" s="3">
        <f t="shared" si="73"/>
        <v>0</v>
      </c>
      <c r="FC230" s="3">
        <f t="shared" si="73"/>
        <v>0</v>
      </c>
      <c r="FD230" s="3">
        <f t="shared" si="73"/>
        <v>0</v>
      </c>
      <c r="FE230" s="3">
        <f t="shared" si="73"/>
        <v>0</v>
      </c>
      <c r="FF230" s="3">
        <f t="shared" si="73"/>
        <v>0</v>
      </c>
      <c r="FG230" s="3">
        <f t="shared" si="73"/>
        <v>0</v>
      </c>
      <c r="FH230" s="3">
        <f t="shared" si="73"/>
        <v>0</v>
      </c>
      <c r="FI230" s="3">
        <f t="shared" si="73"/>
        <v>0</v>
      </c>
      <c r="FJ230" s="3">
        <f t="shared" si="73"/>
        <v>0</v>
      </c>
      <c r="FK230" s="3">
        <f t="shared" si="73"/>
        <v>0</v>
      </c>
      <c r="FL230" s="3">
        <f t="shared" si="73"/>
        <v>0</v>
      </c>
      <c r="FM230" s="3">
        <f t="shared" si="73"/>
        <v>0</v>
      </c>
      <c r="FN230" s="3">
        <f t="shared" si="73"/>
        <v>0</v>
      </c>
      <c r="FO230" s="3">
        <f t="shared" si="73"/>
        <v>0</v>
      </c>
      <c r="FP230" s="3">
        <f t="shared" si="73"/>
        <v>0</v>
      </c>
      <c r="FQ230" s="3">
        <f t="shared" si="73"/>
        <v>0</v>
      </c>
      <c r="FR230" s="3">
        <f t="shared" si="73"/>
        <v>0</v>
      </c>
      <c r="FS230" s="3">
        <f t="shared" ref="FS230:GX230" si="74">FS251</f>
        <v>0</v>
      </c>
      <c r="FT230" s="3">
        <f t="shared" si="74"/>
        <v>0</v>
      </c>
      <c r="FU230" s="3">
        <f t="shared" si="74"/>
        <v>0</v>
      </c>
      <c r="FV230" s="3">
        <f t="shared" si="74"/>
        <v>0</v>
      </c>
      <c r="FW230" s="3">
        <f t="shared" si="74"/>
        <v>0</v>
      </c>
      <c r="FX230" s="3">
        <f t="shared" si="74"/>
        <v>0</v>
      </c>
      <c r="FY230" s="3">
        <f t="shared" si="74"/>
        <v>0</v>
      </c>
      <c r="FZ230" s="3">
        <f t="shared" si="74"/>
        <v>0</v>
      </c>
      <c r="GA230" s="3">
        <f t="shared" si="74"/>
        <v>0</v>
      </c>
      <c r="GB230" s="3">
        <f t="shared" si="74"/>
        <v>0</v>
      </c>
      <c r="GC230" s="3">
        <f t="shared" si="74"/>
        <v>0</v>
      </c>
      <c r="GD230" s="3">
        <f t="shared" si="74"/>
        <v>0</v>
      </c>
      <c r="GE230" s="3">
        <f t="shared" si="74"/>
        <v>0</v>
      </c>
      <c r="GF230" s="3">
        <f t="shared" si="74"/>
        <v>0</v>
      </c>
      <c r="GG230" s="3">
        <f t="shared" si="74"/>
        <v>0</v>
      </c>
      <c r="GH230" s="3">
        <f t="shared" si="74"/>
        <v>0</v>
      </c>
      <c r="GI230" s="3">
        <f t="shared" si="74"/>
        <v>0</v>
      </c>
      <c r="GJ230" s="3">
        <f t="shared" si="74"/>
        <v>0</v>
      </c>
      <c r="GK230" s="3">
        <f t="shared" si="74"/>
        <v>0</v>
      </c>
      <c r="GL230" s="3">
        <f t="shared" si="74"/>
        <v>0</v>
      </c>
      <c r="GM230" s="3">
        <f t="shared" si="74"/>
        <v>0</v>
      </c>
      <c r="GN230" s="3">
        <f t="shared" si="74"/>
        <v>0</v>
      </c>
      <c r="GO230" s="3">
        <f t="shared" si="74"/>
        <v>0</v>
      </c>
      <c r="GP230" s="3">
        <f t="shared" si="74"/>
        <v>0</v>
      </c>
      <c r="GQ230" s="3">
        <f t="shared" si="74"/>
        <v>0</v>
      </c>
      <c r="GR230" s="3">
        <f t="shared" si="74"/>
        <v>0</v>
      </c>
      <c r="GS230" s="3">
        <f t="shared" si="74"/>
        <v>0</v>
      </c>
      <c r="GT230" s="3">
        <f t="shared" si="74"/>
        <v>0</v>
      </c>
      <c r="GU230" s="3">
        <f t="shared" si="74"/>
        <v>0</v>
      </c>
      <c r="GV230" s="3">
        <f t="shared" si="74"/>
        <v>0</v>
      </c>
      <c r="GW230" s="3">
        <f t="shared" si="74"/>
        <v>0</v>
      </c>
      <c r="GX230" s="3">
        <f t="shared" si="74"/>
        <v>0</v>
      </c>
    </row>
    <row r="232" spans="1:255" x14ac:dyDescent="0.2">
      <c r="A232" s="5">
        <v>17</v>
      </c>
      <c r="B232" s="5">
        <v>1</v>
      </c>
      <c r="C232" s="5">
        <f>ROW(SmtRes!A3)</f>
        <v>3</v>
      </c>
      <c r="D232" s="5">
        <f>ROW(EtalonRes!A3)</f>
        <v>3</v>
      </c>
      <c r="E232" s="5" t="s">
        <v>88</v>
      </c>
      <c r="F232" s="5" t="s">
        <v>89</v>
      </c>
      <c r="G232" s="5" t="s">
        <v>90</v>
      </c>
      <c r="H232" s="5" t="s">
        <v>91</v>
      </c>
      <c r="I232" s="5">
        <f>ROUND(0.06,7)</f>
        <v>0.06</v>
      </c>
      <c r="J232" s="5">
        <v>0</v>
      </c>
      <c r="K232" s="5">
        <f>ROUND(0.06,7)</f>
        <v>0.06</v>
      </c>
      <c r="L232" s="5"/>
      <c r="M232" s="5"/>
      <c r="N232" s="5"/>
      <c r="O232" s="5">
        <f>ROUND(CP232,2)</f>
        <v>103.95</v>
      </c>
      <c r="P232" s="5">
        <f>SUMIF(SmtRes!AQ1:'SmtRes'!AQ3,"=1",SmtRes!DF1:'SmtRes'!DF3)</f>
        <v>0</v>
      </c>
      <c r="Q232" s="5">
        <f>SUMIF(SmtRes!AQ1:'SmtRes'!AQ3,"=1",SmtRes!DG1:'SmtRes'!DG3)</f>
        <v>0.1</v>
      </c>
      <c r="R232" s="5">
        <f>SUMIF(SmtRes!AQ1:'SmtRes'!AQ3,"=1",SmtRes!DH1:'SmtRes'!DH3)</f>
        <v>0.54</v>
      </c>
      <c r="S232" s="5">
        <f>SUMIF(SmtRes!AQ1:'SmtRes'!AQ3,"=1",SmtRes!DI1:'SmtRes'!DI3)</f>
        <v>103.31</v>
      </c>
      <c r="T232" s="5">
        <f t="shared" ref="T232:T249" si="75">ROUND(CU232*I232,2)</f>
        <v>0</v>
      </c>
      <c r="U232" s="5">
        <f>SUMIF(SmtRes!AQ1:'SmtRes'!AQ3,"=1",SmtRes!CV1:'SmtRes'!CV3)</f>
        <v>0.37919999999999998</v>
      </c>
      <c r="V232" s="5">
        <f>SUMIF(SmtRes!AQ1:'SmtRes'!AQ3,"=1",SmtRes!CW1:'SmtRes'!CW3)</f>
        <v>1.8E-3</v>
      </c>
      <c r="W232" s="5">
        <f t="shared" ref="W232:W249" si="76">ROUND(CX232*I232,2)</f>
        <v>0</v>
      </c>
      <c r="X232" s="5">
        <f t="shared" ref="X232:X249" si="77">ROUND(CY232,2)</f>
        <v>94.5</v>
      </c>
      <c r="Y232" s="5">
        <f t="shared" ref="Y232:Y249" si="78">ROUND(CZ232,2)</f>
        <v>49.85</v>
      </c>
      <c r="Z232" s="5"/>
      <c r="AA232" s="5">
        <v>74850150</v>
      </c>
      <c r="AB232" s="5">
        <f t="shared" ref="AB232:AB249" si="79">ROUND((AC232+AD232+AF232),6)</f>
        <v>1722.8771999999999</v>
      </c>
      <c r="AC232" s="5">
        <f>ROUND((0),6)</f>
        <v>0</v>
      </c>
      <c r="AD232" s="5">
        <f>ROUND((((SUM(SmtRes!BR1:'SmtRes'!BR3))-(SUM(SmtRes!BS1:'SmtRes'!BS3)))+AE232),6)</f>
        <v>1.1195999999999999</v>
      </c>
      <c r="AE232" s="5">
        <f>ROUND((SUM(SmtRes!BS1:'SmtRes'!BS3)),6)</f>
        <v>8.9229000000000003</v>
      </c>
      <c r="AF232" s="5">
        <f>ROUND((SUM(SmtRes!BT1:'SmtRes'!BT3)),6)</f>
        <v>1721.7575999999999</v>
      </c>
      <c r="AG232" s="5">
        <f t="shared" ref="AG232:AG249" si="80">ROUND((AP232),6)</f>
        <v>0</v>
      </c>
      <c r="AH232" s="5">
        <f>(SUM(SmtRes!BU1:'SmtRes'!BU3))</f>
        <v>6.32</v>
      </c>
      <c r="AI232" s="5">
        <f>(SUM(SmtRes!BV1:'SmtRes'!BV3))</f>
        <v>0.03</v>
      </c>
      <c r="AJ232" s="5">
        <f t="shared" ref="AJ232:AJ249" si="81">(AS232)</f>
        <v>0</v>
      </c>
      <c r="AK232" s="5">
        <v>1731.8001000000002</v>
      </c>
      <c r="AL232" s="5">
        <v>0</v>
      </c>
      <c r="AM232" s="5">
        <v>1.1195999999999999</v>
      </c>
      <c r="AN232" s="5">
        <v>8.9229000000000003</v>
      </c>
      <c r="AO232" s="5">
        <v>1721.7576000000001</v>
      </c>
      <c r="AP232" s="5">
        <v>0</v>
      </c>
      <c r="AQ232" s="5">
        <v>6.32</v>
      </c>
      <c r="AR232" s="5">
        <v>0.03</v>
      </c>
      <c r="AS232" s="5">
        <v>0</v>
      </c>
      <c r="AT232" s="5">
        <v>91</v>
      </c>
      <c r="AU232" s="5">
        <v>48</v>
      </c>
      <c r="AV232" s="5">
        <v>1</v>
      </c>
      <c r="AW232" s="5">
        <v>1</v>
      </c>
      <c r="AX232" s="5"/>
      <c r="AY232" s="5"/>
      <c r="AZ232" s="5">
        <v>1</v>
      </c>
      <c r="BA232" s="5">
        <v>1</v>
      </c>
      <c r="BB232" s="5">
        <v>1</v>
      </c>
      <c r="BC232" s="5">
        <v>1</v>
      </c>
      <c r="BD232" s="5" t="s">
        <v>6</v>
      </c>
      <c r="BE232" s="5" t="s">
        <v>6</v>
      </c>
      <c r="BF232" s="5" t="s">
        <v>6</v>
      </c>
      <c r="BG232" s="5" t="s">
        <v>6</v>
      </c>
      <c r="BH232" s="5">
        <v>0</v>
      </c>
      <c r="BI232" s="5">
        <v>1</v>
      </c>
      <c r="BJ232" s="5" t="s">
        <v>92</v>
      </c>
      <c r="BK232" s="5"/>
      <c r="BL232" s="5"/>
      <c r="BM232" s="5">
        <v>67001</v>
      </c>
      <c r="BN232" s="5">
        <v>0</v>
      </c>
      <c r="BO232" s="5" t="s">
        <v>6</v>
      </c>
      <c r="BP232" s="5">
        <v>0</v>
      </c>
      <c r="BQ232" s="5">
        <v>6</v>
      </c>
      <c r="BR232" s="5">
        <v>0</v>
      </c>
      <c r="BS232" s="5">
        <v>1</v>
      </c>
      <c r="BT232" s="5">
        <v>1</v>
      </c>
      <c r="BU232" s="5">
        <v>1</v>
      </c>
      <c r="BV232" s="5">
        <v>1</v>
      </c>
      <c r="BW232" s="5">
        <v>1</v>
      </c>
      <c r="BX232" s="5">
        <v>1</v>
      </c>
      <c r="BY232" s="5" t="s">
        <v>6</v>
      </c>
      <c r="BZ232" s="5">
        <v>91</v>
      </c>
      <c r="CA232" s="5">
        <v>48</v>
      </c>
      <c r="CB232" s="5" t="s">
        <v>6</v>
      </c>
      <c r="CC232" s="5"/>
      <c r="CD232" s="5"/>
      <c r="CE232" s="5">
        <v>0</v>
      </c>
      <c r="CF232" s="5">
        <v>0</v>
      </c>
      <c r="CG232" s="5">
        <v>0</v>
      </c>
      <c r="CH232" s="5"/>
      <c r="CI232" s="5"/>
      <c r="CJ232" s="5"/>
      <c r="CK232" s="5"/>
      <c r="CL232" s="5"/>
      <c r="CM232" s="5">
        <v>0</v>
      </c>
      <c r="CN232" s="5" t="s">
        <v>6</v>
      </c>
      <c r="CO232" s="5">
        <v>0</v>
      </c>
      <c r="CP232" s="5">
        <f>(P232+Q232+S232+R232)</f>
        <v>103.95</v>
      </c>
      <c r="CQ232" s="5">
        <f>SUMIF(SmtRes!AQ1:'SmtRes'!AQ3,"=1",SmtRes!AA1:'SmtRes'!AA3)</f>
        <v>0</v>
      </c>
      <c r="CR232" s="5">
        <f>SUMIF(SmtRes!AQ1:'SmtRes'!AQ3,"=1",SmtRes!AB1:'SmtRes'!AB3)</f>
        <v>55.23</v>
      </c>
      <c r="CS232" s="5">
        <f>SUMIF(SmtRes!AQ1:'SmtRes'!AQ3,"=1",SmtRes!AC1:'SmtRes'!AC3)</f>
        <v>297.43</v>
      </c>
      <c r="CT232" s="5">
        <f>SUMIF(SmtRes!AQ1:'SmtRes'!AQ3,"=1",SmtRes!AD1:'SmtRes'!AD3)</f>
        <v>272.43</v>
      </c>
      <c r="CU232" s="5">
        <f>AG232</f>
        <v>0</v>
      </c>
      <c r="CV232" s="5">
        <f>SUMIF(SmtRes!AQ1:'SmtRes'!AQ3,"=1",SmtRes!BU1:'SmtRes'!BU3)</f>
        <v>6.32</v>
      </c>
      <c r="CW232" s="5">
        <f>SUMIF(SmtRes!AQ1:'SmtRes'!AQ3,"=1",SmtRes!BV1:'SmtRes'!BV3)</f>
        <v>0.03</v>
      </c>
      <c r="CX232" s="5">
        <f>AJ232</f>
        <v>0</v>
      </c>
      <c r="CY232" s="5">
        <f>(((S232+R232)*AT232)/100)</f>
        <v>94.503500000000003</v>
      </c>
      <c r="CZ232" s="5">
        <f>(((S232+R232)*AU232)/100)</f>
        <v>49.847999999999999</v>
      </c>
      <c r="DA232" s="5"/>
      <c r="DB232" s="5"/>
      <c r="DC232" s="5" t="s">
        <v>6</v>
      </c>
      <c r="DD232" s="5" t="s">
        <v>6</v>
      </c>
      <c r="DE232" s="5" t="s">
        <v>6</v>
      </c>
      <c r="DF232" s="5" t="s">
        <v>6</v>
      </c>
      <c r="DG232" s="5" t="s">
        <v>6</v>
      </c>
      <c r="DH232" s="5" t="s">
        <v>6</v>
      </c>
      <c r="DI232" s="5" t="s">
        <v>6</v>
      </c>
      <c r="DJ232" s="5" t="s">
        <v>6</v>
      </c>
      <c r="DK232" s="5" t="s">
        <v>6</v>
      </c>
      <c r="DL232" s="5" t="s">
        <v>6</v>
      </c>
      <c r="DM232" s="5" t="s">
        <v>6</v>
      </c>
      <c r="DN232" s="5">
        <v>0</v>
      </c>
      <c r="DO232" s="5">
        <v>0</v>
      </c>
      <c r="DP232" s="5">
        <v>1</v>
      </c>
      <c r="DQ232" s="5">
        <v>1</v>
      </c>
      <c r="DR232" s="5"/>
      <c r="DS232" s="5"/>
      <c r="DT232" s="5"/>
      <c r="DU232" s="5">
        <v>1013</v>
      </c>
      <c r="DV232" s="5" t="s">
        <v>91</v>
      </c>
      <c r="DW232" s="5" t="s">
        <v>91</v>
      </c>
      <c r="DX232" s="5">
        <v>1</v>
      </c>
      <c r="DY232" s="5"/>
      <c r="DZ232" s="5" t="s">
        <v>6</v>
      </c>
      <c r="EA232" s="5" t="s">
        <v>6</v>
      </c>
      <c r="EB232" s="5" t="s">
        <v>6</v>
      </c>
      <c r="EC232" s="5" t="s">
        <v>6</v>
      </c>
      <c r="ED232" s="5"/>
      <c r="EE232" s="5">
        <v>72417508</v>
      </c>
      <c r="EF232" s="5">
        <v>6</v>
      </c>
      <c r="EG232" s="5" t="s">
        <v>93</v>
      </c>
      <c r="EH232" s="5">
        <v>101</v>
      </c>
      <c r="EI232" s="5" t="s">
        <v>19</v>
      </c>
      <c r="EJ232" s="5">
        <v>1</v>
      </c>
      <c r="EK232" s="5">
        <v>67001</v>
      </c>
      <c r="EL232" s="5" t="s">
        <v>19</v>
      </c>
      <c r="EM232" s="5" t="s">
        <v>94</v>
      </c>
      <c r="EN232" s="5"/>
      <c r="EO232" s="5" t="s">
        <v>6</v>
      </c>
      <c r="EP232" s="5"/>
      <c r="EQ232" s="5">
        <v>0</v>
      </c>
      <c r="ER232" s="5">
        <v>0</v>
      </c>
      <c r="ES232" s="5">
        <v>0</v>
      </c>
      <c r="ET232" s="5">
        <v>0</v>
      </c>
      <c r="EU232" s="5">
        <v>0</v>
      </c>
      <c r="EV232" s="5">
        <v>0</v>
      </c>
      <c r="EW232" s="5">
        <v>6.32</v>
      </c>
      <c r="EX232" s="5">
        <v>0.03</v>
      </c>
      <c r="EY232" s="5">
        <v>0</v>
      </c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>
        <v>0</v>
      </c>
      <c r="FR232" s="5">
        <v>0</v>
      </c>
      <c r="FS232" s="5">
        <v>0</v>
      </c>
      <c r="FT232" s="5"/>
      <c r="FU232" s="5"/>
      <c r="FV232" s="5"/>
      <c r="FW232" s="5"/>
      <c r="FX232" s="5">
        <v>91</v>
      </c>
      <c r="FY232" s="5">
        <v>48</v>
      </c>
      <c r="FZ232" s="5"/>
      <c r="GA232" s="5" t="s">
        <v>6</v>
      </c>
      <c r="GB232" s="5"/>
      <c r="GC232" s="5"/>
      <c r="GD232" s="5">
        <v>1</v>
      </c>
      <c r="GE232" s="5"/>
      <c r="GF232" s="5">
        <v>-1038379738</v>
      </c>
      <c r="GG232" s="5">
        <v>2</v>
      </c>
      <c r="GH232" s="5">
        <v>1</v>
      </c>
      <c r="GI232" s="5">
        <v>-2</v>
      </c>
      <c r="GJ232" s="5">
        <v>0</v>
      </c>
      <c r="GK232" s="5">
        <v>0</v>
      </c>
      <c r="GL232" s="5">
        <f t="shared" ref="GL232:GL249" si="82">ROUND(IF(AND(BH232=3,BI232=3,FS232&lt;&gt;0),P232,0),2)</f>
        <v>0</v>
      </c>
      <c r="GM232" s="5">
        <f t="shared" ref="GM232:GM249" si="83">ROUND(O232+X232+Y232,2)+GX232</f>
        <v>248.3</v>
      </c>
      <c r="GN232" s="5">
        <f t="shared" ref="GN232:GN249" si="84">IF(OR(BI232=0,BI232=1),GM232-GX232,0)</f>
        <v>248.3</v>
      </c>
      <c r="GO232" s="5">
        <f t="shared" ref="GO232:GO249" si="85">IF(BI232=2,GM232-GX232,0)</f>
        <v>0</v>
      </c>
      <c r="GP232" s="5">
        <f t="shared" ref="GP232:GP249" si="86">IF(BI232=4,GM232-GX232,0)</f>
        <v>0</v>
      </c>
      <c r="GQ232" s="5"/>
      <c r="GR232" s="5">
        <v>0</v>
      </c>
      <c r="GS232" s="5">
        <v>3</v>
      </c>
      <c r="GT232" s="5">
        <v>0</v>
      </c>
      <c r="GU232" s="5" t="s">
        <v>6</v>
      </c>
      <c r="GV232" s="5">
        <f t="shared" ref="GV232:GV249" si="87">ROUND((GT232),6)</f>
        <v>0</v>
      </c>
      <c r="GW232" s="5">
        <v>1</v>
      </c>
      <c r="GX232" s="5">
        <f t="shared" ref="GX232:GX249" si="88">ROUND(HC232*I232,2)</f>
        <v>0</v>
      </c>
      <c r="GY232" s="5"/>
      <c r="GZ232" s="5"/>
      <c r="HA232" s="5">
        <v>0</v>
      </c>
      <c r="HB232" s="5">
        <v>0</v>
      </c>
      <c r="HC232" s="5">
        <f>GV232*GW232</f>
        <v>0</v>
      </c>
      <c r="HD232" s="5"/>
      <c r="HE232" s="5" t="s">
        <v>6</v>
      </c>
      <c r="HF232" s="5" t="s">
        <v>6</v>
      </c>
      <c r="HG232" s="5"/>
      <c r="HH232" s="5"/>
      <c r="HI232" s="5"/>
      <c r="HJ232" s="5"/>
      <c r="HK232" s="5"/>
      <c r="HL232" s="5"/>
      <c r="HM232" s="5" t="s">
        <v>6</v>
      </c>
      <c r="HN232" s="5" t="s">
        <v>95</v>
      </c>
      <c r="HO232" s="5" t="s">
        <v>96</v>
      </c>
      <c r="HP232" s="5" t="s">
        <v>19</v>
      </c>
      <c r="HQ232" s="5" t="s">
        <v>19</v>
      </c>
      <c r="HR232" s="5"/>
      <c r="HS232" s="5">
        <v>0</v>
      </c>
      <c r="HT232" s="5"/>
      <c r="HU232" s="5"/>
      <c r="HV232" s="5"/>
      <c r="HW232" s="5"/>
      <c r="HX232" s="5"/>
      <c r="HY232" s="5"/>
      <c r="HZ232" s="5"/>
      <c r="IA232" s="5"/>
      <c r="IB232" s="5"/>
      <c r="IC232" s="5"/>
      <c r="ID232" s="5"/>
      <c r="IE232" s="5"/>
      <c r="IF232" s="5"/>
      <c r="IG232" s="5"/>
      <c r="IH232" s="5"/>
      <c r="II232" s="5"/>
      <c r="IJ232" s="5"/>
      <c r="IK232" s="5">
        <v>0</v>
      </c>
      <c r="IL232" s="5"/>
      <c r="IM232" s="5"/>
      <c r="IN232" s="5"/>
      <c r="IO232" s="5"/>
      <c r="IP232" s="5"/>
      <c r="IQ232" s="5"/>
      <c r="IR232" s="5"/>
      <c r="IS232" s="5"/>
      <c r="IT232" s="5"/>
      <c r="IU232" s="5"/>
    </row>
    <row r="233" spans="1:255" x14ac:dyDescent="0.2">
      <c r="A233" s="5">
        <v>17</v>
      </c>
      <c r="B233" s="5">
        <v>1</v>
      </c>
      <c r="C233" s="5">
        <f>ROW(SmtRes!A8)</f>
        <v>8</v>
      </c>
      <c r="D233" s="5">
        <f>ROW(EtalonRes!A8)</f>
        <v>8</v>
      </c>
      <c r="E233" s="5" t="s">
        <v>97</v>
      </c>
      <c r="F233" s="5" t="s">
        <v>98</v>
      </c>
      <c r="G233" s="5" t="s">
        <v>99</v>
      </c>
      <c r="H233" s="5" t="s">
        <v>91</v>
      </c>
      <c r="I233" s="5">
        <f>ROUND(0.08,7)</f>
        <v>0.08</v>
      </c>
      <c r="J233" s="5">
        <v>0</v>
      </c>
      <c r="K233" s="5">
        <f>ROUND(0.08,7)</f>
        <v>0.08</v>
      </c>
      <c r="L233" s="5"/>
      <c r="M233" s="5"/>
      <c r="N233" s="5"/>
      <c r="O233" s="5">
        <f>ROUND(CP233,2)</f>
        <v>568.83000000000004</v>
      </c>
      <c r="P233" s="5">
        <f>SUMIF(SmtRes!AQ4:'SmtRes'!AQ8,"=1",SmtRes!DF4:'SmtRes'!DF8)</f>
        <v>0</v>
      </c>
      <c r="Q233" s="5">
        <f>SUMIF(SmtRes!AQ4:'SmtRes'!AQ8,"=1",SmtRes!DG4:'SmtRes'!DG8)</f>
        <v>13.69</v>
      </c>
      <c r="R233" s="5">
        <f>SUMIF(SmtRes!AQ4:'SmtRes'!AQ8,"=1",SmtRes!DH4:'SmtRes'!DH8)</f>
        <v>7.5</v>
      </c>
      <c r="S233" s="5">
        <f>SUMIF(SmtRes!AQ4:'SmtRes'!AQ8,"=1",SmtRes!DI4:'SmtRes'!DI8)</f>
        <v>547.64</v>
      </c>
      <c r="T233" s="5">
        <f t="shared" si="75"/>
        <v>0</v>
      </c>
      <c r="U233" s="5">
        <f>SUMIF(SmtRes!AQ4:'SmtRes'!AQ8,"=1",SmtRes!CV4:'SmtRes'!CV8)</f>
        <v>1.64388</v>
      </c>
      <c r="V233" s="5">
        <f>SUMIF(SmtRes!AQ4:'SmtRes'!AQ8,"=1",SmtRes!CW4:'SmtRes'!CW8)</f>
        <v>2.24E-2</v>
      </c>
      <c r="W233" s="5">
        <f t="shared" si="76"/>
        <v>0</v>
      </c>
      <c r="X233" s="5">
        <f t="shared" si="77"/>
        <v>538.49</v>
      </c>
      <c r="Y233" s="5">
        <f t="shared" si="78"/>
        <v>283.12</v>
      </c>
      <c r="Z233" s="5"/>
      <c r="AA233" s="5">
        <v>74850150</v>
      </c>
      <c r="AB233" s="5">
        <f t="shared" si="79"/>
        <v>7016.5997299999999</v>
      </c>
      <c r="AC233" s="5">
        <f>ROUND((0),6)</f>
        <v>0</v>
      </c>
      <c r="AD233" s="5">
        <f>ROUND((((SUM(SmtRes!BR4:'SmtRes'!BR8))-(SUM(SmtRes!BS4:'SmtRes'!BS8)))+AE233),6)</f>
        <v>171.08</v>
      </c>
      <c r="AE233" s="5">
        <f>ROUND((SUM(SmtRes!BS4:'SmtRes'!BS8)),6)</f>
        <v>93.777600000000007</v>
      </c>
      <c r="AF233" s="5">
        <f>ROUND((SUM(SmtRes!BT4:'SmtRes'!BT8)),6)</f>
        <v>6845.51973</v>
      </c>
      <c r="AG233" s="5">
        <f t="shared" si="80"/>
        <v>0</v>
      </c>
      <c r="AH233" s="5">
        <f>(SUM(SmtRes!BU4:'SmtRes'!BU8))</f>
        <v>20.548500000000001</v>
      </c>
      <c r="AI233" s="5">
        <f>(SUM(SmtRes!BV4:'SmtRes'!BV8))</f>
        <v>0.28000000000000003</v>
      </c>
      <c r="AJ233" s="5">
        <f t="shared" si="81"/>
        <v>0</v>
      </c>
      <c r="AK233" s="5">
        <v>6784.400200000001</v>
      </c>
      <c r="AL233" s="5">
        <v>0</v>
      </c>
      <c r="AM233" s="5">
        <v>171.08</v>
      </c>
      <c r="AN233" s="5">
        <v>93.777600000000007</v>
      </c>
      <c r="AO233" s="5">
        <v>6519.5426000000007</v>
      </c>
      <c r="AP233" s="5">
        <v>0</v>
      </c>
      <c r="AQ233" s="5">
        <v>19.57</v>
      </c>
      <c r="AR233" s="5">
        <v>0.28000000000000003</v>
      </c>
      <c r="AS233" s="5">
        <v>0</v>
      </c>
      <c r="AT233" s="5">
        <v>97</v>
      </c>
      <c r="AU233" s="5">
        <v>51</v>
      </c>
      <c r="AV233" s="5">
        <v>1</v>
      </c>
      <c r="AW233" s="5">
        <v>1</v>
      </c>
      <c r="AX233" s="5"/>
      <c r="AY233" s="5"/>
      <c r="AZ233" s="5">
        <v>1</v>
      </c>
      <c r="BA233" s="5">
        <v>1</v>
      </c>
      <c r="BB233" s="5">
        <v>1</v>
      </c>
      <c r="BC233" s="5">
        <v>1</v>
      </c>
      <c r="BD233" s="5" t="s">
        <v>6</v>
      </c>
      <c r="BE233" s="5" t="s">
        <v>6</v>
      </c>
      <c r="BF233" s="5" t="s">
        <v>6</v>
      </c>
      <c r="BG233" s="5" t="s">
        <v>6</v>
      </c>
      <c r="BH233" s="5">
        <v>0</v>
      </c>
      <c r="BI233" s="5">
        <v>2</v>
      </c>
      <c r="BJ233" s="5" t="s">
        <v>100</v>
      </c>
      <c r="BK233" s="5"/>
      <c r="BL233" s="5"/>
      <c r="BM233" s="5">
        <v>108001</v>
      </c>
      <c r="BN233" s="5">
        <v>0</v>
      </c>
      <c r="BO233" s="5" t="s">
        <v>6</v>
      </c>
      <c r="BP233" s="5">
        <v>0</v>
      </c>
      <c r="BQ233" s="5">
        <v>3</v>
      </c>
      <c r="BR233" s="5">
        <v>0</v>
      </c>
      <c r="BS233" s="5">
        <v>1</v>
      </c>
      <c r="BT233" s="5">
        <v>1</v>
      </c>
      <c r="BU233" s="5">
        <v>1</v>
      </c>
      <c r="BV233" s="5">
        <v>1</v>
      </c>
      <c r="BW233" s="5">
        <v>1</v>
      </c>
      <c r="BX233" s="5">
        <v>1</v>
      </c>
      <c r="BY233" s="5" t="s">
        <v>6</v>
      </c>
      <c r="BZ233" s="5">
        <v>97</v>
      </c>
      <c r="CA233" s="5">
        <v>51</v>
      </c>
      <c r="CB233" s="5" t="s">
        <v>6</v>
      </c>
      <c r="CC233" s="5"/>
      <c r="CD233" s="5"/>
      <c r="CE233" s="5">
        <v>0</v>
      </c>
      <c r="CF233" s="5">
        <v>0</v>
      </c>
      <c r="CG233" s="5">
        <v>0</v>
      </c>
      <c r="CH233" s="5"/>
      <c r="CI233" s="5"/>
      <c r="CJ233" s="5"/>
      <c r="CK233" s="5"/>
      <c r="CL233" s="5"/>
      <c r="CM233" s="5">
        <v>0</v>
      </c>
      <c r="CN233" s="5" t="s">
        <v>101</v>
      </c>
      <c r="CO233" s="5">
        <v>0</v>
      </c>
      <c r="CP233" s="5">
        <f>(P233+Q233+S233+R233)</f>
        <v>568.83000000000004</v>
      </c>
      <c r="CQ233" s="5">
        <f>SUMIF(SmtRes!AQ4:'SmtRes'!AQ8,"=1",SmtRes!AA4:'SmtRes'!AA8)</f>
        <v>0</v>
      </c>
      <c r="CR233" s="5">
        <f>SUMIF(SmtRes!AQ4:'SmtRes'!AQ8,"=1",SmtRes!AB4:'SmtRes'!AB8)</f>
        <v>611</v>
      </c>
      <c r="CS233" s="5">
        <f>SUMIF(SmtRes!AQ4:'SmtRes'!AQ8,"=1",SmtRes!AC4:'SmtRes'!AC8)</f>
        <v>334.92</v>
      </c>
      <c r="CT233" s="5">
        <f>SUMIF(SmtRes!AQ4:'SmtRes'!AQ8,"=1",SmtRes!AD4:'SmtRes'!AD8)</f>
        <v>584.86</v>
      </c>
      <c r="CU233" s="5">
        <f>AG233</f>
        <v>0</v>
      </c>
      <c r="CV233" s="5">
        <f>SUMIF(SmtRes!AQ4:'SmtRes'!AQ8,"=1",SmtRes!BU4:'SmtRes'!BU8)</f>
        <v>20.548500000000001</v>
      </c>
      <c r="CW233" s="5">
        <f>SUMIF(SmtRes!AQ4:'SmtRes'!AQ8,"=1",SmtRes!BV4:'SmtRes'!BV8)</f>
        <v>0.28000000000000003</v>
      </c>
      <c r="CX233" s="5">
        <f>AJ233</f>
        <v>0</v>
      </c>
      <c r="CY233" s="5">
        <f>(((S233+R233)*AT233)/100)</f>
        <v>538.48580000000004</v>
      </c>
      <c r="CZ233" s="5">
        <f>(((S233+R233)*AU233)/100)</f>
        <v>283.12139999999999</v>
      </c>
      <c r="DA233" s="5"/>
      <c r="DB233" s="5"/>
      <c r="DC233" s="5" t="s">
        <v>6</v>
      </c>
      <c r="DD233" s="5" t="s">
        <v>6</v>
      </c>
      <c r="DE233" s="5" t="s">
        <v>6</v>
      </c>
      <c r="DF233" s="5" t="s">
        <v>6</v>
      </c>
      <c r="DG233" s="5" t="s">
        <v>102</v>
      </c>
      <c r="DH233" s="5" t="s">
        <v>6</v>
      </c>
      <c r="DI233" s="5" t="s">
        <v>102</v>
      </c>
      <c r="DJ233" s="5" t="s">
        <v>6</v>
      </c>
      <c r="DK233" s="5" t="s">
        <v>6</v>
      </c>
      <c r="DL233" s="5" t="s">
        <v>6</v>
      </c>
      <c r="DM233" s="5" t="s">
        <v>6</v>
      </c>
      <c r="DN233" s="5">
        <v>0</v>
      </c>
      <c r="DO233" s="5">
        <v>0</v>
      </c>
      <c r="DP233" s="5">
        <v>1</v>
      </c>
      <c r="DQ233" s="5">
        <v>1</v>
      </c>
      <c r="DR233" s="5"/>
      <c r="DS233" s="5"/>
      <c r="DT233" s="5"/>
      <c r="DU233" s="5">
        <v>1013</v>
      </c>
      <c r="DV233" s="5" t="s">
        <v>91</v>
      </c>
      <c r="DW233" s="5" t="s">
        <v>91</v>
      </c>
      <c r="DX233" s="5">
        <v>1</v>
      </c>
      <c r="DY233" s="5"/>
      <c r="DZ233" s="5" t="s">
        <v>6</v>
      </c>
      <c r="EA233" s="5" t="s">
        <v>6</v>
      </c>
      <c r="EB233" s="5" t="s">
        <v>6</v>
      </c>
      <c r="EC233" s="5" t="s">
        <v>6</v>
      </c>
      <c r="ED233" s="5"/>
      <c r="EE233" s="5">
        <v>72417267</v>
      </c>
      <c r="EF233" s="5">
        <v>3</v>
      </c>
      <c r="EG233" s="5" t="s">
        <v>103</v>
      </c>
      <c r="EH233" s="5">
        <v>0</v>
      </c>
      <c r="EI233" s="5" t="s">
        <v>6</v>
      </c>
      <c r="EJ233" s="5">
        <v>2</v>
      </c>
      <c r="EK233" s="5">
        <v>108001</v>
      </c>
      <c r="EL233" s="5" t="s">
        <v>104</v>
      </c>
      <c r="EM233" s="5" t="s">
        <v>105</v>
      </c>
      <c r="EN233" s="5"/>
      <c r="EO233" s="5" t="s">
        <v>106</v>
      </c>
      <c r="EP233" s="5"/>
      <c r="EQ233" s="5">
        <v>0</v>
      </c>
      <c r="ER233" s="5">
        <v>0</v>
      </c>
      <c r="ES233" s="5">
        <v>0</v>
      </c>
      <c r="ET233" s="5">
        <v>0</v>
      </c>
      <c r="EU233" s="5">
        <v>0</v>
      </c>
      <c r="EV233" s="5">
        <v>0</v>
      </c>
      <c r="EW233" s="5">
        <v>19.57</v>
      </c>
      <c r="EX233" s="5">
        <v>0.28000000000000003</v>
      </c>
      <c r="EY233" s="5">
        <v>0</v>
      </c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>
        <v>0</v>
      </c>
      <c r="FR233" s="5">
        <v>0</v>
      </c>
      <c r="FS233" s="5">
        <v>0</v>
      </c>
      <c r="FT233" s="5"/>
      <c r="FU233" s="5"/>
      <c r="FV233" s="5"/>
      <c r="FW233" s="5"/>
      <c r="FX233" s="5">
        <v>97</v>
      </c>
      <c r="FY233" s="5">
        <v>51</v>
      </c>
      <c r="FZ233" s="5"/>
      <c r="GA233" s="5" t="s">
        <v>6</v>
      </c>
      <c r="GB233" s="5"/>
      <c r="GC233" s="5"/>
      <c r="GD233" s="5">
        <v>1</v>
      </c>
      <c r="GE233" s="5"/>
      <c r="GF233" s="5">
        <v>-1253175402</v>
      </c>
      <c r="GG233" s="5">
        <v>2</v>
      </c>
      <c r="GH233" s="5">
        <v>1</v>
      </c>
      <c r="GI233" s="5">
        <v>-2</v>
      </c>
      <c r="GJ233" s="5">
        <v>0</v>
      </c>
      <c r="GK233" s="5">
        <v>0</v>
      </c>
      <c r="GL233" s="5">
        <f t="shared" si="82"/>
        <v>0</v>
      </c>
      <c r="GM233" s="5">
        <f t="shared" si="83"/>
        <v>1390.44</v>
      </c>
      <c r="GN233" s="5">
        <f t="shared" si="84"/>
        <v>0</v>
      </c>
      <c r="GO233" s="5">
        <f t="shared" si="85"/>
        <v>1390.44</v>
      </c>
      <c r="GP233" s="5">
        <f t="shared" si="86"/>
        <v>0</v>
      </c>
      <c r="GQ233" s="5"/>
      <c r="GR233" s="5">
        <v>0</v>
      </c>
      <c r="GS233" s="5">
        <v>3</v>
      </c>
      <c r="GT233" s="5">
        <v>0</v>
      </c>
      <c r="GU233" s="5" t="s">
        <v>6</v>
      </c>
      <c r="GV233" s="5">
        <f t="shared" si="87"/>
        <v>0</v>
      </c>
      <c r="GW233" s="5">
        <v>1</v>
      </c>
      <c r="GX233" s="5">
        <f t="shared" si="88"/>
        <v>0</v>
      </c>
      <c r="GY233" s="5"/>
      <c r="GZ233" s="5"/>
      <c r="HA233" s="5">
        <v>0</v>
      </c>
      <c r="HB233" s="5">
        <v>0</v>
      </c>
      <c r="HC233" s="5">
        <f>GV233*GW233</f>
        <v>0</v>
      </c>
      <c r="HD233" s="5"/>
      <c r="HE233" s="5" t="s">
        <v>6</v>
      </c>
      <c r="HF233" s="5" t="s">
        <v>6</v>
      </c>
      <c r="HG233" s="5"/>
      <c r="HH233" s="5"/>
      <c r="HI233" s="5"/>
      <c r="HJ233" s="5"/>
      <c r="HK233" s="5"/>
      <c r="HL233" s="5"/>
      <c r="HM233" s="5" t="s">
        <v>6</v>
      </c>
      <c r="HN233" s="5" t="s">
        <v>107</v>
      </c>
      <c r="HO233" s="5" t="s">
        <v>108</v>
      </c>
      <c r="HP233" s="5" t="s">
        <v>104</v>
      </c>
      <c r="HQ233" s="5" t="s">
        <v>104</v>
      </c>
      <c r="HR233" s="5"/>
      <c r="HS233" s="5">
        <v>0</v>
      </c>
      <c r="HT233" s="5"/>
      <c r="HU233" s="5"/>
      <c r="HV233" s="5"/>
      <c r="HW233" s="5"/>
      <c r="HX233" s="5"/>
      <c r="HY233" s="5"/>
      <c r="HZ233" s="5"/>
      <c r="IA233" s="5"/>
      <c r="IB233" s="5"/>
      <c r="IC233" s="5"/>
      <c r="ID233" s="5"/>
      <c r="IE233" s="5"/>
      <c r="IF233" s="5"/>
      <c r="IG233" s="5"/>
      <c r="IH233" s="5"/>
      <c r="II233" s="5"/>
      <c r="IJ233" s="5"/>
      <c r="IK233" s="5">
        <v>0</v>
      </c>
      <c r="IL233" s="5"/>
      <c r="IM233" s="5"/>
      <c r="IN233" s="5"/>
      <c r="IO233" s="5"/>
      <c r="IP233" s="5"/>
      <c r="IQ233" s="5"/>
      <c r="IR233" s="5"/>
      <c r="IS233" s="5"/>
      <c r="IT233" s="5"/>
      <c r="IU233" s="5"/>
    </row>
    <row r="234" spans="1:255" x14ac:dyDescent="0.2">
      <c r="A234" s="5">
        <v>18</v>
      </c>
      <c r="B234" s="5">
        <v>1</v>
      </c>
      <c r="C234" s="5">
        <v>8</v>
      </c>
      <c r="D234" s="5"/>
      <c r="E234" s="5" t="s">
        <v>109</v>
      </c>
      <c r="F234" s="5" t="s">
        <v>110</v>
      </c>
      <c r="G234" s="5" t="s">
        <v>111</v>
      </c>
      <c r="H234" s="5" t="s">
        <v>112</v>
      </c>
      <c r="I234" s="5">
        <f>J234</f>
        <v>2</v>
      </c>
      <c r="J234" s="5">
        <v>2</v>
      </c>
      <c r="K234" s="5">
        <v>2</v>
      </c>
      <c r="L234" s="5"/>
      <c r="M234" s="5"/>
      <c r="N234" s="5"/>
      <c r="O234" s="5">
        <f>ROUND(P234,2)</f>
        <v>10.43</v>
      </c>
      <c r="P234" s="5">
        <f>ROUND(ROUND(ROUND(SUMIF(SmtRes!AQ4:'SmtRes'!AQ8,"=1",SmtRes!CU4:'SmtRes'!CU8),2),2)*I234/100,2)</f>
        <v>10.43</v>
      </c>
      <c r="Q234" s="5">
        <f>ROUND(CR234*I234,2)</f>
        <v>0</v>
      </c>
      <c r="R234" s="5">
        <f>ROUND(CS234*I234,2)</f>
        <v>0</v>
      </c>
      <c r="S234" s="5">
        <f>ROUND(CT234*I234,2)</f>
        <v>0</v>
      </c>
      <c r="T234" s="5">
        <f t="shared" si="75"/>
        <v>0</v>
      </c>
      <c r="U234" s="5">
        <f>ROUND(CV234*I234,7)</f>
        <v>0</v>
      </c>
      <c r="V234" s="5">
        <f>ROUND(CW234*I234,7)</f>
        <v>0</v>
      </c>
      <c r="W234" s="5">
        <f t="shared" si="76"/>
        <v>0</v>
      </c>
      <c r="X234" s="5">
        <f t="shared" si="77"/>
        <v>0</v>
      </c>
      <c r="Y234" s="5">
        <f t="shared" si="78"/>
        <v>0</v>
      </c>
      <c r="Z234" s="5"/>
      <c r="AA234" s="5">
        <v>74850150</v>
      </c>
      <c r="AB234" s="5">
        <f t="shared" si="79"/>
        <v>0</v>
      </c>
      <c r="AC234" s="5">
        <f>ROUND((ES234),6)</f>
        <v>0</v>
      </c>
      <c r="AD234" s="5">
        <f>ROUND((((ET234)-(EU234))+AE234),6)</f>
        <v>0</v>
      </c>
      <c r="AE234" s="5">
        <f>ROUND((EU234),6)</f>
        <v>0</v>
      </c>
      <c r="AF234" s="5">
        <f>ROUND((EV234),6)</f>
        <v>0</v>
      </c>
      <c r="AG234" s="5">
        <f t="shared" si="80"/>
        <v>0</v>
      </c>
      <c r="AH234" s="5">
        <f>(EW234)</f>
        <v>0</v>
      </c>
      <c r="AI234" s="5">
        <f>(EX234)</f>
        <v>0</v>
      </c>
      <c r="AJ234" s="5">
        <f t="shared" si="81"/>
        <v>0</v>
      </c>
      <c r="AK234" s="5">
        <v>0</v>
      </c>
      <c r="AL234" s="5">
        <v>0</v>
      </c>
      <c r="AM234" s="5">
        <v>0</v>
      </c>
      <c r="AN234" s="5">
        <v>0</v>
      </c>
      <c r="AO234" s="5">
        <v>0</v>
      </c>
      <c r="AP234" s="5">
        <v>0</v>
      </c>
      <c r="AQ234" s="5">
        <v>0</v>
      </c>
      <c r="AR234" s="5">
        <v>0</v>
      </c>
      <c r="AS234" s="5">
        <v>0</v>
      </c>
      <c r="AT234" s="5">
        <v>0</v>
      </c>
      <c r="AU234" s="5">
        <v>0</v>
      </c>
      <c r="AV234" s="5">
        <v>1</v>
      </c>
      <c r="AW234" s="5">
        <v>1</v>
      </c>
      <c r="AX234" s="5"/>
      <c r="AY234" s="5"/>
      <c r="AZ234" s="5">
        <v>1</v>
      </c>
      <c r="BA234" s="5">
        <v>1</v>
      </c>
      <c r="BB234" s="5">
        <v>1</v>
      </c>
      <c r="BC234" s="5">
        <v>1</v>
      </c>
      <c r="BD234" s="5" t="s">
        <v>6</v>
      </c>
      <c r="BE234" s="5" t="s">
        <v>6</v>
      </c>
      <c r="BF234" s="5" t="s">
        <v>6</v>
      </c>
      <c r="BG234" s="5" t="s">
        <v>6</v>
      </c>
      <c r="BH234" s="5">
        <v>3</v>
      </c>
      <c r="BI234" s="5">
        <v>2</v>
      </c>
      <c r="BJ234" s="5" t="s">
        <v>6</v>
      </c>
      <c r="BK234" s="5"/>
      <c r="BL234" s="5"/>
      <c r="BM234" s="5">
        <v>500002</v>
      </c>
      <c r="BN234" s="5">
        <v>0</v>
      </c>
      <c r="BO234" s="5" t="s">
        <v>6</v>
      </c>
      <c r="BP234" s="5">
        <v>0</v>
      </c>
      <c r="BQ234" s="5">
        <v>12</v>
      </c>
      <c r="BR234" s="5">
        <v>0</v>
      </c>
      <c r="BS234" s="5">
        <v>1</v>
      </c>
      <c r="BT234" s="5">
        <v>1</v>
      </c>
      <c r="BU234" s="5">
        <v>1</v>
      </c>
      <c r="BV234" s="5">
        <v>1</v>
      </c>
      <c r="BW234" s="5">
        <v>1</v>
      </c>
      <c r="BX234" s="5">
        <v>1</v>
      </c>
      <c r="BY234" s="5" t="s">
        <v>6</v>
      </c>
      <c r="BZ234" s="5">
        <v>0</v>
      </c>
      <c r="CA234" s="5">
        <v>0</v>
      </c>
      <c r="CB234" s="5" t="s">
        <v>6</v>
      </c>
      <c r="CC234" s="5"/>
      <c r="CD234" s="5"/>
      <c r="CE234" s="5">
        <v>0</v>
      </c>
      <c r="CF234" s="5">
        <v>0</v>
      </c>
      <c r="CG234" s="5">
        <v>0</v>
      </c>
      <c r="CH234" s="5"/>
      <c r="CI234" s="5"/>
      <c r="CJ234" s="5"/>
      <c r="CK234" s="5"/>
      <c r="CL234" s="5"/>
      <c r="CM234" s="5">
        <v>0</v>
      </c>
      <c r="CN234" s="5" t="s">
        <v>6</v>
      </c>
      <c r="CO234" s="5">
        <v>0</v>
      </c>
      <c r="CP234" s="5">
        <f>0</f>
        <v>0</v>
      </c>
      <c r="CQ234" s="5">
        <f>0</f>
        <v>0</v>
      </c>
      <c r="CR234" s="5">
        <f>0</f>
        <v>0</v>
      </c>
      <c r="CS234" s="5">
        <f>0</f>
        <v>0</v>
      </c>
      <c r="CT234" s="5">
        <f>0</f>
        <v>0</v>
      </c>
      <c r="CU234" s="5">
        <f>0</f>
        <v>0</v>
      </c>
      <c r="CV234" s="5">
        <f>0</f>
        <v>0</v>
      </c>
      <c r="CW234" s="5">
        <f>0</f>
        <v>0</v>
      </c>
      <c r="CX234" s="5">
        <f>0</f>
        <v>0</v>
      </c>
      <c r="CY234" s="5">
        <f>0</f>
        <v>0</v>
      </c>
      <c r="CZ234" s="5">
        <f>0</f>
        <v>0</v>
      </c>
      <c r="DA234" s="5"/>
      <c r="DB234" s="5"/>
      <c r="DC234" s="5" t="s">
        <v>6</v>
      </c>
      <c r="DD234" s="5" t="s">
        <v>6</v>
      </c>
      <c r="DE234" s="5" t="s">
        <v>6</v>
      </c>
      <c r="DF234" s="5" t="s">
        <v>6</v>
      </c>
      <c r="DG234" s="5" t="s">
        <v>6</v>
      </c>
      <c r="DH234" s="5" t="s">
        <v>6</v>
      </c>
      <c r="DI234" s="5" t="s">
        <v>6</v>
      </c>
      <c r="DJ234" s="5" t="s">
        <v>6</v>
      </c>
      <c r="DK234" s="5" t="s">
        <v>6</v>
      </c>
      <c r="DL234" s="5" t="s">
        <v>6</v>
      </c>
      <c r="DM234" s="5" t="s">
        <v>6</v>
      </c>
      <c r="DN234" s="5">
        <v>0</v>
      </c>
      <c r="DO234" s="5">
        <v>0</v>
      </c>
      <c r="DP234" s="5">
        <v>1</v>
      </c>
      <c r="DQ234" s="5">
        <v>1</v>
      </c>
      <c r="DR234" s="5"/>
      <c r="DS234" s="5"/>
      <c r="DT234" s="5"/>
      <c r="DU234" s="5">
        <v>1013</v>
      </c>
      <c r="DV234" s="5" t="s">
        <v>112</v>
      </c>
      <c r="DW234" s="5" t="s">
        <v>112</v>
      </c>
      <c r="DX234" s="5">
        <v>1</v>
      </c>
      <c r="DY234" s="5"/>
      <c r="DZ234" s="5" t="s">
        <v>6</v>
      </c>
      <c r="EA234" s="5" t="s">
        <v>6</v>
      </c>
      <c r="EB234" s="5" t="s">
        <v>6</v>
      </c>
      <c r="EC234" s="5" t="s">
        <v>6</v>
      </c>
      <c r="ED234" s="5"/>
      <c r="EE234" s="5">
        <v>72417318</v>
      </c>
      <c r="EF234" s="5">
        <v>12</v>
      </c>
      <c r="EG234" s="5" t="s">
        <v>113</v>
      </c>
      <c r="EH234" s="5">
        <v>0</v>
      </c>
      <c r="EI234" s="5" t="s">
        <v>6</v>
      </c>
      <c r="EJ234" s="5">
        <v>2</v>
      </c>
      <c r="EK234" s="5">
        <v>500002</v>
      </c>
      <c r="EL234" s="5" t="s">
        <v>114</v>
      </c>
      <c r="EM234" s="5" t="s">
        <v>115</v>
      </c>
      <c r="EN234" s="5"/>
      <c r="EO234" s="5" t="s">
        <v>6</v>
      </c>
      <c r="EP234" s="5"/>
      <c r="EQ234" s="5">
        <v>0</v>
      </c>
      <c r="ER234" s="5">
        <v>0</v>
      </c>
      <c r="ES234" s="5">
        <v>0</v>
      </c>
      <c r="ET234" s="5">
        <v>0</v>
      </c>
      <c r="EU234" s="5">
        <v>0</v>
      </c>
      <c r="EV234" s="5">
        <v>0</v>
      </c>
      <c r="EW234" s="5">
        <v>0</v>
      </c>
      <c r="EX234" s="5">
        <v>0</v>
      </c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>
        <v>0</v>
      </c>
      <c r="FR234" s="5">
        <v>0</v>
      </c>
      <c r="FS234" s="5">
        <v>0</v>
      </c>
      <c r="FT234" s="5"/>
      <c r="FU234" s="5"/>
      <c r="FV234" s="5"/>
      <c r="FW234" s="5"/>
      <c r="FX234" s="5">
        <v>0</v>
      </c>
      <c r="FY234" s="5">
        <v>0</v>
      </c>
      <c r="FZ234" s="5"/>
      <c r="GA234" s="5" t="s">
        <v>6</v>
      </c>
      <c r="GB234" s="5"/>
      <c r="GC234" s="5"/>
      <c r="GD234" s="5">
        <v>1</v>
      </c>
      <c r="GE234" s="5"/>
      <c r="GF234" s="5">
        <v>274903907</v>
      </c>
      <c r="GG234" s="5">
        <v>2</v>
      </c>
      <c r="GH234" s="5">
        <v>1</v>
      </c>
      <c r="GI234" s="5">
        <v>-2</v>
      </c>
      <c r="GJ234" s="5">
        <v>0</v>
      </c>
      <c r="GK234" s="5">
        <v>0</v>
      </c>
      <c r="GL234" s="5">
        <f t="shared" si="82"/>
        <v>0</v>
      </c>
      <c r="GM234" s="5">
        <f t="shared" si="83"/>
        <v>10.43</v>
      </c>
      <c r="GN234" s="5">
        <f t="shared" si="84"/>
        <v>0</v>
      </c>
      <c r="GO234" s="5">
        <f t="shared" si="85"/>
        <v>10.43</v>
      </c>
      <c r="GP234" s="5">
        <f t="shared" si="86"/>
        <v>0</v>
      </c>
      <c r="GQ234" s="5"/>
      <c r="GR234" s="5">
        <v>0</v>
      </c>
      <c r="GS234" s="5">
        <v>3</v>
      </c>
      <c r="GT234" s="5">
        <v>0</v>
      </c>
      <c r="GU234" s="5" t="s">
        <v>6</v>
      </c>
      <c r="GV234" s="5">
        <f t="shared" si="87"/>
        <v>0</v>
      </c>
      <c r="GW234" s="5">
        <v>1</v>
      </c>
      <c r="GX234" s="5">
        <f t="shared" si="88"/>
        <v>0</v>
      </c>
      <c r="GY234" s="5"/>
      <c r="GZ234" s="5"/>
      <c r="HA234" s="5">
        <v>0</v>
      </c>
      <c r="HB234" s="5">
        <v>0</v>
      </c>
      <c r="HC234" s="5">
        <f>0</f>
        <v>0</v>
      </c>
      <c r="HD234" s="5"/>
      <c r="HE234" s="5" t="s">
        <v>6</v>
      </c>
      <c r="HF234" s="5" t="s">
        <v>6</v>
      </c>
      <c r="HG234" s="5"/>
      <c r="HH234" s="5"/>
      <c r="HI234" s="5"/>
      <c r="HJ234" s="5"/>
      <c r="HK234" s="5"/>
      <c r="HL234" s="5"/>
      <c r="HM234" s="5" t="s">
        <v>6</v>
      </c>
      <c r="HN234" s="5" t="s">
        <v>6</v>
      </c>
      <c r="HO234" s="5" t="s">
        <v>6</v>
      </c>
      <c r="HP234" s="5" t="s">
        <v>6</v>
      </c>
      <c r="HQ234" s="5" t="s">
        <v>6</v>
      </c>
      <c r="HR234" s="5"/>
      <c r="HS234" s="5">
        <v>0</v>
      </c>
      <c r="HT234" s="5"/>
      <c r="HU234" s="5"/>
      <c r="HV234" s="5"/>
      <c r="HW234" s="5"/>
      <c r="HX234" s="5"/>
      <c r="HY234" s="5"/>
      <c r="HZ234" s="5"/>
      <c r="IA234" s="5"/>
      <c r="IB234" s="5"/>
      <c r="IC234" s="5"/>
      <c r="ID234" s="5"/>
      <c r="IE234" s="5"/>
      <c r="IF234" s="5"/>
      <c r="IG234" s="5"/>
      <c r="IH234" s="5"/>
      <c r="II234" s="5"/>
      <c r="IJ234" s="5"/>
      <c r="IK234" s="5">
        <v>0</v>
      </c>
      <c r="IL234" s="5"/>
      <c r="IM234" s="5"/>
      <c r="IN234" s="5"/>
      <c r="IO234" s="5"/>
      <c r="IP234" s="5"/>
      <c r="IQ234" s="5"/>
      <c r="IR234" s="5"/>
      <c r="IS234" s="5"/>
      <c r="IT234" s="5"/>
      <c r="IU234" s="5"/>
    </row>
    <row r="235" spans="1:255" x14ac:dyDescent="0.2">
      <c r="A235" s="5">
        <v>17</v>
      </c>
      <c r="B235" s="5">
        <v>1</v>
      </c>
      <c r="C235" s="5"/>
      <c r="D235" s="5"/>
      <c r="E235" s="5" t="s">
        <v>116</v>
      </c>
      <c r="F235" s="5" t="s">
        <v>117</v>
      </c>
      <c r="G235" s="5" t="s">
        <v>323</v>
      </c>
      <c r="H235" s="5" t="s">
        <v>118</v>
      </c>
      <c r="I235" s="5">
        <f>ROUND(8,7)</f>
        <v>8</v>
      </c>
      <c r="J235" s="5">
        <v>0</v>
      </c>
      <c r="K235" s="5">
        <f>ROUND(8,7)</f>
        <v>8</v>
      </c>
      <c r="L235" s="5"/>
      <c r="M235" s="5"/>
      <c r="N235" s="5"/>
      <c r="O235" s="5">
        <f t="shared" ref="O235:O242" si="89">ROUND(CP235,2)</f>
        <v>39899.279999999999</v>
      </c>
      <c r="P235" s="5">
        <f>ROUND(CQ235*I235,2)</f>
        <v>39899.279999999999</v>
      </c>
      <c r="Q235" s="5">
        <f>ROUND(CR235*I235,2)</f>
        <v>0</v>
      </c>
      <c r="R235" s="5">
        <f>ROUND(CS235*I235,2)</f>
        <v>0</v>
      </c>
      <c r="S235" s="5">
        <f>ROUND(CT235*I235,2)</f>
        <v>0</v>
      </c>
      <c r="T235" s="5">
        <f t="shared" si="75"/>
        <v>0</v>
      </c>
      <c r="U235" s="5">
        <f>ROUND(CV235*I235,7)</f>
        <v>0</v>
      </c>
      <c r="V235" s="5">
        <f>ROUND(CW235*I235,7)</f>
        <v>0</v>
      </c>
      <c r="W235" s="5">
        <f t="shared" si="76"/>
        <v>0</v>
      </c>
      <c r="X235" s="5">
        <f t="shared" si="77"/>
        <v>0</v>
      </c>
      <c r="Y235" s="5">
        <f t="shared" si="78"/>
        <v>0</v>
      </c>
      <c r="Z235" s="5"/>
      <c r="AA235" s="5">
        <v>74850150</v>
      </c>
      <c r="AB235" s="5">
        <f t="shared" si="79"/>
        <v>3059.76</v>
      </c>
      <c r="AC235" s="5">
        <f>ROUND((ES235),6)</f>
        <v>3059.76</v>
      </c>
      <c r="AD235" s="5">
        <f>ROUND((((ET235)-(EU235))+AE235),6)</f>
        <v>0</v>
      </c>
      <c r="AE235" s="5">
        <f>ROUND((EU235),6)</f>
        <v>0</v>
      </c>
      <c r="AF235" s="5">
        <f>ROUND((EV235),6)</f>
        <v>0</v>
      </c>
      <c r="AG235" s="5">
        <f t="shared" si="80"/>
        <v>0</v>
      </c>
      <c r="AH235" s="5">
        <f>(EW235)</f>
        <v>0</v>
      </c>
      <c r="AI235" s="5">
        <f>(EX235)</f>
        <v>0</v>
      </c>
      <c r="AJ235" s="5">
        <f t="shared" si="81"/>
        <v>0</v>
      </c>
      <c r="AK235" s="5">
        <v>3059.76</v>
      </c>
      <c r="AL235" s="5">
        <v>3059.76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  <c r="AS235" s="5">
        <v>0</v>
      </c>
      <c r="AT235" s="5">
        <v>0</v>
      </c>
      <c r="AU235" s="5">
        <v>0</v>
      </c>
      <c r="AV235" s="5">
        <v>1</v>
      </c>
      <c r="AW235" s="5">
        <v>1</v>
      </c>
      <c r="AX235" s="5"/>
      <c r="AY235" s="5"/>
      <c r="AZ235" s="5">
        <v>1</v>
      </c>
      <c r="BA235" s="5">
        <v>1</v>
      </c>
      <c r="BB235" s="5">
        <v>1</v>
      </c>
      <c r="BC235" s="5">
        <v>1.63</v>
      </c>
      <c r="BD235" s="5" t="s">
        <v>6</v>
      </c>
      <c r="BE235" s="5" t="s">
        <v>6</v>
      </c>
      <c r="BF235" s="5" t="s">
        <v>6</v>
      </c>
      <c r="BG235" s="5" t="s">
        <v>6</v>
      </c>
      <c r="BH235" s="5">
        <v>3</v>
      </c>
      <c r="BI235" s="5">
        <v>2</v>
      </c>
      <c r="BJ235" s="5" t="s">
        <v>119</v>
      </c>
      <c r="BK235" s="5"/>
      <c r="BL235" s="5"/>
      <c r="BM235" s="5">
        <v>500002</v>
      </c>
      <c r="BN235" s="5">
        <v>0</v>
      </c>
      <c r="BO235" s="5" t="s">
        <v>117</v>
      </c>
      <c r="BP235" s="5">
        <v>1</v>
      </c>
      <c r="BQ235" s="5">
        <v>12</v>
      </c>
      <c r="BR235" s="5">
        <v>0</v>
      </c>
      <c r="BS235" s="5">
        <v>1</v>
      </c>
      <c r="BT235" s="5">
        <v>1</v>
      </c>
      <c r="BU235" s="5">
        <v>1</v>
      </c>
      <c r="BV235" s="5">
        <v>1</v>
      </c>
      <c r="BW235" s="5">
        <v>1</v>
      </c>
      <c r="BX235" s="5">
        <v>1</v>
      </c>
      <c r="BY235" s="5" t="s">
        <v>6</v>
      </c>
      <c r="BZ235" s="5">
        <v>0</v>
      </c>
      <c r="CA235" s="5">
        <v>0</v>
      </c>
      <c r="CB235" s="5" t="s">
        <v>6</v>
      </c>
      <c r="CC235" s="5"/>
      <c r="CD235" s="5"/>
      <c r="CE235" s="5">
        <v>0</v>
      </c>
      <c r="CF235" s="5">
        <v>0</v>
      </c>
      <c r="CG235" s="5">
        <v>0</v>
      </c>
      <c r="CH235" s="5"/>
      <c r="CI235" s="5"/>
      <c r="CJ235" s="5"/>
      <c r="CK235" s="5"/>
      <c r="CL235" s="5"/>
      <c r="CM235" s="5">
        <v>0</v>
      </c>
      <c r="CN235" s="5" t="s">
        <v>6</v>
      </c>
      <c r="CO235" s="5">
        <v>0</v>
      </c>
      <c r="CP235" s="5">
        <f t="shared" ref="CP235:CP242" si="90">(P235+Q235+S235+R235)</f>
        <v>39899.279999999999</v>
      </c>
      <c r="CQ235" s="5">
        <f>ROUND(AL235*BC235,2)</f>
        <v>4987.41</v>
      </c>
      <c r="CR235" s="5">
        <f>ROUND(AM235*BB235,2)</f>
        <v>0</v>
      </c>
      <c r="CS235" s="5">
        <f>ROUND(AN235*BS235,2)</f>
        <v>0</v>
      </c>
      <c r="CT235" s="5">
        <f>ROUND(AO235*BA235,2)</f>
        <v>0</v>
      </c>
      <c r="CU235" s="5">
        <f>AG235</f>
        <v>0</v>
      </c>
      <c r="CV235" s="5">
        <f>AH235</f>
        <v>0</v>
      </c>
      <c r="CW235" s="5">
        <f>AI235</f>
        <v>0</v>
      </c>
      <c r="CX235" s="5">
        <f>AJ235</f>
        <v>0</v>
      </c>
      <c r="CY235" s="5">
        <f>0</f>
        <v>0</v>
      </c>
      <c r="CZ235" s="5">
        <f>0</f>
        <v>0</v>
      </c>
      <c r="DA235" s="5"/>
      <c r="DB235" s="5"/>
      <c r="DC235" s="5" t="s">
        <v>6</v>
      </c>
      <c r="DD235" s="5" t="s">
        <v>6</v>
      </c>
      <c r="DE235" s="5" t="s">
        <v>6</v>
      </c>
      <c r="DF235" s="5" t="s">
        <v>6</v>
      </c>
      <c r="DG235" s="5" t="s">
        <v>6</v>
      </c>
      <c r="DH235" s="5" t="s">
        <v>6</v>
      </c>
      <c r="DI235" s="5" t="s">
        <v>6</v>
      </c>
      <c r="DJ235" s="5" t="s">
        <v>6</v>
      </c>
      <c r="DK235" s="5" t="s">
        <v>6</v>
      </c>
      <c r="DL235" s="5" t="s">
        <v>6</v>
      </c>
      <c r="DM235" s="5" t="s">
        <v>6</v>
      </c>
      <c r="DN235" s="5">
        <v>0</v>
      </c>
      <c r="DO235" s="5">
        <v>0</v>
      </c>
      <c r="DP235" s="5">
        <v>1</v>
      </c>
      <c r="DQ235" s="5">
        <v>1</v>
      </c>
      <c r="DR235" s="5"/>
      <c r="DS235" s="5"/>
      <c r="DT235" s="5"/>
      <c r="DU235" s="5">
        <v>1013</v>
      </c>
      <c r="DV235" s="5" t="s">
        <v>118</v>
      </c>
      <c r="DW235" s="5" t="s">
        <v>118</v>
      </c>
      <c r="DX235" s="5">
        <v>1</v>
      </c>
      <c r="DY235" s="5"/>
      <c r="DZ235" s="5" t="s">
        <v>6</v>
      </c>
      <c r="EA235" s="5" t="s">
        <v>6</v>
      </c>
      <c r="EB235" s="5" t="s">
        <v>6</v>
      </c>
      <c r="EC235" s="5" t="s">
        <v>6</v>
      </c>
      <c r="ED235" s="5"/>
      <c r="EE235" s="5">
        <v>72417318</v>
      </c>
      <c r="EF235" s="5">
        <v>12</v>
      </c>
      <c r="EG235" s="5" t="s">
        <v>113</v>
      </c>
      <c r="EH235" s="5">
        <v>0</v>
      </c>
      <c r="EI235" s="5" t="s">
        <v>6</v>
      </c>
      <c r="EJ235" s="5">
        <v>2</v>
      </c>
      <c r="EK235" s="5">
        <v>500002</v>
      </c>
      <c r="EL235" s="5" t="s">
        <v>114</v>
      </c>
      <c r="EM235" s="5" t="s">
        <v>115</v>
      </c>
      <c r="EN235" s="5"/>
      <c r="EO235" s="5" t="s">
        <v>6</v>
      </c>
      <c r="EP235" s="5"/>
      <c r="EQ235" s="5">
        <v>0</v>
      </c>
      <c r="ER235" s="5">
        <v>3059.76</v>
      </c>
      <c r="ES235" s="5">
        <v>3059.76</v>
      </c>
      <c r="ET235" s="5">
        <v>0</v>
      </c>
      <c r="EU235" s="5">
        <v>0</v>
      </c>
      <c r="EV235" s="5">
        <v>0</v>
      </c>
      <c r="EW235" s="5">
        <v>0</v>
      </c>
      <c r="EX235" s="5">
        <v>0</v>
      </c>
      <c r="EY235" s="5">
        <v>0</v>
      </c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>
        <v>0</v>
      </c>
      <c r="FR235" s="5">
        <v>0</v>
      </c>
      <c r="FS235" s="5">
        <v>0</v>
      </c>
      <c r="FT235" s="5"/>
      <c r="FU235" s="5"/>
      <c r="FV235" s="5"/>
      <c r="FW235" s="5"/>
      <c r="FX235" s="5">
        <v>0</v>
      </c>
      <c r="FY235" s="5">
        <v>0</v>
      </c>
      <c r="FZ235" s="5"/>
      <c r="GA235" s="5" t="s">
        <v>6</v>
      </c>
      <c r="GB235" s="5"/>
      <c r="GC235" s="5"/>
      <c r="GD235" s="5">
        <v>1</v>
      </c>
      <c r="GE235" s="5"/>
      <c r="GF235" s="5">
        <v>-1930129689</v>
      </c>
      <c r="GG235" s="5">
        <v>2</v>
      </c>
      <c r="GH235" s="5">
        <v>1</v>
      </c>
      <c r="GI235" s="5">
        <v>2</v>
      </c>
      <c r="GJ235" s="5">
        <v>0</v>
      </c>
      <c r="GK235" s="5">
        <v>0</v>
      </c>
      <c r="GL235" s="5">
        <f t="shared" si="82"/>
        <v>0</v>
      </c>
      <c r="GM235" s="5">
        <f t="shared" si="83"/>
        <v>39899.279999999999</v>
      </c>
      <c r="GN235" s="5">
        <f t="shared" si="84"/>
        <v>0</v>
      </c>
      <c r="GO235" s="5">
        <f t="shared" si="85"/>
        <v>39899.279999999999</v>
      </c>
      <c r="GP235" s="5">
        <f t="shared" si="86"/>
        <v>0</v>
      </c>
      <c r="GQ235" s="5"/>
      <c r="GR235" s="5">
        <v>0</v>
      </c>
      <c r="GS235" s="5">
        <v>3</v>
      </c>
      <c r="GT235" s="5">
        <v>0</v>
      </c>
      <c r="GU235" s="5" t="s">
        <v>6</v>
      </c>
      <c r="GV235" s="5">
        <f t="shared" si="87"/>
        <v>0</v>
      </c>
      <c r="GW235" s="5">
        <v>1</v>
      </c>
      <c r="GX235" s="5">
        <f t="shared" si="88"/>
        <v>0</v>
      </c>
      <c r="GY235" s="5"/>
      <c r="GZ235" s="5"/>
      <c r="HA235" s="5">
        <v>0</v>
      </c>
      <c r="HB235" s="5">
        <v>0</v>
      </c>
      <c r="HC235" s="5">
        <f t="shared" ref="HC235:HC242" si="91">GV235*GW235</f>
        <v>0</v>
      </c>
      <c r="HD235" s="5"/>
      <c r="HE235" s="5" t="s">
        <v>6</v>
      </c>
      <c r="HF235" s="5" t="s">
        <v>6</v>
      </c>
      <c r="HG235" s="5"/>
      <c r="HH235" s="5"/>
      <c r="HI235" s="5"/>
      <c r="HJ235" s="5"/>
      <c r="HK235" s="5"/>
      <c r="HL235" s="5"/>
      <c r="HM235" s="5" t="s">
        <v>6</v>
      </c>
      <c r="HN235" s="5" t="s">
        <v>6</v>
      </c>
      <c r="HO235" s="5" t="s">
        <v>6</v>
      </c>
      <c r="HP235" s="5" t="s">
        <v>6</v>
      </c>
      <c r="HQ235" s="5" t="s">
        <v>6</v>
      </c>
      <c r="HR235" s="5"/>
      <c r="HS235" s="5">
        <v>0</v>
      </c>
      <c r="HT235" s="5"/>
      <c r="HU235" s="5"/>
      <c r="HV235" s="5"/>
      <c r="HW235" s="5"/>
      <c r="HX235" s="5"/>
      <c r="HY235" s="5"/>
      <c r="HZ235" s="5"/>
      <c r="IA235" s="5"/>
      <c r="IB235" s="5"/>
      <c r="IC235" s="5"/>
      <c r="ID235" s="5"/>
      <c r="IE235" s="5"/>
      <c r="IF235" s="5"/>
      <c r="IG235" s="5"/>
      <c r="IH235" s="5"/>
      <c r="II235" s="5"/>
      <c r="IJ235" s="5"/>
      <c r="IK235" s="5">
        <v>0</v>
      </c>
      <c r="IL235" s="5"/>
      <c r="IM235" s="5"/>
      <c r="IN235" s="5"/>
      <c r="IO235" s="5"/>
      <c r="IP235" s="5"/>
      <c r="IQ235" s="5"/>
      <c r="IR235" s="5"/>
      <c r="IS235" s="5"/>
      <c r="IT235" s="5"/>
      <c r="IU235" s="5"/>
    </row>
    <row r="236" spans="1:255" x14ac:dyDescent="0.2">
      <c r="A236" s="5">
        <v>17</v>
      </c>
      <c r="B236" s="5">
        <v>1</v>
      </c>
      <c r="C236" s="5">
        <f>ROW(SmtRes!A9)</f>
        <v>9</v>
      </c>
      <c r="D236" s="5">
        <f>ROW(EtalonRes!A10)</f>
        <v>10</v>
      </c>
      <c r="E236" s="5" t="s">
        <v>120</v>
      </c>
      <c r="F236" s="5" t="s">
        <v>121</v>
      </c>
      <c r="G236" s="5" t="s">
        <v>122</v>
      </c>
      <c r="H236" s="5" t="s">
        <v>91</v>
      </c>
      <c r="I236" s="5">
        <f>ROUND(0.05,7)</f>
        <v>0.05</v>
      </c>
      <c r="J236" s="5">
        <v>0</v>
      </c>
      <c r="K236" s="5">
        <f>ROUND(0.05,7)</f>
        <v>0.05</v>
      </c>
      <c r="L236" s="5"/>
      <c r="M236" s="5"/>
      <c r="N236" s="5"/>
      <c r="O236" s="5">
        <f t="shared" si="89"/>
        <v>380.98</v>
      </c>
      <c r="P236" s="5">
        <f>SUMIF(SmtRes!AQ9:'SmtRes'!AQ9,"=1",SmtRes!DF9:'SmtRes'!DF9)</f>
        <v>0</v>
      </c>
      <c r="Q236" s="5">
        <f>SUMIF(SmtRes!AQ9:'SmtRes'!AQ9,"=1",SmtRes!DG9:'SmtRes'!DG9)</f>
        <v>0</v>
      </c>
      <c r="R236" s="5">
        <f>SUMIF(SmtRes!AQ9:'SmtRes'!AQ9,"=1",SmtRes!DH9:'SmtRes'!DH9)</f>
        <v>0</v>
      </c>
      <c r="S236" s="5">
        <f>SUMIF(SmtRes!AQ9:'SmtRes'!AQ9,"=1",SmtRes!DI9:'SmtRes'!DI9)</f>
        <v>380.98</v>
      </c>
      <c r="T236" s="5">
        <f t="shared" si="75"/>
        <v>0</v>
      </c>
      <c r="U236" s="5">
        <f>SUMIF(SmtRes!AQ9:'SmtRes'!AQ9,"=1",SmtRes!CV9:'SmtRes'!CV9)</f>
        <v>1.2050000000000001</v>
      </c>
      <c r="V236" s="5">
        <f>SUMIF(SmtRes!AQ9:'SmtRes'!AQ9,"=1",SmtRes!CW9:'SmtRes'!CW9)</f>
        <v>0</v>
      </c>
      <c r="W236" s="5">
        <f t="shared" si="76"/>
        <v>0</v>
      </c>
      <c r="X236" s="5">
        <f t="shared" si="77"/>
        <v>346.69</v>
      </c>
      <c r="Y236" s="5">
        <f t="shared" si="78"/>
        <v>182.87</v>
      </c>
      <c r="Z236" s="5"/>
      <c r="AA236" s="5">
        <v>74850150</v>
      </c>
      <c r="AB236" s="5">
        <f t="shared" si="79"/>
        <v>7619.6970000000001</v>
      </c>
      <c r="AC236" s="5">
        <f>ROUND((0),6)</f>
        <v>0</v>
      </c>
      <c r="AD236" s="5">
        <f>ROUND((((0)-(0))+AE236),6)</f>
        <v>0</v>
      </c>
      <c r="AE236" s="5">
        <f>ROUND((0),6)</f>
        <v>0</v>
      </c>
      <c r="AF236" s="5">
        <f>ROUND((SUM(SmtRes!BT9:'SmtRes'!BT9)),6)</f>
        <v>7619.6970000000001</v>
      </c>
      <c r="AG236" s="5">
        <f t="shared" si="80"/>
        <v>0</v>
      </c>
      <c r="AH236" s="5">
        <f>(SUM(SmtRes!BU9:'SmtRes'!BU9))</f>
        <v>24.1</v>
      </c>
      <c r="AI236" s="5">
        <f>(0)</f>
        <v>0</v>
      </c>
      <c r="AJ236" s="5">
        <f t="shared" si="81"/>
        <v>0</v>
      </c>
      <c r="AK236" s="5">
        <v>7619.697000000001</v>
      </c>
      <c r="AL236" s="5">
        <v>0</v>
      </c>
      <c r="AM236" s="5">
        <v>0</v>
      </c>
      <c r="AN236" s="5">
        <v>0</v>
      </c>
      <c r="AO236" s="5">
        <v>7619.697000000001</v>
      </c>
      <c r="AP236" s="5">
        <v>0</v>
      </c>
      <c r="AQ236" s="5">
        <v>24.1</v>
      </c>
      <c r="AR236" s="5">
        <v>0</v>
      </c>
      <c r="AS236" s="5">
        <v>0</v>
      </c>
      <c r="AT236" s="5">
        <v>91</v>
      </c>
      <c r="AU236" s="5">
        <v>48</v>
      </c>
      <c r="AV236" s="5">
        <v>1</v>
      </c>
      <c r="AW236" s="5">
        <v>1</v>
      </c>
      <c r="AX236" s="5"/>
      <c r="AY236" s="5"/>
      <c r="AZ236" s="5">
        <v>1</v>
      </c>
      <c r="BA236" s="5">
        <v>1</v>
      </c>
      <c r="BB236" s="5">
        <v>1</v>
      </c>
      <c r="BC236" s="5">
        <v>1</v>
      </c>
      <c r="BD236" s="5" t="s">
        <v>6</v>
      </c>
      <c r="BE236" s="5" t="s">
        <v>6</v>
      </c>
      <c r="BF236" s="5" t="s">
        <v>6</v>
      </c>
      <c r="BG236" s="5" t="s">
        <v>6</v>
      </c>
      <c r="BH236" s="5">
        <v>0</v>
      </c>
      <c r="BI236" s="5">
        <v>1</v>
      </c>
      <c r="BJ236" s="5" t="s">
        <v>123</v>
      </c>
      <c r="BK236" s="5"/>
      <c r="BL236" s="5"/>
      <c r="BM236" s="5">
        <v>67001</v>
      </c>
      <c r="BN236" s="5">
        <v>0</v>
      </c>
      <c r="BO236" s="5" t="s">
        <v>6</v>
      </c>
      <c r="BP236" s="5">
        <v>0</v>
      </c>
      <c r="BQ236" s="5">
        <v>6</v>
      </c>
      <c r="BR236" s="5">
        <v>0</v>
      </c>
      <c r="BS236" s="5">
        <v>1</v>
      </c>
      <c r="BT236" s="5">
        <v>1</v>
      </c>
      <c r="BU236" s="5">
        <v>1</v>
      </c>
      <c r="BV236" s="5">
        <v>1</v>
      </c>
      <c r="BW236" s="5">
        <v>1</v>
      </c>
      <c r="BX236" s="5">
        <v>1</v>
      </c>
      <c r="BY236" s="5" t="s">
        <v>6</v>
      </c>
      <c r="BZ236" s="5">
        <v>91</v>
      </c>
      <c r="CA236" s="5">
        <v>48</v>
      </c>
      <c r="CB236" s="5" t="s">
        <v>6</v>
      </c>
      <c r="CC236" s="5"/>
      <c r="CD236" s="5"/>
      <c r="CE236" s="5">
        <v>0</v>
      </c>
      <c r="CF236" s="5">
        <v>0</v>
      </c>
      <c r="CG236" s="5">
        <v>0</v>
      </c>
      <c r="CH236" s="5"/>
      <c r="CI236" s="5"/>
      <c r="CJ236" s="5"/>
      <c r="CK236" s="5"/>
      <c r="CL236" s="5"/>
      <c r="CM236" s="5">
        <v>0</v>
      </c>
      <c r="CN236" s="5" t="s">
        <v>6</v>
      </c>
      <c r="CO236" s="5">
        <v>0</v>
      </c>
      <c r="CP236" s="5">
        <f t="shared" si="90"/>
        <v>380.98</v>
      </c>
      <c r="CQ236" s="5">
        <f>SUMIF(SmtRes!AQ9:'SmtRes'!AQ9,"=1",SmtRes!AA9:'SmtRes'!AA9)</f>
        <v>0</v>
      </c>
      <c r="CR236" s="5">
        <f>SUMIF(SmtRes!AQ9:'SmtRes'!AQ9,"=1",SmtRes!AB9:'SmtRes'!AB9)</f>
        <v>0</v>
      </c>
      <c r="CS236" s="5">
        <f>SUMIF(SmtRes!AQ9:'SmtRes'!AQ9,"=1",SmtRes!AC9:'SmtRes'!AC9)</f>
        <v>0</v>
      </c>
      <c r="CT236" s="5">
        <f>SUMIF(SmtRes!AQ9:'SmtRes'!AQ9,"=1",SmtRes!AD9:'SmtRes'!AD9)</f>
        <v>316.17</v>
      </c>
      <c r="CU236" s="5">
        <f t="shared" ref="CU236:CU242" si="92">AG236</f>
        <v>0</v>
      </c>
      <c r="CV236" s="5">
        <f>SUMIF(SmtRes!AQ9:'SmtRes'!AQ9,"=1",SmtRes!BU9:'SmtRes'!BU9)</f>
        <v>24.1</v>
      </c>
      <c r="CW236" s="5">
        <f>SUMIF(SmtRes!AQ9:'SmtRes'!AQ9,"=1",SmtRes!BV9:'SmtRes'!BV9)</f>
        <v>0</v>
      </c>
      <c r="CX236" s="5">
        <f t="shared" ref="CX236:CX242" si="93">AJ236</f>
        <v>0</v>
      </c>
      <c r="CY236" s="5">
        <f>(((S236+R236)*AT236)/100)</f>
        <v>346.6918</v>
      </c>
      <c r="CZ236" s="5">
        <f>(((S236+R236)*AU236)/100)</f>
        <v>182.87040000000002</v>
      </c>
      <c r="DA236" s="5"/>
      <c r="DB236" s="5"/>
      <c r="DC236" s="5" t="s">
        <v>6</v>
      </c>
      <c r="DD236" s="5" t="s">
        <v>6</v>
      </c>
      <c r="DE236" s="5" t="s">
        <v>6</v>
      </c>
      <c r="DF236" s="5" t="s">
        <v>6</v>
      </c>
      <c r="DG236" s="5" t="s">
        <v>6</v>
      </c>
      <c r="DH236" s="5" t="s">
        <v>6</v>
      </c>
      <c r="DI236" s="5" t="s">
        <v>6</v>
      </c>
      <c r="DJ236" s="5" t="s">
        <v>6</v>
      </c>
      <c r="DK236" s="5" t="s">
        <v>6</v>
      </c>
      <c r="DL236" s="5" t="s">
        <v>6</v>
      </c>
      <c r="DM236" s="5" t="s">
        <v>6</v>
      </c>
      <c r="DN236" s="5">
        <v>0</v>
      </c>
      <c r="DO236" s="5">
        <v>0</v>
      </c>
      <c r="DP236" s="5">
        <v>1</v>
      </c>
      <c r="DQ236" s="5">
        <v>1</v>
      </c>
      <c r="DR236" s="5"/>
      <c r="DS236" s="5"/>
      <c r="DT236" s="5"/>
      <c r="DU236" s="5">
        <v>1013</v>
      </c>
      <c r="DV236" s="5" t="s">
        <v>91</v>
      </c>
      <c r="DW236" s="5" t="s">
        <v>91</v>
      </c>
      <c r="DX236" s="5">
        <v>1</v>
      </c>
      <c r="DY236" s="5"/>
      <c r="DZ236" s="5" t="s">
        <v>6</v>
      </c>
      <c r="EA236" s="5" t="s">
        <v>6</v>
      </c>
      <c r="EB236" s="5" t="s">
        <v>6</v>
      </c>
      <c r="EC236" s="5" t="s">
        <v>6</v>
      </c>
      <c r="ED236" s="5"/>
      <c r="EE236" s="5">
        <v>72417508</v>
      </c>
      <c r="EF236" s="5">
        <v>6</v>
      </c>
      <c r="EG236" s="5" t="s">
        <v>93</v>
      </c>
      <c r="EH236" s="5">
        <v>101</v>
      </c>
      <c r="EI236" s="5" t="s">
        <v>19</v>
      </c>
      <c r="EJ236" s="5">
        <v>1</v>
      </c>
      <c r="EK236" s="5">
        <v>67001</v>
      </c>
      <c r="EL236" s="5" t="s">
        <v>19</v>
      </c>
      <c r="EM236" s="5" t="s">
        <v>94</v>
      </c>
      <c r="EN236" s="5"/>
      <c r="EO236" s="5" t="s">
        <v>6</v>
      </c>
      <c r="EP236" s="5"/>
      <c r="EQ236" s="5">
        <v>0</v>
      </c>
      <c r="ER236" s="5">
        <v>0</v>
      </c>
      <c r="ES236" s="5">
        <v>0</v>
      </c>
      <c r="ET236" s="5">
        <v>0</v>
      </c>
      <c r="EU236" s="5">
        <v>0</v>
      </c>
      <c r="EV236" s="5">
        <v>0</v>
      </c>
      <c r="EW236" s="5">
        <v>24.1</v>
      </c>
      <c r="EX236" s="5">
        <v>0</v>
      </c>
      <c r="EY236" s="5">
        <v>0</v>
      </c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>
        <v>0</v>
      </c>
      <c r="FR236" s="5">
        <v>0</v>
      </c>
      <c r="FS236" s="5">
        <v>0</v>
      </c>
      <c r="FT236" s="5"/>
      <c r="FU236" s="5"/>
      <c r="FV236" s="5"/>
      <c r="FW236" s="5"/>
      <c r="FX236" s="5">
        <v>91</v>
      </c>
      <c r="FY236" s="5">
        <v>48</v>
      </c>
      <c r="FZ236" s="5"/>
      <c r="GA236" s="5" t="s">
        <v>6</v>
      </c>
      <c r="GB236" s="5"/>
      <c r="GC236" s="5"/>
      <c r="GD236" s="5">
        <v>1</v>
      </c>
      <c r="GE236" s="5"/>
      <c r="GF236" s="5">
        <v>722987259</v>
      </c>
      <c r="GG236" s="5">
        <v>2</v>
      </c>
      <c r="GH236" s="5">
        <v>1</v>
      </c>
      <c r="GI236" s="5">
        <v>-2</v>
      </c>
      <c r="GJ236" s="5">
        <v>0</v>
      </c>
      <c r="GK236" s="5">
        <v>0</v>
      </c>
      <c r="GL236" s="5">
        <f t="shared" si="82"/>
        <v>0</v>
      </c>
      <c r="GM236" s="5">
        <f t="shared" si="83"/>
        <v>910.54</v>
      </c>
      <c r="GN236" s="5">
        <f t="shared" si="84"/>
        <v>910.54</v>
      </c>
      <c r="GO236" s="5">
        <f t="shared" si="85"/>
        <v>0</v>
      </c>
      <c r="GP236" s="5">
        <f t="shared" si="86"/>
        <v>0</v>
      </c>
      <c r="GQ236" s="5"/>
      <c r="GR236" s="5">
        <v>0</v>
      </c>
      <c r="GS236" s="5">
        <v>3</v>
      </c>
      <c r="GT236" s="5">
        <v>0</v>
      </c>
      <c r="GU236" s="5" t="s">
        <v>6</v>
      </c>
      <c r="GV236" s="5">
        <f t="shared" si="87"/>
        <v>0</v>
      </c>
      <c r="GW236" s="5">
        <v>1</v>
      </c>
      <c r="GX236" s="5">
        <f t="shared" si="88"/>
        <v>0</v>
      </c>
      <c r="GY236" s="5"/>
      <c r="GZ236" s="5"/>
      <c r="HA236" s="5">
        <v>0</v>
      </c>
      <c r="HB236" s="5">
        <v>0</v>
      </c>
      <c r="HC236" s="5">
        <f t="shared" si="91"/>
        <v>0</v>
      </c>
      <c r="HD236" s="5"/>
      <c r="HE236" s="5" t="s">
        <v>6</v>
      </c>
      <c r="HF236" s="5" t="s">
        <v>6</v>
      </c>
      <c r="HG236" s="5"/>
      <c r="HH236" s="5"/>
      <c r="HI236" s="5"/>
      <c r="HJ236" s="5"/>
      <c r="HK236" s="5"/>
      <c r="HL236" s="5"/>
      <c r="HM236" s="5" t="s">
        <v>6</v>
      </c>
      <c r="HN236" s="5" t="s">
        <v>95</v>
      </c>
      <c r="HO236" s="5" t="s">
        <v>96</v>
      </c>
      <c r="HP236" s="5" t="s">
        <v>19</v>
      </c>
      <c r="HQ236" s="5" t="s">
        <v>19</v>
      </c>
      <c r="HR236" s="5"/>
      <c r="HS236" s="5">
        <v>0</v>
      </c>
      <c r="HT236" s="5"/>
      <c r="HU236" s="5"/>
      <c r="HV236" s="5"/>
      <c r="HW236" s="5"/>
      <c r="HX236" s="5"/>
      <c r="HY236" s="5"/>
      <c r="HZ236" s="5"/>
      <c r="IA236" s="5"/>
      <c r="IB236" s="5"/>
      <c r="IC236" s="5"/>
      <c r="ID236" s="5"/>
      <c r="IE236" s="5"/>
      <c r="IF236" s="5"/>
      <c r="IG236" s="5"/>
      <c r="IH236" s="5"/>
      <c r="II236" s="5"/>
      <c r="IJ236" s="5"/>
      <c r="IK236" s="5">
        <v>0</v>
      </c>
      <c r="IL236" s="5"/>
      <c r="IM236" s="5"/>
      <c r="IN236" s="5"/>
      <c r="IO236" s="5"/>
      <c r="IP236" s="5"/>
      <c r="IQ236" s="5"/>
      <c r="IR236" s="5"/>
      <c r="IS236" s="5"/>
      <c r="IT236" s="5"/>
      <c r="IU236" s="5"/>
    </row>
    <row r="237" spans="1:255" x14ac:dyDescent="0.2">
      <c r="A237" s="5">
        <v>17</v>
      </c>
      <c r="B237" s="5">
        <v>1</v>
      </c>
      <c r="C237" s="5"/>
      <c r="D237" s="5"/>
      <c r="E237" s="5" t="s">
        <v>124</v>
      </c>
      <c r="F237" s="5" t="s">
        <v>125</v>
      </c>
      <c r="G237" s="5" t="s">
        <v>126</v>
      </c>
      <c r="H237" s="5" t="s">
        <v>118</v>
      </c>
      <c r="I237" s="5">
        <f>ROUND(1,7)</f>
        <v>1</v>
      </c>
      <c r="J237" s="5">
        <v>0</v>
      </c>
      <c r="K237" s="5">
        <f>ROUND(1,7)</f>
        <v>1</v>
      </c>
      <c r="L237" s="5"/>
      <c r="M237" s="5"/>
      <c r="N237" s="5"/>
      <c r="O237" s="5">
        <f t="shared" si="89"/>
        <v>84.4</v>
      </c>
      <c r="P237" s="5">
        <f>ROUND(CQ237*I237,2)</f>
        <v>84.4</v>
      </c>
      <c r="Q237" s="5">
        <f>ROUND(CR237*I237,2)</f>
        <v>0</v>
      </c>
      <c r="R237" s="5">
        <f>ROUND(CS237*I237,2)</f>
        <v>0</v>
      </c>
      <c r="S237" s="5">
        <f>ROUND(CT237*I237,2)</f>
        <v>0</v>
      </c>
      <c r="T237" s="5">
        <f t="shared" si="75"/>
        <v>0</v>
      </c>
      <c r="U237" s="5">
        <f>ROUND(CV237*I237,7)</f>
        <v>0</v>
      </c>
      <c r="V237" s="5">
        <f>ROUND(CW237*I237,7)</f>
        <v>0</v>
      </c>
      <c r="W237" s="5">
        <f t="shared" si="76"/>
        <v>0</v>
      </c>
      <c r="X237" s="5">
        <f t="shared" si="77"/>
        <v>0</v>
      </c>
      <c r="Y237" s="5">
        <f t="shared" si="78"/>
        <v>0</v>
      </c>
      <c r="Z237" s="5"/>
      <c r="AA237" s="5">
        <v>74850150</v>
      </c>
      <c r="AB237" s="5">
        <f t="shared" si="79"/>
        <v>57.81</v>
      </c>
      <c r="AC237" s="5">
        <f>ROUND((ES237),6)</f>
        <v>57.81</v>
      </c>
      <c r="AD237" s="5">
        <f>ROUND((((ET237)-(EU237))+AE237),6)</f>
        <v>0</v>
      </c>
      <c r="AE237" s="5">
        <f t="shared" ref="AE237:AF240" si="94">ROUND((EU237),6)</f>
        <v>0</v>
      </c>
      <c r="AF237" s="5">
        <f t="shared" si="94"/>
        <v>0</v>
      </c>
      <c r="AG237" s="5">
        <f t="shared" si="80"/>
        <v>0</v>
      </c>
      <c r="AH237" s="5">
        <f t="shared" ref="AH237:AI240" si="95">(EW237)</f>
        <v>0</v>
      </c>
      <c r="AI237" s="5">
        <f t="shared" si="95"/>
        <v>0</v>
      </c>
      <c r="AJ237" s="5">
        <f t="shared" si="81"/>
        <v>0</v>
      </c>
      <c r="AK237" s="5">
        <v>57.81</v>
      </c>
      <c r="AL237" s="5">
        <v>57.81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0</v>
      </c>
      <c r="AT237" s="5">
        <v>0</v>
      </c>
      <c r="AU237" s="5">
        <v>0</v>
      </c>
      <c r="AV237" s="5">
        <v>1</v>
      </c>
      <c r="AW237" s="5">
        <v>1</v>
      </c>
      <c r="AX237" s="5"/>
      <c r="AY237" s="5"/>
      <c r="AZ237" s="5">
        <v>1</v>
      </c>
      <c r="BA237" s="5">
        <v>1</v>
      </c>
      <c r="BB237" s="5">
        <v>1</v>
      </c>
      <c r="BC237" s="5">
        <v>1.46</v>
      </c>
      <c r="BD237" s="5" t="s">
        <v>6</v>
      </c>
      <c r="BE237" s="5" t="s">
        <v>6</v>
      </c>
      <c r="BF237" s="5" t="s">
        <v>6</v>
      </c>
      <c r="BG237" s="5" t="s">
        <v>6</v>
      </c>
      <c r="BH237" s="5">
        <v>3</v>
      </c>
      <c r="BI237" s="5">
        <v>2</v>
      </c>
      <c r="BJ237" s="5" t="s">
        <v>127</v>
      </c>
      <c r="BK237" s="5"/>
      <c r="BL237" s="5"/>
      <c r="BM237" s="5">
        <v>500002</v>
      </c>
      <c r="BN237" s="5">
        <v>0</v>
      </c>
      <c r="BO237" s="5" t="s">
        <v>125</v>
      </c>
      <c r="BP237" s="5">
        <v>1</v>
      </c>
      <c r="BQ237" s="5">
        <v>12</v>
      </c>
      <c r="BR237" s="5">
        <v>0</v>
      </c>
      <c r="BS237" s="5">
        <v>1</v>
      </c>
      <c r="BT237" s="5">
        <v>1</v>
      </c>
      <c r="BU237" s="5">
        <v>1</v>
      </c>
      <c r="BV237" s="5">
        <v>1</v>
      </c>
      <c r="BW237" s="5">
        <v>1</v>
      </c>
      <c r="BX237" s="5">
        <v>1</v>
      </c>
      <c r="BY237" s="5" t="s">
        <v>6</v>
      </c>
      <c r="BZ237" s="5">
        <v>0</v>
      </c>
      <c r="CA237" s="5">
        <v>0</v>
      </c>
      <c r="CB237" s="5" t="s">
        <v>6</v>
      </c>
      <c r="CC237" s="5"/>
      <c r="CD237" s="5"/>
      <c r="CE237" s="5">
        <v>0</v>
      </c>
      <c r="CF237" s="5">
        <v>0</v>
      </c>
      <c r="CG237" s="5">
        <v>0</v>
      </c>
      <c r="CH237" s="5"/>
      <c r="CI237" s="5"/>
      <c r="CJ237" s="5"/>
      <c r="CK237" s="5"/>
      <c r="CL237" s="5"/>
      <c r="CM237" s="5">
        <v>0</v>
      </c>
      <c r="CN237" s="5" t="s">
        <v>6</v>
      </c>
      <c r="CO237" s="5">
        <v>0</v>
      </c>
      <c r="CP237" s="5">
        <f t="shared" si="90"/>
        <v>84.4</v>
      </c>
      <c r="CQ237" s="5">
        <f>ROUND(AL237*BC237,2)</f>
        <v>84.4</v>
      </c>
      <c r="CR237" s="5">
        <f>ROUND(AM237*BB237,2)</f>
        <v>0</v>
      </c>
      <c r="CS237" s="5">
        <f>ROUND(AN237*BS237,2)</f>
        <v>0</v>
      </c>
      <c r="CT237" s="5">
        <f>ROUND(AO237*BA237,2)</f>
        <v>0</v>
      </c>
      <c r="CU237" s="5">
        <f t="shared" si="92"/>
        <v>0</v>
      </c>
      <c r="CV237" s="5">
        <f t="shared" ref="CV237:CW240" si="96">AH237</f>
        <v>0</v>
      </c>
      <c r="CW237" s="5">
        <f t="shared" si="96"/>
        <v>0</v>
      </c>
      <c r="CX237" s="5">
        <f t="shared" si="93"/>
        <v>0</v>
      </c>
      <c r="CY237" s="5">
        <f>0</f>
        <v>0</v>
      </c>
      <c r="CZ237" s="5">
        <f>0</f>
        <v>0</v>
      </c>
      <c r="DA237" s="5"/>
      <c r="DB237" s="5"/>
      <c r="DC237" s="5" t="s">
        <v>6</v>
      </c>
      <c r="DD237" s="5" t="s">
        <v>6</v>
      </c>
      <c r="DE237" s="5" t="s">
        <v>6</v>
      </c>
      <c r="DF237" s="5" t="s">
        <v>6</v>
      </c>
      <c r="DG237" s="5" t="s">
        <v>6</v>
      </c>
      <c r="DH237" s="5" t="s">
        <v>6</v>
      </c>
      <c r="DI237" s="5" t="s">
        <v>6</v>
      </c>
      <c r="DJ237" s="5" t="s">
        <v>6</v>
      </c>
      <c r="DK237" s="5" t="s">
        <v>6</v>
      </c>
      <c r="DL237" s="5" t="s">
        <v>6</v>
      </c>
      <c r="DM237" s="5" t="s">
        <v>6</v>
      </c>
      <c r="DN237" s="5">
        <v>0</v>
      </c>
      <c r="DO237" s="5">
        <v>0</v>
      </c>
      <c r="DP237" s="5">
        <v>1</v>
      </c>
      <c r="DQ237" s="5">
        <v>1</v>
      </c>
      <c r="DR237" s="5"/>
      <c r="DS237" s="5"/>
      <c r="DT237" s="5"/>
      <c r="DU237" s="5">
        <v>1013</v>
      </c>
      <c r="DV237" s="5" t="s">
        <v>118</v>
      </c>
      <c r="DW237" s="5" t="s">
        <v>118</v>
      </c>
      <c r="DX237" s="5">
        <v>1</v>
      </c>
      <c r="DY237" s="5"/>
      <c r="DZ237" s="5" t="s">
        <v>6</v>
      </c>
      <c r="EA237" s="5" t="s">
        <v>6</v>
      </c>
      <c r="EB237" s="5" t="s">
        <v>6</v>
      </c>
      <c r="EC237" s="5" t="s">
        <v>6</v>
      </c>
      <c r="ED237" s="5"/>
      <c r="EE237" s="5">
        <v>72417318</v>
      </c>
      <c r="EF237" s="5">
        <v>12</v>
      </c>
      <c r="EG237" s="5" t="s">
        <v>113</v>
      </c>
      <c r="EH237" s="5">
        <v>0</v>
      </c>
      <c r="EI237" s="5" t="s">
        <v>6</v>
      </c>
      <c r="EJ237" s="5">
        <v>2</v>
      </c>
      <c r="EK237" s="5">
        <v>500002</v>
      </c>
      <c r="EL237" s="5" t="s">
        <v>114</v>
      </c>
      <c r="EM237" s="5" t="s">
        <v>115</v>
      </c>
      <c r="EN237" s="5"/>
      <c r="EO237" s="5" t="s">
        <v>6</v>
      </c>
      <c r="EP237" s="5"/>
      <c r="EQ237" s="5">
        <v>0</v>
      </c>
      <c r="ER237" s="5">
        <v>57.81</v>
      </c>
      <c r="ES237" s="5">
        <v>57.81</v>
      </c>
      <c r="ET237" s="5">
        <v>0</v>
      </c>
      <c r="EU237" s="5">
        <v>0</v>
      </c>
      <c r="EV237" s="5">
        <v>0</v>
      </c>
      <c r="EW237" s="5">
        <v>0</v>
      </c>
      <c r="EX237" s="5">
        <v>0</v>
      </c>
      <c r="EY237" s="5">
        <v>0</v>
      </c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>
        <v>0</v>
      </c>
      <c r="FR237" s="5">
        <v>0</v>
      </c>
      <c r="FS237" s="5">
        <v>0</v>
      </c>
      <c r="FT237" s="5"/>
      <c r="FU237" s="5"/>
      <c r="FV237" s="5"/>
      <c r="FW237" s="5"/>
      <c r="FX237" s="5">
        <v>0</v>
      </c>
      <c r="FY237" s="5">
        <v>0</v>
      </c>
      <c r="FZ237" s="5"/>
      <c r="GA237" s="5" t="s">
        <v>6</v>
      </c>
      <c r="GB237" s="5"/>
      <c r="GC237" s="5"/>
      <c r="GD237" s="5">
        <v>1</v>
      </c>
      <c r="GE237" s="5"/>
      <c r="GF237" s="5">
        <v>-511749825</v>
      </c>
      <c r="GG237" s="5">
        <v>2</v>
      </c>
      <c r="GH237" s="5">
        <v>1</v>
      </c>
      <c r="GI237" s="5">
        <v>2</v>
      </c>
      <c r="GJ237" s="5">
        <v>0</v>
      </c>
      <c r="GK237" s="5">
        <v>0</v>
      </c>
      <c r="GL237" s="5">
        <f t="shared" si="82"/>
        <v>0</v>
      </c>
      <c r="GM237" s="5">
        <f t="shared" si="83"/>
        <v>84.4</v>
      </c>
      <c r="GN237" s="5">
        <f t="shared" si="84"/>
        <v>0</v>
      </c>
      <c r="GO237" s="5">
        <f t="shared" si="85"/>
        <v>84.4</v>
      </c>
      <c r="GP237" s="5">
        <f t="shared" si="86"/>
        <v>0</v>
      </c>
      <c r="GQ237" s="5"/>
      <c r="GR237" s="5">
        <v>0</v>
      </c>
      <c r="GS237" s="5">
        <v>3</v>
      </c>
      <c r="GT237" s="5">
        <v>0</v>
      </c>
      <c r="GU237" s="5" t="s">
        <v>6</v>
      </c>
      <c r="GV237" s="5">
        <f t="shared" si="87"/>
        <v>0</v>
      </c>
      <c r="GW237" s="5">
        <v>1</v>
      </c>
      <c r="GX237" s="5">
        <f t="shared" si="88"/>
        <v>0</v>
      </c>
      <c r="GY237" s="5"/>
      <c r="GZ237" s="5"/>
      <c r="HA237" s="5">
        <v>0</v>
      </c>
      <c r="HB237" s="5">
        <v>0</v>
      </c>
      <c r="HC237" s="5">
        <f t="shared" si="91"/>
        <v>0</v>
      </c>
      <c r="HD237" s="5"/>
      <c r="HE237" s="5" t="s">
        <v>6</v>
      </c>
      <c r="HF237" s="5" t="s">
        <v>6</v>
      </c>
      <c r="HG237" s="5"/>
      <c r="HH237" s="5"/>
      <c r="HI237" s="5"/>
      <c r="HJ237" s="5"/>
      <c r="HK237" s="5"/>
      <c r="HL237" s="5"/>
      <c r="HM237" s="5" t="s">
        <v>6</v>
      </c>
      <c r="HN237" s="5" t="s">
        <v>6</v>
      </c>
      <c r="HO237" s="5" t="s">
        <v>6</v>
      </c>
      <c r="HP237" s="5" t="s">
        <v>6</v>
      </c>
      <c r="HQ237" s="5" t="s">
        <v>6</v>
      </c>
      <c r="HR237" s="5"/>
      <c r="HS237" s="5">
        <v>0</v>
      </c>
      <c r="HT237" s="5"/>
      <c r="HU237" s="5"/>
      <c r="HV237" s="5"/>
      <c r="HW237" s="5"/>
      <c r="HX237" s="5"/>
      <c r="HY237" s="5"/>
      <c r="HZ237" s="5"/>
      <c r="IA237" s="5"/>
      <c r="IB237" s="5"/>
      <c r="IC237" s="5"/>
      <c r="ID237" s="5"/>
      <c r="IE237" s="5"/>
      <c r="IF237" s="5"/>
      <c r="IG237" s="5"/>
      <c r="IH237" s="5"/>
      <c r="II237" s="5"/>
      <c r="IJ237" s="5"/>
      <c r="IK237" s="5">
        <v>0</v>
      </c>
      <c r="IL237" s="5"/>
      <c r="IM237" s="5"/>
      <c r="IN237" s="5"/>
      <c r="IO237" s="5"/>
      <c r="IP237" s="5"/>
      <c r="IQ237" s="5"/>
      <c r="IR237" s="5"/>
      <c r="IS237" s="5"/>
      <c r="IT237" s="5"/>
      <c r="IU237" s="5"/>
    </row>
    <row r="238" spans="1:255" x14ac:dyDescent="0.2">
      <c r="A238" s="5">
        <v>17</v>
      </c>
      <c r="B238" s="5">
        <v>1</v>
      </c>
      <c r="C238" s="5"/>
      <c r="D238" s="5"/>
      <c r="E238" s="5" t="s">
        <v>128</v>
      </c>
      <c r="F238" s="5" t="s">
        <v>129</v>
      </c>
      <c r="G238" s="5" t="s">
        <v>130</v>
      </c>
      <c r="H238" s="5" t="s">
        <v>118</v>
      </c>
      <c r="I238" s="5">
        <f>ROUND(4,7)</f>
        <v>4</v>
      </c>
      <c r="J238" s="5">
        <v>0</v>
      </c>
      <c r="K238" s="5">
        <f>ROUND(4,7)</f>
        <v>4</v>
      </c>
      <c r="L238" s="5"/>
      <c r="M238" s="5"/>
      <c r="N238" s="5"/>
      <c r="O238" s="5">
        <f t="shared" si="89"/>
        <v>321.32</v>
      </c>
      <c r="P238" s="5">
        <f>ROUND(CQ238*I238,2)</f>
        <v>321.32</v>
      </c>
      <c r="Q238" s="5">
        <f>ROUND(CR238*I238,2)</f>
        <v>0</v>
      </c>
      <c r="R238" s="5">
        <f>ROUND(CS238*I238,2)</f>
        <v>0</v>
      </c>
      <c r="S238" s="5">
        <f>ROUND(CT238*I238,2)</f>
        <v>0</v>
      </c>
      <c r="T238" s="5">
        <f t="shared" si="75"/>
        <v>0</v>
      </c>
      <c r="U238" s="5">
        <f>ROUND(CV238*I238,7)</f>
        <v>0</v>
      </c>
      <c r="V238" s="5">
        <f>ROUND(CW238*I238,7)</f>
        <v>0</v>
      </c>
      <c r="W238" s="5">
        <f t="shared" si="76"/>
        <v>0</v>
      </c>
      <c r="X238" s="5">
        <f t="shared" si="77"/>
        <v>0</v>
      </c>
      <c r="Y238" s="5">
        <f t="shared" si="78"/>
        <v>0</v>
      </c>
      <c r="Z238" s="5"/>
      <c r="AA238" s="5">
        <v>74850150</v>
      </c>
      <c r="AB238" s="5">
        <f t="shared" si="79"/>
        <v>55.02</v>
      </c>
      <c r="AC238" s="5">
        <f>ROUND((ES238),6)</f>
        <v>55.02</v>
      </c>
      <c r="AD238" s="5">
        <f>ROUND((((ET238)-(EU238))+AE238),6)</f>
        <v>0</v>
      </c>
      <c r="AE238" s="5">
        <f t="shared" si="94"/>
        <v>0</v>
      </c>
      <c r="AF238" s="5">
        <f t="shared" si="94"/>
        <v>0</v>
      </c>
      <c r="AG238" s="5">
        <f t="shared" si="80"/>
        <v>0</v>
      </c>
      <c r="AH238" s="5">
        <f t="shared" si="95"/>
        <v>0</v>
      </c>
      <c r="AI238" s="5">
        <f t="shared" si="95"/>
        <v>0</v>
      </c>
      <c r="AJ238" s="5">
        <f t="shared" si="81"/>
        <v>0</v>
      </c>
      <c r="AK238" s="5">
        <v>55.02</v>
      </c>
      <c r="AL238" s="5">
        <v>55.02</v>
      </c>
      <c r="AM238" s="5">
        <v>0</v>
      </c>
      <c r="AN238" s="5">
        <v>0</v>
      </c>
      <c r="AO238" s="5">
        <v>0</v>
      </c>
      <c r="AP238" s="5">
        <v>0</v>
      </c>
      <c r="AQ238" s="5">
        <v>0</v>
      </c>
      <c r="AR238" s="5">
        <v>0</v>
      </c>
      <c r="AS238" s="5">
        <v>0</v>
      </c>
      <c r="AT238" s="5">
        <v>0</v>
      </c>
      <c r="AU238" s="5">
        <v>0</v>
      </c>
      <c r="AV238" s="5">
        <v>1</v>
      </c>
      <c r="AW238" s="5">
        <v>1</v>
      </c>
      <c r="AX238" s="5"/>
      <c r="AY238" s="5"/>
      <c r="AZ238" s="5">
        <v>1</v>
      </c>
      <c r="BA238" s="5">
        <v>1</v>
      </c>
      <c r="BB238" s="5">
        <v>1</v>
      </c>
      <c r="BC238" s="5">
        <v>1.46</v>
      </c>
      <c r="BD238" s="5" t="s">
        <v>6</v>
      </c>
      <c r="BE238" s="5" t="s">
        <v>6</v>
      </c>
      <c r="BF238" s="5" t="s">
        <v>6</v>
      </c>
      <c r="BG238" s="5" t="s">
        <v>6</v>
      </c>
      <c r="BH238" s="5">
        <v>3</v>
      </c>
      <c r="BI238" s="5">
        <v>2</v>
      </c>
      <c r="BJ238" s="5" t="s">
        <v>131</v>
      </c>
      <c r="BK238" s="5"/>
      <c r="BL238" s="5"/>
      <c r="BM238" s="5">
        <v>500002</v>
      </c>
      <c r="BN238" s="5">
        <v>0</v>
      </c>
      <c r="BO238" s="5" t="s">
        <v>129</v>
      </c>
      <c r="BP238" s="5">
        <v>1</v>
      </c>
      <c r="BQ238" s="5">
        <v>12</v>
      </c>
      <c r="BR238" s="5">
        <v>0</v>
      </c>
      <c r="BS238" s="5">
        <v>1</v>
      </c>
      <c r="BT238" s="5">
        <v>1</v>
      </c>
      <c r="BU238" s="5">
        <v>1</v>
      </c>
      <c r="BV238" s="5">
        <v>1</v>
      </c>
      <c r="BW238" s="5">
        <v>1</v>
      </c>
      <c r="BX238" s="5">
        <v>1</v>
      </c>
      <c r="BY238" s="5" t="s">
        <v>6</v>
      </c>
      <c r="BZ238" s="5">
        <v>0</v>
      </c>
      <c r="CA238" s="5">
        <v>0</v>
      </c>
      <c r="CB238" s="5" t="s">
        <v>6</v>
      </c>
      <c r="CC238" s="5"/>
      <c r="CD238" s="5"/>
      <c r="CE238" s="5">
        <v>0</v>
      </c>
      <c r="CF238" s="5">
        <v>0</v>
      </c>
      <c r="CG238" s="5">
        <v>0</v>
      </c>
      <c r="CH238" s="5"/>
      <c r="CI238" s="5"/>
      <c r="CJ238" s="5"/>
      <c r="CK238" s="5"/>
      <c r="CL238" s="5"/>
      <c r="CM238" s="5">
        <v>0</v>
      </c>
      <c r="CN238" s="5" t="s">
        <v>6</v>
      </c>
      <c r="CO238" s="5">
        <v>0</v>
      </c>
      <c r="CP238" s="5">
        <f t="shared" si="90"/>
        <v>321.32</v>
      </c>
      <c r="CQ238" s="5">
        <f>ROUND(AL238*BC238,2)</f>
        <v>80.33</v>
      </c>
      <c r="CR238" s="5">
        <f>ROUND(AM238*BB238,2)</f>
        <v>0</v>
      </c>
      <c r="CS238" s="5">
        <f>ROUND(AN238*BS238,2)</f>
        <v>0</v>
      </c>
      <c r="CT238" s="5">
        <f>ROUND(AO238*BA238,2)</f>
        <v>0</v>
      </c>
      <c r="CU238" s="5">
        <f t="shared" si="92"/>
        <v>0</v>
      </c>
      <c r="CV238" s="5">
        <f t="shared" si="96"/>
        <v>0</v>
      </c>
      <c r="CW238" s="5">
        <f t="shared" si="96"/>
        <v>0</v>
      </c>
      <c r="CX238" s="5">
        <f t="shared" si="93"/>
        <v>0</v>
      </c>
      <c r="CY238" s="5">
        <f>0</f>
        <v>0</v>
      </c>
      <c r="CZ238" s="5">
        <f>0</f>
        <v>0</v>
      </c>
      <c r="DA238" s="5"/>
      <c r="DB238" s="5"/>
      <c r="DC238" s="5" t="s">
        <v>6</v>
      </c>
      <c r="DD238" s="5" t="s">
        <v>6</v>
      </c>
      <c r="DE238" s="5" t="s">
        <v>6</v>
      </c>
      <c r="DF238" s="5" t="s">
        <v>6</v>
      </c>
      <c r="DG238" s="5" t="s">
        <v>6</v>
      </c>
      <c r="DH238" s="5" t="s">
        <v>6</v>
      </c>
      <c r="DI238" s="5" t="s">
        <v>6</v>
      </c>
      <c r="DJ238" s="5" t="s">
        <v>6</v>
      </c>
      <c r="DK238" s="5" t="s">
        <v>6</v>
      </c>
      <c r="DL238" s="5" t="s">
        <v>6</v>
      </c>
      <c r="DM238" s="5" t="s">
        <v>6</v>
      </c>
      <c r="DN238" s="5">
        <v>0</v>
      </c>
      <c r="DO238" s="5">
        <v>0</v>
      </c>
      <c r="DP238" s="5">
        <v>1</v>
      </c>
      <c r="DQ238" s="5">
        <v>1</v>
      </c>
      <c r="DR238" s="5"/>
      <c r="DS238" s="5"/>
      <c r="DT238" s="5"/>
      <c r="DU238" s="5">
        <v>1013</v>
      </c>
      <c r="DV238" s="5" t="s">
        <v>118</v>
      </c>
      <c r="DW238" s="5" t="s">
        <v>118</v>
      </c>
      <c r="DX238" s="5">
        <v>1</v>
      </c>
      <c r="DY238" s="5"/>
      <c r="DZ238" s="5" t="s">
        <v>6</v>
      </c>
      <c r="EA238" s="5" t="s">
        <v>6</v>
      </c>
      <c r="EB238" s="5" t="s">
        <v>6</v>
      </c>
      <c r="EC238" s="5" t="s">
        <v>6</v>
      </c>
      <c r="ED238" s="5"/>
      <c r="EE238" s="5">
        <v>72417318</v>
      </c>
      <c r="EF238" s="5">
        <v>12</v>
      </c>
      <c r="EG238" s="5" t="s">
        <v>113</v>
      </c>
      <c r="EH238" s="5">
        <v>0</v>
      </c>
      <c r="EI238" s="5" t="s">
        <v>6</v>
      </c>
      <c r="EJ238" s="5">
        <v>2</v>
      </c>
      <c r="EK238" s="5">
        <v>500002</v>
      </c>
      <c r="EL238" s="5" t="s">
        <v>114</v>
      </c>
      <c r="EM238" s="5" t="s">
        <v>115</v>
      </c>
      <c r="EN238" s="5"/>
      <c r="EO238" s="5" t="s">
        <v>6</v>
      </c>
      <c r="EP238" s="5"/>
      <c r="EQ238" s="5">
        <v>0</v>
      </c>
      <c r="ER238" s="5">
        <v>55.02</v>
      </c>
      <c r="ES238" s="5">
        <v>55.02</v>
      </c>
      <c r="ET238" s="5">
        <v>0</v>
      </c>
      <c r="EU238" s="5">
        <v>0</v>
      </c>
      <c r="EV238" s="5">
        <v>0</v>
      </c>
      <c r="EW238" s="5">
        <v>0</v>
      </c>
      <c r="EX238" s="5">
        <v>0</v>
      </c>
      <c r="EY238" s="5">
        <v>0</v>
      </c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>
        <v>0</v>
      </c>
      <c r="FR238" s="5">
        <v>0</v>
      </c>
      <c r="FS238" s="5">
        <v>0</v>
      </c>
      <c r="FT238" s="5"/>
      <c r="FU238" s="5"/>
      <c r="FV238" s="5"/>
      <c r="FW238" s="5"/>
      <c r="FX238" s="5">
        <v>0</v>
      </c>
      <c r="FY238" s="5">
        <v>0</v>
      </c>
      <c r="FZ238" s="5"/>
      <c r="GA238" s="5" t="s">
        <v>6</v>
      </c>
      <c r="GB238" s="5"/>
      <c r="GC238" s="5"/>
      <c r="GD238" s="5">
        <v>1</v>
      </c>
      <c r="GE238" s="5"/>
      <c r="GF238" s="5">
        <v>-476006967</v>
      </c>
      <c r="GG238" s="5">
        <v>2</v>
      </c>
      <c r="GH238" s="5">
        <v>1</v>
      </c>
      <c r="GI238" s="5">
        <v>2</v>
      </c>
      <c r="GJ238" s="5">
        <v>0</v>
      </c>
      <c r="GK238" s="5">
        <v>0</v>
      </c>
      <c r="GL238" s="5">
        <f t="shared" si="82"/>
        <v>0</v>
      </c>
      <c r="GM238" s="5">
        <f t="shared" si="83"/>
        <v>321.32</v>
      </c>
      <c r="GN238" s="5">
        <f t="shared" si="84"/>
        <v>0</v>
      </c>
      <c r="GO238" s="5">
        <f t="shared" si="85"/>
        <v>321.32</v>
      </c>
      <c r="GP238" s="5">
        <f t="shared" si="86"/>
        <v>0</v>
      </c>
      <c r="GQ238" s="5"/>
      <c r="GR238" s="5">
        <v>0</v>
      </c>
      <c r="GS238" s="5">
        <v>3</v>
      </c>
      <c r="GT238" s="5">
        <v>0</v>
      </c>
      <c r="GU238" s="5" t="s">
        <v>6</v>
      </c>
      <c r="GV238" s="5">
        <f t="shared" si="87"/>
        <v>0</v>
      </c>
      <c r="GW238" s="5">
        <v>1</v>
      </c>
      <c r="GX238" s="5">
        <f t="shared" si="88"/>
        <v>0</v>
      </c>
      <c r="GY238" s="5"/>
      <c r="GZ238" s="5"/>
      <c r="HA238" s="5">
        <v>0</v>
      </c>
      <c r="HB238" s="5">
        <v>0</v>
      </c>
      <c r="HC238" s="5">
        <f t="shared" si="91"/>
        <v>0</v>
      </c>
      <c r="HD238" s="5"/>
      <c r="HE238" s="5" t="s">
        <v>6</v>
      </c>
      <c r="HF238" s="5" t="s">
        <v>6</v>
      </c>
      <c r="HG238" s="5"/>
      <c r="HH238" s="5"/>
      <c r="HI238" s="5"/>
      <c r="HJ238" s="5"/>
      <c r="HK238" s="5"/>
      <c r="HL238" s="5"/>
      <c r="HM238" s="5" t="s">
        <v>6</v>
      </c>
      <c r="HN238" s="5" t="s">
        <v>6</v>
      </c>
      <c r="HO238" s="5" t="s">
        <v>6</v>
      </c>
      <c r="HP238" s="5" t="s">
        <v>6</v>
      </c>
      <c r="HQ238" s="5" t="s">
        <v>6</v>
      </c>
      <c r="HR238" s="5"/>
      <c r="HS238" s="5">
        <v>0</v>
      </c>
      <c r="HT238" s="5"/>
      <c r="HU238" s="5"/>
      <c r="HV238" s="5"/>
      <c r="HW238" s="5"/>
      <c r="HX238" s="5"/>
      <c r="HY238" s="5"/>
      <c r="HZ238" s="5"/>
      <c r="IA238" s="5"/>
      <c r="IB238" s="5"/>
      <c r="IC238" s="5"/>
      <c r="ID238" s="5"/>
      <c r="IE238" s="5"/>
      <c r="IF238" s="5"/>
      <c r="IG238" s="5"/>
      <c r="IH238" s="5"/>
      <c r="II238" s="5"/>
      <c r="IJ238" s="5"/>
      <c r="IK238" s="5">
        <v>0</v>
      </c>
      <c r="IL238" s="5"/>
      <c r="IM238" s="5"/>
      <c r="IN238" s="5"/>
      <c r="IO238" s="5"/>
      <c r="IP238" s="5"/>
      <c r="IQ238" s="5"/>
      <c r="IR238" s="5"/>
      <c r="IS238" s="5"/>
      <c r="IT238" s="5"/>
      <c r="IU238" s="5"/>
    </row>
    <row r="239" spans="1:255" x14ac:dyDescent="0.2">
      <c r="A239" s="5">
        <v>17</v>
      </c>
      <c r="B239" s="5">
        <v>1</v>
      </c>
      <c r="C239" s="5"/>
      <c r="D239" s="5"/>
      <c r="E239" s="5" t="s">
        <v>20</v>
      </c>
      <c r="F239" s="5" t="s">
        <v>132</v>
      </c>
      <c r="G239" s="5" t="s">
        <v>133</v>
      </c>
      <c r="H239" s="5" t="s">
        <v>91</v>
      </c>
      <c r="I239" s="5">
        <f>ROUND(0.05,7)</f>
        <v>0.05</v>
      </c>
      <c r="J239" s="5">
        <v>0</v>
      </c>
      <c r="K239" s="5">
        <f>ROUND(0.05,7)</f>
        <v>0.05</v>
      </c>
      <c r="L239" s="5"/>
      <c r="M239" s="5"/>
      <c r="N239" s="5"/>
      <c r="O239" s="5">
        <f t="shared" si="89"/>
        <v>284.2</v>
      </c>
      <c r="P239" s="5">
        <f>ROUND(CQ239*I239,2)</f>
        <v>284.2</v>
      </c>
      <c r="Q239" s="5">
        <f>ROUND(CR239*I239,2)</f>
        <v>0</v>
      </c>
      <c r="R239" s="5">
        <f>ROUND(CS239*I239,2)</f>
        <v>0</v>
      </c>
      <c r="S239" s="5">
        <f>ROUND(CT239*I239,2)</f>
        <v>0</v>
      </c>
      <c r="T239" s="5">
        <f t="shared" si="75"/>
        <v>0</v>
      </c>
      <c r="U239" s="5">
        <f>ROUND(CV239*I239,7)</f>
        <v>0</v>
      </c>
      <c r="V239" s="5">
        <f>ROUND(CW239*I239,7)</f>
        <v>0</v>
      </c>
      <c r="W239" s="5">
        <f t="shared" si="76"/>
        <v>0</v>
      </c>
      <c r="X239" s="5">
        <f t="shared" si="77"/>
        <v>0</v>
      </c>
      <c r="Y239" s="5">
        <f t="shared" si="78"/>
        <v>0</v>
      </c>
      <c r="Z239" s="5"/>
      <c r="AA239" s="5">
        <v>74850150</v>
      </c>
      <c r="AB239" s="5">
        <f t="shared" si="79"/>
        <v>4406.17</v>
      </c>
      <c r="AC239" s="5">
        <f>ROUND((ES239),6)</f>
        <v>4406.17</v>
      </c>
      <c r="AD239" s="5">
        <f>ROUND((((ET239)-(EU239))+AE239),6)</f>
        <v>0</v>
      </c>
      <c r="AE239" s="5">
        <f t="shared" si="94"/>
        <v>0</v>
      </c>
      <c r="AF239" s="5">
        <f t="shared" si="94"/>
        <v>0</v>
      </c>
      <c r="AG239" s="5">
        <f t="shared" si="80"/>
        <v>0</v>
      </c>
      <c r="AH239" s="5">
        <f t="shared" si="95"/>
        <v>0</v>
      </c>
      <c r="AI239" s="5">
        <f t="shared" si="95"/>
        <v>0</v>
      </c>
      <c r="AJ239" s="5">
        <f t="shared" si="81"/>
        <v>0</v>
      </c>
      <c r="AK239" s="5">
        <v>4406.17</v>
      </c>
      <c r="AL239" s="5">
        <v>4406.17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0</v>
      </c>
      <c r="AS239" s="5">
        <v>0</v>
      </c>
      <c r="AT239" s="5">
        <v>0</v>
      </c>
      <c r="AU239" s="5">
        <v>0</v>
      </c>
      <c r="AV239" s="5">
        <v>1</v>
      </c>
      <c r="AW239" s="5">
        <v>1</v>
      </c>
      <c r="AX239" s="5"/>
      <c r="AY239" s="5"/>
      <c r="AZ239" s="5">
        <v>1</v>
      </c>
      <c r="BA239" s="5">
        <v>1</v>
      </c>
      <c r="BB239" s="5">
        <v>1</v>
      </c>
      <c r="BC239" s="5">
        <v>1.29</v>
      </c>
      <c r="BD239" s="5" t="s">
        <v>6</v>
      </c>
      <c r="BE239" s="5" t="s">
        <v>6</v>
      </c>
      <c r="BF239" s="5" t="s">
        <v>6</v>
      </c>
      <c r="BG239" s="5" t="s">
        <v>6</v>
      </c>
      <c r="BH239" s="5">
        <v>3</v>
      </c>
      <c r="BI239" s="5">
        <v>2</v>
      </c>
      <c r="BJ239" s="5" t="s">
        <v>134</v>
      </c>
      <c r="BK239" s="5"/>
      <c r="BL239" s="5"/>
      <c r="BM239" s="5">
        <v>500002</v>
      </c>
      <c r="BN239" s="5">
        <v>0</v>
      </c>
      <c r="BO239" s="5" t="s">
        <v>132</v>
      </c>
      <c r="BP239" s="5">
        <v>1</v>
      </c>
      <c r="BQ239" s="5">
        <v>12</v>
      </c>
      <c r="BR239" s="5">
        <v>0</v>
      </c>
      <c r="BS239" s="5">
        <v>1</v>
      </c>
      <c r="BT239" s="5">
        <v>1</v>
      </c>
      <c r="BU239" s="5">
        <v>1</v>
      </c>
      <c r="BV239" s="5">
        <v>1</v>
      </c>
      <c r="BW239" s="5">
        <v>1</v>
      </c>
      <c r="BX239" s="5">
        <v>1</v>
      </c>
      <c r="BY239" s="5" t="s">
        <v>6</v>
      </c>
      <c r="BZ239" s="5">
        <v>0</v>
      </c>
      <c r="CA239" s="5">
        <v>0</v>
      </c>
      <c r="CB239" s="5" t="s">
        <v>6</v>
      </c>
      <c r="CC239" s="5"/>
      <c r="CD239" s="5"/>
      <c r="CE239" s="5">
        <v>0</v>
      </c>
      <c r="CF239" s="5">
        <v>0</v>
      </c>
      <c r="CG239" s="5">
        <v>0</v>
      </c>
      <c r="CH239" s="5"/>
      <c r="CI239" s="5"/>
      <c r="CJ239" s="5"/>
      <c r="CK239" s="5"/>
      <c r="CL239" s="5"/>
      <c r="CM239" s="5">
        <v>0</v>
      </c>
      <c r="CN239" s="5" t="s">
        <v>6</v>
      </c>
      <c r="CO239" s="5">
        <v>0</v>
      </c>
      <c r="CP239" s="5">
        <f t="shared" si="90"/>
        <v>284.2</v>
      </c>
      <c r="CQ239" s="5">
        <f>ROUND(AL239*BC239,2)</f>
        <v>5683.96</v>
      </c>
      <c r="CR239" s="5">
        <f>ROUND(AM239*BB239,2)</f>
        <v>0</v>
      </c>
      <c r="CS239" s="5">
        <f>ROUND(AN239*BS239,2)</f>
        <v>0</v>
      </c>
      <c r="CT239" s="5">
        <f>ROUND(AO239*BA239,2)</f>
        <v>0</v>
      </c>
      <c r="CU239" s="5">
        <f t="shared" si="92"/>
        <v>0</v>
      </c>
      <c r="CV239" s="5">
        <f t="shared" si="96"/>
        <v>0</v>
      </c>
      <c r="CW239" s="5">
        <f t="shared" si="96"/>
        <v>0</v>
      </c>
      <c r="CX239" s="5">
        <f t="shared" si="93"/>
        <v>0</v>
      </c>
      <c r="CY239" s="5">
        <f>0</f>
        <v>0</v>
      </c>
      <c r="CZ239" s="5">
        <f>0</f>
        <v>0</v>
      </c>
      <c r="DA239" s="5"/>
      <c r="DB239" s="5"/>
      <c r="DC239" s="5" t="s">
        <v>6</v>
      </c>
      <c r="DD239" s="5" t="s">
        <v>6</v>
      </c>
      <c r="DE239" s="5" t="s">
        <v>6</v>
      </c>
      <c r="DF239" s="5" t="s">
        <v>6</v>
      </c>
      <c r="DG239" s="5" t="s">
        <v>6</v>
      </c>
      <c r="DH239" s="5" t="s">
        <v>6</v>
      </c>
      <c r="DI239" s="5" t="s">
        <v>6</v>
      </c>
      <c r="DJ239" s="5" t="s">
        <v>6</v>
      </c>
      <c r="DK239" s="5" t="s">
        <v>6</v>
      </c>
      <c r="DL239" s="5" t="s">
        <v>6</v>
      </c>
      <c r="DM239" s="5" t="s">
        <v>6</v>
      </c>
      <c r="DN239" s="5">
        <v>0</v>
      </c>
      <c r="DO239" s="5">
        <v>0</v>
      </c>
      <c r="DP239" s="5">
        <v>1</v>
      </c>
      <c r="DQ239" s="5">
        <v>1</v>
      </c>
      <c r="DR239" s="5"/>
      <c r="DS239" s="5"/>
      <c r="DT239" s="5"/>
      <c r="DU239" s="5">
        <v>1013</v>
      </c>
      <c r="DV239" s="5" t="s">
        <v>91</v>
      </c>
      <c r="DW239" s="5" t="s">
        <v>91</v>
      </c>
      <c r="DX239" s="5">
        <v>1</v>
      </c>
      <c r="DY239" s="5"/>
      <c r="DZ239" s="5" t="s">
        <v>6</v>
      </c>
      <c r="EA239" s="5" t="s">
        <v>6</v>
      </c>
      <c r="EB239" s="5" t="s">
        <v>6</v>
      </c>
      <c r="EC239" s="5" t="s">
        <v>6</v>
      </c>
      <c r="ED239" s="5"/>
      <c r="EE239" s="5">
        <v>72417318</v>
      </c>
      <c r="EF239" s="5">
        <v>12</v>
      </c>
      <c r="EG239" s="5" t="s">
        <v>113</v>
      </c>
      <c r="EH239" s="5">
        <v>0</v>
      </c>
      <c r="EI239" s="5" t="s">
        <v>6</v>
      </c>
      <c r="EJ239" s="5">
        <v>2</v>
      </c>
      <c r="EK239" s="5">
        <v>500002</v>
      </c>
      <c r="EL239" s="5" t="s">
        <v>114</v>
      </c>
      <c r="EM239" s="5" t="s">
        <v>115</v>
      </c>
      <c r="EN239" s="5"/>
      <c r="EO239" s="5" t="s">
        <v>6</v>
      </c>
      <c r="EP239" s="5"/>
      <c r="EQ239" s="5">
        <v>0</v>
      </c>
      <c r="ER239" s="5">
        <v>4406.17</v>
      </c>
      <c r="ES239" s="5">
        <v>4406.17</v>
      </c>
      <c r="ET239" s="5">
        <v>0</v>
      </c>
      <c r="EU239" s="5">
        <v>0</v>
      </c>
      <c r="EV239" s="5">
        <v>0</v>
      </c>
      <c r="EW239" s="5">
        <v>0</v>
      </c>
      <c r="EX239" s="5">
        <v>0</v>
      </c>
      <c r="EY239" s="5">
        <v>0</v>
      </c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>
        <v>0</v>
      </c>
      <c r="FR239" s="5">
        <v>0</v>
      </c>
      <c r="FS239" s="5">
        <v>0</v>
      </c>
      <c r="FT239" s="5"/>
      <c r="FU239" s="5"/>
      <c r="FV239" s="5"/>
      <c r="FW239" s="5"/>
      <c r="FX239" s="5">
        <v>0</v>
      </c>
      <c r="FY239" s="5">
        <v>0</v>
      </c>
      <c r="FZ239" s="5"/>
      <c r="GA239" s="5" t="s">
        <v>6</v>
      </c>
      <c r="GB239" s="5"/>
      <c r="GC239" s="5"/>
      <c r="GD239" s="5">
        <v>1</v>
      </c>
      <c r="GE239" s="5"/>
      <c r="GF239" s="5">
        <v>-180745342</v>
      </c>
      <c r="GG239" s="5">
        <v>2</v>
      </c>
      <c r="GH239" s="5">
        <v>1</v>
      </c>
      <c r="GI239" s="5">
        <v>2</v>
      </c>
      <c r="GJ239" s="5">
        <v>0</v>
      </c>
      <c r="GK239" s="5">
        <v>0</v>
      </c>
      <c r="GL239" s="5">
        <f t="shared" si="82"/>
        <v>0</v>
      </c>
      <c r="GM239" s="5">
        <f t="shared" si="83"/>
        <v>284.2</v>
      </c>
      <c r="GN239" s="5">
        <f t="shared" si="84"/>
        <v>0</v>
      </c>
      <c r="GO239" s="5">
        <f t="shared" si="85"/>
        <v>284.2</v>
      </c>
      <c r="GP239" s="5">
        <f t="shared" si="86"/>
        <v>0</v>
      </c>
      <c r="GQ239" s="5"/>
      <c r="GR239" s="5">
        <v>0</v>
      </c>
      <c r="GS239" s="5">
        <v>3</v>
      </c>
      <c r="GT239" s="5">
        <v>0</v>
      </c>
      <c r="GU239" s="5" t="s">
        <v>6</v>
      </c>
      <c r="GV239" s="5">
        <f t="shared" si="87"/>
        <v>0</v>
      </c>
      <c r="GW239" s="5">
        <v>1</v>
      </c>
      <c r="GX239" s="5">
        <f t="shared" si="88"/>
        <v>0</v>
      </c>
      <c r="GY239" s="5"/>
      <c r="GZ239" s="5"/>
      <c r="HA239" s="5">
        <v>0</v>
      </c>
      <c r="HB239" s="5">
        <v>0</v>
      </c>
      <c r="HC239" s="5">
        <f t="shared" si="91"/>
        <v>0</v>
      </c>
      <c r="HD239" s="5"/>
      <c r="HE239" s="5" t="s">
        <v>6</v>
      </c>
      <c r="HF239" s="5" t="s">
        <v>6</v>
      </c>
      <c r="HG239" s="5"/>
      <c r="HH239" s="5"/>
      <c r="HI239" s="5"/>
      <c r="HJ239" s="5"/>
      <c r="HK239" s="5"/>
      <c r="HL239" s="5"/>
      <c r="HM239" s="5" t="s">
        <v>6</v>
      </c>
      <c r="HN239" s="5" t="s">
        <v>6</v>
      </c>
      <c r="HO239" s="5" t="s">
        <v>6</v>
      </c>
      <c r="HP239" s="5" t="s">
        <v>6</v>
      </c>
      <c r="HQ239" s="5" t="s">
        <v>6</v>
      </c>
      <c r="HR239" s="5"/>
      <c r="HS239" s="5">
        <v>0</v>
      </c>
      <c r="HT239" s="5"/>
      <c r="HU239" s="5"/>
      <c r="HV239" s="5"/>
      <c r="HW239" s="5"/>
      <c r="HX239" s="5"/>
      <c r="HY239" s="5"/>
      <c r="HZ239" s="5"/>
      <c r="IA239" s="5"/>
      <c r="IB239" s="5"/>
      <c r="IC239" s="5"/>
      <c r="ID239" s="5"/>
      <c r="IE239" s="5"/>
      <c r="IF239" s="5"/>
      <c r="IG239" s="5"/>
      <c r="IH239" s="5"/>
      <c r="II239" s="5"/>
      <c r="IJ239" s="5"/>
      <c r="IK239" s="5">
        <v>0</v>
      </c>
      <c r="IL239" s="5"/>
      <c r="IM239" s="5"/>
      <c r="IN239" s="5"/>
      <c r="IO239" s="5"/>
      <c r="IP239" s="5"/>
      <c r="IQ239" s="5"/>
      <c r="IR239" s="5"/>
      <c r="IS239" s="5"/>
      <c r="IT239" s="5"/>
      <c r="IU239" s="5"/>
    </row>
    <row r="240" spans="1:255" x14ac:dyDescent="0.2">
      <c r="A240" s="5">
        <v>17</v>
      </c>
      <c r="B240" s="5">
        <v>1</v>
      </c>
      <c r="C240" s="5"/>
      <c r="D240" s="5"/>
      <c r="E240" s="5" t="s">
        <v>76</v>
      </c>
      <c r="F240" s="5" t="s">
        <v>135</v>
      </c>
      <c r="G240" s="5" t="s">
        <v>136</v>
      </c>
      <c r="H240" s="5" t="s">
        <v>137</v>
      </c>
      <c r="I240" s="5">
        <f>ROUND(0.005,7)</f>
        <v>5.0000000000000001E-3</v>
      </c>
      <c r="J240" s="5">
        <v>0</v>
      </c>
      <c r="K240" s="5">
        <f>ROUND(0.005,7)</f>
        <v>5.0000000000000001E-3</v>
      </c>
      <c r="L240" s="5"/>
      <c r="M240" s="5"/>
      <c r="N240" s="5"/>
      <c r="O240" s="5">
        <f t="shared" si="89"/>
        <v>36.58</v>
      </c>
      <c r="P240" s="5">
        <f>ROUND(CQ240*I240,2)</f>
        <v>36.58</v>
      </c>
      <c r="Q240" s="5">
        <f>ROUND(CR240*I240,2)</f>
        <v>0</v>
      </c>
      <c r="R240" s="5">
        <f>ROUND(CS240*I240,2)</f>
        <v>0</v>
      </c>
      <c r="S240" s="5">
        <f>ROUND(CT240*I240,2)</f>
        <v>0</v>
      </c>
      <c r="T240" s="5">
        <f t="shared" si="75"/>
        <v>0</v>
      </c>
      <c r="U240" s="5">
        <f>ROUND(CV240*I240,7)</f>
        <v>0</v>
      </c>
      <c r="V240" s="5">
        <f>ROUND(CW240*I240,7)</f>
        <v>0</v>
      </c>
      <c r="W240" s="5">
        <f t="shared" si="76"/>
        <v>0</v>
      </c>
      <c r="X240" s="5">
        <f t="shared" si="77"/>
        <v>0</v>
      </c>
      <c r="Y240" s="5">
        <f t="shared" si="78"/>
        <v>0</v>
      </c>
      <c r="Z240" s="5"/>
      <c r="AA240" s="5">
        <v>74850150</v>
      </c>
      <c r="AB240" s="5">
        <f t="shared" si="79"/>
        <v>7782.25</v>
      </c>
      <c r="AC240" s="5">
        <f>ROUND((ES240),6)</f>
        <v>7782.25</v>
      </c>
      <c r="AD240" s="5">
        <f>ROUND((((ET240)-(EU240))+AE240),6)</f>
        <v>0</v>
      </c>
      <c r="AE240" s="5">
        <f t="shared" si="94"/>
        <v>0</v>
      </c>
      <c r="AF240" s="5">
        <f t="shared" si="94"/>
        <v>0</v>
      </c>
      <c r="AG240" s="5">
        <f t="shared" si="80"/>
        <v>0</v>
      </c>
      <c r="AH240" s="5">
        <f t="shared" si="95"/>
        <v>0</v>
      </c>
      <c r="AI240" s="5">
        <f t="shared" si="95"/>
        <v>0</v>
      </c>
      <c r="AJ240" s="5">
        <f t="shared" si="81"/>
        <v>0</v>
      </c>
      <c r="AK240" s="5">
        <v>7782.25</v>
      </c>
      <c r="AL240" s="5">
        <v>7782.25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0</v>
      </c>
      <c r="AS240" s="5">
        <v>0</v>
      </c>
      <c r="AT240" s="5">
        <v>0</v>
      </c>
      <c r="AU240" s="5">
        <v>0</v>
      </c>
      <c r="AV240" s="5">
        <v>1</v>
      </c>
      <c r="AW240" s="5">
        <v>1</v>
      </c>
      <c r="AX240" s="5"/>
      <c r="AY240" s="5"/>
      <c r="AZ240" s="5">
        <v>1</v>
      </c>
      <c r="BA240" s="5">
        <v>1</v>
      </c>
      <c r="BB240" s="5">
        <v>1</v>
      </c>
      <c r="BC240" s="5">
        <v>0.94</v>
      </c>
      <c r="BD240" s="5" t="s">
        <v>6</v>
      </c>
      <c r="BE240" s="5" t="s">
        <v>6</v>
      </c>
      <c r="BF240" s="5" t="s">
        <v>6</v>
      </c>
      <c r="BG240" s="5" t="s">
        <v>6</v>
      </c>
      <c r="BH240" s="5">
        <v>3</v>
      </c>
      <c r="BI240" s="5">
        <v>2</v>
      </c>
      <c r="BJ240" s="5" t="s">
        <v>138</v>
      </c>
      <c r="BK240" s="5"/>
      <c r="BL240" s="5"/>
      <c r="BM240" s="5">
        <v>500002</v>
      </c>
      <c r="BN240" s="5">
        <v>0</v>
      </c>
      <c r="BO240" s="5" t="s">
        <v>135</v>
      </c>
      <c r="BP240" s="5">
        <v>1</v>
      </c>
      <c r="BQ240" s="5">
        <v>12</v>
      </c>
      <c r="BR240" s="5">
        <v>0</v>
      </c>
      <c r="BS240" s="5">
        <v>1</v>
      </c>
      <c r="BT240" s="5">
        <v>1</v>
      </c>
      <c r="BU240" s="5">
        <v>1</v>
      </c>
      <c r="BV240" s="5">
        <v>1</v>
      </c>
      <c r="BW240" s="5">
        <v>1</v>
      </c>
      <c r="BX240" s="5">
        <v>1</v>
      </c>
      <c r="BY240" s="5" t="s">
        <v>6</v>
      </c>
      <c r="BZ240" s="5">
        <v>0</v>
      </c>
      <c r="CA240" s="5">
        <v>0</v>
      </c>
      <c r="CB240" s="5" t="s">
        <v>6</v>
      </c>
      <c r="CC240" s="5"/>
      <c r="CD240" s="5"/>
      <c r="CE240" s="5">
        <v>0</v>
      </c>
      <c r="CF240" s="5">
        <v>0</v>
      </c>
      <c r="CG240" s="5">
        <v>0</v>
      </c>
      <c r="CH240" s="5"/>
      <c r="CI240" s="5"/>
      <c r="CJ240" s="5"/>
      <c r="CK240" s="5"/>
      <c r="CL240" s="5"/>
      <c r="CM240" s="5">
        <v>0</v>
      </c>
      <c r="CN240" s="5" t="s">
        <v>6</v>
      </c>
      <c r="CO240" s="5">
        <v>0</v>
      </c>
      <c r="CP240" s="5">
        <f t="shared" si="90"/>
        <v>36.58</v>
      </c>
      <c r="CQ240" s="5">
        <f>ROUND(AL240*BC240,2)</f>
        <v>7315.32</v>
      </c>
      <c r="CR240" s="5">
        <f>ROUND(AM240*BB240,2)</f>
        <v>0</v>
      </c>
      <c r="CS240" s="5">
        <f>ROUND(AN240*BS240,2)</f>
        <v>0</v>
      </c>
      <c r="CT240" s="5">
        <f>ROUND(AO240*BA240,2)</f>
        <v>0</v>
      </c>
      <c r="CU240" s="5">
        <f t="shared" si="92"/>
        <v>0</v>
      </c>
      <c r="CV240" s="5">
        <f t="shared" si="96"/>
        <v>0</v>
      </c>
      <c r="CW240" s="5">
        <f t="shared" si="96"/>
        <v>0</v>
      </c>
      <c r="CX240" s="5">
        <f t="shared" si="93"/>
        <v>0</v>
      </c>
      <c r="CY240" s="5">
        <f>0</f>
        <v>0</v>
      </c>
      <c r="CZ240" s="5">
        <f>0</f>
        <v>0</v>
      </c>
      <c r="DA240" s="5"/>
      <c r="DB240" s="5"/>
      <c r="DC240" s="5" t="s">
        <v>6</v>
      </c>
      <c r="DD240" s="5" t="s">
        <v>6</v>
      </c>
      <c r="DE240" s="5" t="s">
        <v>6</v>
      </c>
      <c r="DF240" s="5" t="s">
        <v>6</v>
      </c>
      <c r="DG240" s="5" t="s">
        <v>6</v>
      </c>
      <c r="DH240" s="5" t="s">
        <v>6</v>
      </c>
      <c r="DI240" s="5" t="s">
        <v>6</v>
      </c>
      <c r="DJ240" s="5" t="s">
        <v>6</v>
      </c>
      <c r="DK240" s="5" t="s">
        <v>6</v>
      </c>
      <c r="DL240" s="5" t="s">
        <v>6</v>
      </c>
      <c r="DM240" s="5" t="s">
        <v>6</v>
      </c>
      <c r="DN240" s="5">
        <v>0</v>
      </c>
      <c r="DO240" s="5">
        <v>0</v>
      </c>
      <c r="DP240" s="5">
        <v>1</v>
      </c>
      <c r="DQ240" s="5">
        <v>1</v>
      </c>
      <c r="DR240" s="5"/>
      <c r="DS240" s="5"/>
      <c r="DT240" s="5"/>
      <c r="DU240" s="5">
        <v>1013</v>
      </c>
      <c r="DV240" s="5" t="s">
        <v>137</v>
      </c>
      <c r="DW240" s="5" t="s">
        <v>137</v>
      </c>
      <c r="DX240" s="5">
        <v>1</v>
      </c>
      <c r="DY240" s="5"/>
      <c r="DZ240" s="5" t="s">
        <v>6</v>
      </c>
      <c r="EA240" s="5" t="s">
        <v>6</v>
      </c>
      <c r="EB240" s="5" t="s">
        <v>6</v>
      </c>
      <c r="EC240" s="5" t="s">
        <v>6</v>
      </c>
      <c r="ED240" s="5"/>
      <c r="EE240" s="5">
        <v>72417318</v>
      </c>
      <c r="EF240" s="5">
        <v>12</v>
      </c>
      <c r="EG240" s="5" t="s">
        <v>113</v>
      </c>
      <c r="EH240" s="5">
        <v>0</v>
      </c>
      <c r="EI240" s="5" t="s">
        <v>6</v>
      </c>
      <c r="EJ240" s="5">
        <v>2</v>
      </c>
      <c r="EK240" s="5">
        <v>500002</v>
      </c>
      <c r="EL240" s="5" t="s">
        <v>114</v>
      </c>
      <c r="EM240" s="5" t="s">
        <v>115</v>
      </c>
      <c r="EN240" s="5"/>
      <c r="EO240" s="5" t="s">
        <v>6</v>
      </c>
      <c r="EP240" s="5"/>
      <c r="EQ240" s="5">
        <v>0</v>
      </c>
      <c r="ER240" s="5">
        <v>7782.25</v>
      </c>
      <c r="ES240" s="5">
        <v>7782.25</v>
      </c>
      <c r="ET240" s="5">
        <v>0</v>
      </c>
      <c r="EU240" s="5">
        <v>0</v>
      </c>
      <c r="EV240" s="5">
        <v>0</v>
      </c>
      <c r="EW240" s="5">
        <v>0</v>
      </c>
      <c r="EX240" s="5">
        <v>0</v>
      </c>
      <c r="EY240" s="5">
        <v>0</v>
      </c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>
        <v>0</v>
      </c>
      <c r="FR240" s="5">
        <v>0</v>
      </c>
      <c r="FS240" s="5">
        <v>0</v>
      </c>
      <c r="FT240" s="5"/>
      <c r="FU240" s="5"/>
      <c r="FV240" s="5"/>
      <c r="FW240" s="5"/>
      <c r="FX240" s="5">
        <v>0</v>
      </c>
      <c r="FY240" s="5">
        <v>0</v>
      </c>
      <c r="FZ240" s="5"/>
      <c r="GA240" s="5" t="s">
        <v>6</v>
      </c>
      <c r="GB240" s="5"/>
      <c r="GC240" s="5"/>
      <c r="GD240" s="5">
        <v>1</v>
      </c>
      <c r="GE240" s="5"/>
      <c r="GF240" s="5">
        <v>1953082050</v>
      </c>
      <c r="GG240" s="5">
        <v>2</v>
      </c>
      <c r="GH240" s="5">
        <v>1</v>
      </c>
      <c r="GI240" s="5">
        <v>2</v>
      </c>
      <c r="GJ240" s="5">
        <v>0</v>
      </c>
      <c r="GK240" s="5">
        <v>0</v>
      </c>
      <c r="GL240" s="5">
        <f t="shared" si="82"/>
        <v>0</v>
      </c>
      <c r="GM240" s="5">
        <f t="shared" si="83"/>
        <v>36.58</v>
      </c>
      <c r="GN240" s="5">
        <f t="shared" si="84"/>
        <v>0</v>
      </c>
      <c r="GO240" s="5">
        <f t="shared" si="85"/>
        <v>36.58</v>
      </c>
      <c r="GP240" s="5">
        <f t="shared" si="86"/>
        <v>0</v>
      </c>
      <c r="GQ240" s="5"/>
      <c r="GR240" s="5">
        <v>0</v>
      </c>
      <c r="GS240" s="5">
        <v>3</v>
      </c>
      <c r="GT240" s="5">
        <v>0</v>
      </c>
      <c r="GU240" s="5" t="s">
        <v>6</v>
      </c>
      <c r="GV240" s="5">
        <f t="shared" si="87"/>
        <v>0</v>
      </c>
      <c r="GW240" s="5">
        <v>1</v>
      </c>
      <c r="GX240" s="5">
        <f t="shared" si="88"/>
        <v>0</v>
      </c>
      <c r="GY240" s="5"/>
      <c r="GZ240" s="5"/>
      <c r="HA240" s="5">
        <v>0</v>
      </c>
      <c r="HB240" s="5">
        <v>0</v>
      </c>
      <c r="HC240" s="5">
        <f t="shared" si="91"/>
        <v>0</v>
      </c>
      <c r="HD240" s="5"/>
      <c r="HE240" s="5" t="s">
        <v>6</v>
      </c>
      <c r="HF240" s="5" t="s">
        <v>6</v>
      </c>
      <c r="HG240" s="5"/>
      <c r="HH240" s="5"/>
      <c r="HI240" s="5"/>
      <c r="HJ240" s="5"/>
      <c r="HK240" s="5"/>
      <c r="HL240" s="5"/>
      <c r="HM240" s="5" t="s">
        <v>6</v>
      </c>
      <c r="HN240" s="5" t="s">
        <v>6</v>
      </c>
      <c r="HO240" s="5" t="s">
        <v>6</v>
      </c>
      <c r="HP240" s="5" t="s">
        <v>6</v>
      </c>
      <c r="HQ240" s="5" t="s">
        <v>6</v>
      </c>
      <c r="HR240" s="5"/>
      <c r="HS240" s="5">
        <v>0</v>
      </c>
      <c r="HT240" s="5"/>
      <c r="HU240" s="5"/>
      <c r="HV240" s="5"/>
      <c r="HW240" s="5"/>
      <c r="HX240" s="5"/>
      <c r="HY240" s="5"/>
      <c r="HZ240" s="5"/>
      <c r="IA240" s="5"/>
      <c r="IB240" s="5"/>
      <c r="IC240" s="5"/>
      <c r="ID240" s="5"/>
      <c r="IE240" s="5"/>
      <c r="IF240" s="5"/>
      <c r="IG240" s="5"/>
      <c r="IH240" s="5"/>
      <c r="II240" s="5"/>
      <c r="IJ240" s="5"/>
      <c r="IK240" s="5">
        <v>0</v>
      </c>
      <c r="IL240" s="5"/>
      <c r="IM240" s="5"/>
      <c r="IN240" s="5"/>
      <c r="IO240" s="5"/>
      <c r="IP240" s="5"/>
      <c r="IQ240" s="5"/>
      <c r="IR240" s="5"/>
      <c r="IS240" s="5"/>
      <c r="IT240" s="5"/>
      <c r="IU240" s="5"/>
    </row>
    <row r="241" spans="1:255" x14ac:dyDescent="0.2">
      <c r="A241" s="5">
        <v>17</v>
      </c>
      <c r="B241" s="5">
        <v>1</v>
      </c>
      <c r="C241" s="5">
        <f>ROW(SmtRes!A12)</f>
        <v>12</v>
      </c>
      <c r="D241" s="5">
        <f>ROW(EtalonRes!A13)</f>
        <v>13</v>
      </c>
      <c r="E241" s="5" t="s">
        <v>139</v>
      </c>
      <c r="F241" s="5" t="s">
        <v>140</v>
      </c>
      <c r="G241" s="5" t="s">
        <v>141</v>
      </c>
      <c r="H241" s="5" t="s">
        <v>142</v>
      </c>
      <c r="I241" s="5">
        <f>ROUND(0.15,7)</f>
        <v>0.15</v>
      </c>
      <c r="J241" s="5">
        <v>0</v>
      </c>
      <c r="K241" s="5">
        <f>ROUND(0.15,7)</f>
        <v>0.15</v>
      </c>
      <c r="L241" s="5"/>
      <c r="M241" s="5"/>
      <c r="N241" s="5"/>
      <c r="O241" s="5">
        <f t="shared" si="89"/>
        <v>782.24</v>
      </c>
      <c r="P241" s="5">
        <f>SUMIF(SmtRes!AQ10:'SmtRes'!AQ12,"=1",SmtRes!DF10:'SmtRes'!DF12)</f>
        <v>0</v>
      </c>
      <c r="Q241" s="5">
        <f>SUMIF(SmtRes!AQ10:'SmtRes'!AQ12,"=1",SmtRes!DG10:'SmtRes'!DG12)</f>
        <v>110.41</v>
      </c>
      <c r="R241" s="5">
        <f>SUMIF(SmtRes!AQ10:'SmtRes'!AQ12,"=1",SmtRes!DH10:'SmtRes'!DH12)</f>
        <v>0</v>
      </c>
      <c r="S241" s="5">
        <f>SUMIF(SmtRes!AQ10:'SmtRes'!AQ12,"=1",SmtRes!DI10:'SmtRes'!DI12)</f>
        <v>671.83</v>
      </c>
      <c r="T241" s="5">
        <f t="shared" si="75"/>
        <v>0</v>
      </c>
      <c r="U241" s="5">
        <f>SUMIF(SmtRes!AQ10:'SmtRes'!AQ12,"=1",SmtRes!CV10:'SmtRes'!CV12)</f>
        <v>2.1</v>
      </c>
      <c r="V241" s="5">
        <f>SUMIF(SmtRes!AQ10:'SmtRes'!AQ12,"=1",SmtRes!CW10:'SmtRes'!CW12)</f>
        <v>0</v>
      </c>
      <c r="W241" s="5">
        <f t="shared" si="76"/>
        <v>0</v>
      </c>
      <c r="X241" s="5">
        <f t="shared" si="77"/>
        <v>691.98</v>
      </c>
      <c r="Y241" s="5">
        <f t="shared" si="78"/>
        <v>396.38</v>
      </c>
      <c r="Z241" s="5"/>
      <c r="AA241" s="5">
        <v>74850150</v>
      </c>
      <c r="AB241" s="5">
        <f t="shared" si="79"/>
        <v>4971.2362000000003</v>
      </c>
      <c r="AC241" s="5">
        <f>ROUND((0),6)</f>
        <v>0</v>
      </c>
      <c r="AD241" s="5">
        <f>ROUND((((SUM(SmtRes!BR10:'SmtRes'!BR12))-(0))+AE241),6)</f>
        <v>492.3562</v>
      </c>
      <c r="AE241" s="5">
        <f>ROUND((0),6)</f>
        <v>0</v>
      </c>
      <c r="AF241" s="5">
        <f>ROUND((SUM(SmtRes!BT10:'SmtRes'!BT12)),6)</f>
        <v>4478.88</v>
      </c>
      <c r="AG241" s="5">
        <f t="shared" si="80"/>
        <v>0</v>
      </c>
      <c r="AH241" s="5">
        <f>(SUM(SmtRes!BU10:'SmtRes'!BU12))</f>
        <v>14</v>
      </c>
      <c r="AI241" s="5">
        <f>(0)</f>
        <v>0</v>
      </c>
      <c r="AJ241" s="5">
        <f t="shared" si="81"/>
        <v>0</v>
      </c>
      <c r="AK241" s="5">
        <v>4971.2362000000003</v>
      </c>
      <c r="AL241" s="5">
        <v>0</v>
      </c>
      <c r="AM241" s="5">
        <v>492.3562</v>
      </c>
      <c r="AN241" s="5">
        <v>0</v>
      </c>
      <c r="AO241" s="5">
        <v>4478.88</v>
      </c>
      <c r="AP241" s="5">
        <v>0</v>
      </c>
      <c r="AQ241" s="5">
        <v>14</v>
      </c>
      <c r="AR241" s="5">
        <v>0</v>
      </c>
      <c r="AS241" s="5">
        <v>0</v>
      </c>
      <c r="AT241" s="5">
        <v>103</v>
      </c>
      <c r="AU241" s="5">
        <v>59</v>
      </c>
      <c r="AV241" s="5">
        <v>1</v>
      </c>
      <c r="AW241" s="5">
        <v>1</v>
      </c>
      <c r="AX241" s="5"/>
      <c r="AY241" s="5"/>
      <c r="AZ241" s="5">
        <v>1</v>
      </c>
      <c r="BA241" s="5">
        <v>1</v>
      </c>
      <c r="BB241" s="5">
        <v>1</v>
      </c>
      <c r="BC241" s="5">
        <v>1</v>
      </c>
      <c r="BD241" s="5" t="s">
        <v>6</v>
      </c>
      <c r="BE241" s="5" t="s">
        <v>6</v>
      </c>
      <c r="BF241" s="5" t="s">
        <v>6</v>
      </c>
      <c r="BG241" s="5" t="s">
        <v>6</v>
      </c>
      <c r="BH241" s="5">
        <v>0</v>
      </c>
      <c r="BI241" s="5">
        <v>1</v>
      </c>
      <c r="BJ241" s="5" t="s">
        <v>143</v>
      </c>
      <c r="BK241" s="5"/>
      <c r="BL241" s="5"/>
      <c r="BM241" s="5">
        <v>46001</v>
      </c>
      <c r="BN241" s="5">
        <v>0</v>
      </c>
      <c r="BO241" s="5" t="s">
        <v>6</v>
      </c>
      <c r="BP241" s="5">
        <v>0</v>
      </c>
      <c r="BQ241" s="5">
        <v>2</v>
      </c>
      <c r="BR241" s="5">
        <v>0</v>
      </c>
      <c r="BS241" s="5">
        <v>1</v>
      </c>
      <c r="BT241" s="5">
        <v>1</v>
      </c>
      <c r="BU241" s="5">
        <v>1</v>
      </c>
      <c r="BV241" s="5">
        <v>1</v>
      </c>
      <c r="BW241" s="5">
        <v>1</v>
      </c>
      <c r="BX241" s="5">
        <v>1</v>
      </c>
      <c r="BY241" s="5" t="s">
        <v>6</v>
      </c>
      <c r="BZ241" s="5">
        <v>103</v>
      </c>
      <c r="CA241" s="5">
        <v>59</v>
      </c>
      <c r="CB241" s="5" t="s">
        <v>6</v>
      </c>
      <c r="CC241" s="5"/>
      <c r="CD241" s="5"/>
      <c r="CE241" s="5">
        <v>0</v>
      </c>
      <c r="CF241" s="5">
        <v>0</v>
      </c>
      <c r="CG241" s="5">
        <v>0</v>
      </c>
      <c r="CH241" s="5"/>
      <c r="CI241" s="5"/>
      <c r="CJ241" s="5"/>
      <c r="CK241" s="5"/>
      <c r="CL241" s="5"/>
      <c r="CM241" s="5">
        <v>0</v>
      </c>
      <c r="CN241" s="5" t="s">
        <v>6</v>
      </c>
      <c r="CO241" s="5">
        <v>0</v>
      </c>
      <c r="CP241" s="5">
        <f t="shared" si="90"/>
        <v>782.24</v>
      </c>
      <c r="CQ241" s="5">
        <f>SUMIF(SmtRes!AQ10:'SmtRes'!AQ12,"=1",SmtRes!AA10:'SmtRes'!AA12)</f>
        <v>0</v>
      </c>
      <c r="CR241" s="5">
        <f>SUMIF(SmtRes!AQ10:'SmtRes'!AQ12,"=1",SmtRes!AB10:'SmtRes'!AB12)</f>
        <v>178.36999999999998</v>
      </c>
      <c r="CS241" s="5">
        <f>SUMIF(SmtRes!AQ10:'SmtRes'!AQ12,"=1",SmtRes!AC10:'SmtRes'!AC12)</f>
        <v>0</v>
      </c>
      <c r="CT241" s="5">
        <f>SUMIF(SmtRes!AQ10:'SmtRes'!AQ12,"=1",SmtRes!AD10:'SmtRes'!AD12)</f>
        <v>319.92</v>
      </c>
      <c r="CU241" s="5">
        <f t="shared" si="92"/>
        <v>0</v>
      </c>
      <c r="CV241" s="5">
        <f>SUMIF(SmtRes!AQ10:'SmtRes'!AQ12,"=1",SmtRes!BU10:'SmtRes'!BU12)</f>
        <v>14</v>
      </c>
      <c r="CW241" s="5">
        <f>SUMIF(SmtRes!AQ10:'SmtRes'!AQ12,"=1",SmtRes!BV10:'SmtRes'!BV12)</f>
        <v>0</v>
      </c>
      <c r="CX241" s="5">
        <f t="shared" si="93"/>
        <v>0</v>
      </c>
      <c r="CY241" s="5">
        <f>(((S241+R241)*AT241)/100)</f>
        <v>691.98490000000004</v>
      </c>
      <c r="CZ241" s="5">
        <f>(((S241+R241)*AU241)/100)</f>
        <v>396.37970000000001</v>
      </c>
      <c r="DA241" s="5"/>
      <c r="DB241" s="5"/>
      <c r="DC241" s="5" t="s">
        <v>6</v>
      </c>
      <c r="DD241" s="5" t="s">
        <v>6</v>
      </c>
      <c r="DE241" s="5" t="s">
        <v>6</v>
      </c>
      <c r="DF241" s="5" t="s">
        <v>6</v>
      </c>
      <c r="DG241" s="5" t="s">
        <v>6</v>
      </c>
      <c r="DH241" s="5" t="s">
        <v>6</v>
      </c>
      <c r="DI241" s="5" t="s">
        <v>6</v>
      </c>
      <c r="DJ241" s="5" t="s">
        <v>6</v>
      </c>
      <c r="DK241" s="5" t="s">
        <v>6</v>
      </c>
      <c r="DL241" s="5" t="s">
        <v>6</v>
      </c>
      <c r="DM241" s="5" t="s">
        <v>6</v>
      </c>
      <c r="DN241" s="5">
        <v>0</v>
      </c>
      <c r="DO241" s="5">
        <v>0</v>
      </c>
      <c r="DP241" s="5">
        <v>1</v>
      </c>
      <c r="DQ241" s="5">
        <v>1</v>
      </c>
      <c r="DR241" s="5"/>
      <c r="DS241" s="5"/>
      <c r="DT241" s="5"/>
      <c r="DU241" s="5">
        <v>1003</v>
      </c>
      <c r="DV241" s="5" t="s">
        <v>142</v>
      </c>
      <c r="DW241" s="5" t="s">
        <v>142</v>
      </c>
      <c r="DX241" s="5">
        <v>100</v>
      </c>
      <c r="DY241" s="5"/>
      <c r="DZ241" s="5" t="s">
        <v>6</v>
      </c>
      <c r="EA241" s="5" t="s">
        <v>6</v>
      </c>
      <c r="EB241" s="5" t="s">
        <v>6</v>
      </c>
      <c r="EC241" s="5" t="s">
        <v>6</v>
      </c>
      <c r="ED241" s="5"/>
      <c r="EE241" s="5">
        <v>72417451</v>
      </c>
      <c r="EF241" s="5">
        <v>2</v>
      </c>
      <c r="EG241" s="5" t="s">
        <v>144</v>
      </c>
      <c r="EH241" s="5">
        <v>40</v>
      </c>
      <c r="EI241" s="5" t="s">
        <v>145</v>
      </c>
      <c r="EJ241" s="5">
        <v>1</v>
      </c>
      <c r="EK241" s="5">
        <v>46001</v>
      </c>
      <c r="EL241" s="5" t="s">
        <v>146</v>
      </c>
      <c r="EM241" s="5" t="s">
        <v>147</v>
      </c>
      <c r="EN241" s="5"/>
      <c r="EO241" s="5" t="s">
        <v>6</v>
      </c>
      <c r="EP241" s="5"/>
      <c r="EQ241" s="5">
        <v>0</v>
      </c>
      <c r="ER241" s="5">
        <v>0</v>
      </c>
      <c r="ES241" s="5">
        <v>0</v>
      </c>
      <c r="ET241" s="5">
        <v>0</v>
      </c>
      <c r="EU241" s="5">
        <v>0</v>
      </c>
      <c r="EV241" s="5">
        <v>0</v>
      </c>
      <c r="EW241" s="5">
        <v>14</v>
      </c>
      <c r="EX241" s="5">
        <v>0</v>
      </c>
      <c r="EY241" s="5">
        <v>0</v>
      </c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>
        <v>0</v>
      </c>
      <c r="FR241" s="5">
        <v>0</v>
      </c>
      <c r="FS241" s="5">
        <v>0</v>
      </c>
      <c r="FT241" s="5"/>
      <c r="FU241" s="5"/>
      <c r="FV241" s="5"/>
      <c r="FW241" s="5"/>
      <c r="FX241" s="5">
        <v>103</v>
      </c>
      <c r="FY241" s="5">
        <v>59</v>
      </c>
      <c r="FZ241" s="5"/>
      <c r="GA241" s="5" t="s">
        <v>6</v>
      </c>
      <c r="GB241" s="5"/>
      <c r="GC241" s="5"/>
      <c r="GD241" s="5">
        <v>1</v>
      </c>
      <c r="GE241" s="5"/>
      <c r="GF241" s="5">
        <v>1125899543</v>
      </c>
      <c r="GG241" s="5">
        <v>2</v>
      </c>
      <c r="GH241" s="5">
        <v>1</v>
      </c>
      <c r="GI241" s="5">
        <v>-2</v>
      </c>
      <c r="GJ241" s="5">
        <v>0</v>
      </c>
      <c r="GK241" s="5">
        <v>0</v>
      </c>
      <c r="GL241" s="5">
        <f t="shared" si="82"/>
        <v>0</v>
      </c>
      <c r="GM241" s="5">
        <f t="shared" si="83"/>
        <v>1870.6</v>
      </c>
      <c r="GN241" s="5">
        <f t="shared" si="84"/>
        <v>1870.6</v>
      </c>
      <c r="GO241" s="5">
        <f t="shared" si="85"/>
        <v>0</v>
      </c>
      <c r="GP241" s="5">
        <f t="shared" si="86"/>
        <v>0</v>
      </c>
      <c r="GQ241" s="5"/>
      <c r="GR241" s="5">
        <v>0</v>
      </c>
      <c r="GS241" s="5">
        <v>3</v>
      </c>
      <c r="GT241" s="5">
        <v>0</v>
      </c>
      <c r="GU241" s="5" t="s">
        <v>6</v>
      </c>
      <c r="GV241" s="5">
        <f t="shared" si="87"/>
        <v>0</v>
      </c>
      <c r="GW241" s="5">
        <v>1</v>
      </c>
      <c r="GX241" s="5">
        <f t="shared" si="88"/>
        <v>0</v>
      </c>
      <c r="GY241" s="5"/>
      <c r="GZ241" s="5"/>
      <c r="HA241" s="5">
        <v>0</v>
      </c>
      <c r="HB241" s="5">
        <v>0</v>
      </c>
      <c r="HC241" s="5">
        <f t="shared" si="91"/>
        <v>0</v>
      </c>
      <c r="HD241" s="5"/>
      <c r="HE241" s="5" t="s">
        <v>6</v>
      </c>
      <c r="HF241" s="5" t="s">
        <v>6</v>
      </c>
      <c r="HG241" s="5"/>
      <c r="HH241" s="5"/>
      <c r="HI241" s="5"/>
      <c r="HJ241" s="5"/>
      <c r="HK241" s="5"/>
      <c r="HL241" s="5"/>
      <c r="HM241" s="5" t="s">
        <v>6</v>
      </c>
      <c r="HN241" s="5" t="s">
        <v>148</v>
      </c>
      <c r="HO241" s="5" t="s">
        <v>149</v>
      </c>
      <c r="HP241" s="5" t="s">
        <v>146</v>
      </c>
      <c r="HQ241" s="5" t="s">
        <v>146</v>
      </c>
      <c r="HR241" s="5"/>
      <c r="HS241" s="5">
        <v>0</v>
      </c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>
        <v>0</v>
      </c>
      <c r="IL241" s="5"/>
      <c r="IM241" s="5"/>
      <c r="IN241" s="5"/>
      <c r="IO241" s="5"/>
      <c r="IP241" s="5"/>
      <c r="IQ241" s="5"/>
      <c r="IR241" s="5"/>
      <c r="IS241" s="5"/>
      <c r="IT241" s="5"/>
      <c r="IU241" s="5"/>
    </row>
    <row r="242" spans="1:255" x14ac:dyDescent="0.2">
      <c r="A242" s="5">
        <v>17</v>
      </c>
      <c r="B242" s="5">
        <v>1</v>
      </c>
      <c r="C242" s="5">
        <f>ROW(SmtRes!A20)</f>
        <v>20</v>
      </c>
      <c r="D242" s="5">
        <f>ROW(EtalonRes!A21)</f>
        <v>21</v>
      </c>
      <c r="E242" s="5" t="s">
        <v>80</v>
      </c>
      <c r="F242" s="5" t="s">
        <v>150</v>
      </c>
      <c r="G242" s="5" t="s">
        <v>151</v>
      </c>
      <c r="H242" s="5" t="s">
        <v>142</v>
      </c>
      <c r="I242" s="5">
        <f>ROUND(0.15,7)</f>
        <v>0.15</v>
      </c>
      <c r="J242" s="5">
        <v>0</v>
      </c>
      <c r="K242" s="5">
        <f>ROUND(0.15,7)</f>
        <v>0.15</v>
      </c>
      <c r="L242" s="5"/>
      <c r="M242" s="5"/>
      <c r="N242" s="5"/>
      <c r="O242" s="5">
        <f t="shared" si="89"/>
        <v>863.55</v>
      </c>
      <c r="P242" s="5">
        <f>SUMIF(SmtRes!AQ13:'SmtRes'!AQ20,"=1",SmtRes!DF13:'SmtRes'!DF20)</f>
        <v>44.14</v>
      </c>
      <c r="Q242" s="5">
        <f>SUMIF(SmtRes!AQ13:'SmtRes'!AQ20,"=1",SmtRes!DG13:'SmtRes'!DG20)</f>
        <v>6.7</v>
      </c>
      <c r="R242" s="5">
        <f>SUMIF(SmtRes!AQ13:'SmtRes'!AQ20,"=1",SmtRes!DH13:'SmtRes'!DH20)</f>
        <v>2.35</v>
      </c>
      <c r="S242" s="5">
        <f>SUMIF(SmtRes!AQ13:'SmtRes'!AQ20,"=1",SmtRes!DI13:'SmtRes'!DI20)</f>
        <v>810.36</v>
      </c>
      <c r="T242" s="5">
        <f t="shared" si="75"/>
        <v>0</v>
      </c>
      <c r="U242" s="5">
        <f>SUMIF(SmtRes!AQ13:'SmtRes'!AQ20,"=1",SmtRes!CV13:'SmtRes'!CV20)</f>
        <v>2.4750000000000001</v>
      </c>
      <c r="V242" s="5">
        <f>SUMIF(SmtRes!AQ13:'SmtRes'!AQ20,"=1",SmtRes!CW13:'SmtRes'!CW20)</f>
        <v>6.0000000000000001E-3</v>
      </c>
      <c r="W242" s="5">
        <f t="shared" si="76"/>
        <v>0</v>
      </c>
      <c r="X242" s="5">
        <f t="shared" si="77"/>
        <v>788.33</v>
      </c>
      <c r="Y242" s="5">
        <f t="shared" si="78"/>
        <v>414.48</v>
      </c>
      <c r="Z242" s="5"/>
      <c r="AA242" s="5">
        <v>74850150</v>
      </c>
      <c r="AB242" s="5">
        <f t="shared" si="79"/>
        <v>5713.0299000000005</v>
      </c>
      <c r="AC242" s="5">
        <f>ROUND((SUM(SmtRes!BQ13:'SmtRes'!BQ20)),6)</f>
        <v>265.88470000000001</v>
      </c>
      <c r="AD242" s="5">
        <f>ROUND((((SUM(SmtRes!BR13:'SmtRes'!BR20))-(SUM(SmtRes!BS13:'SmtRes'!BS20)))+AE242),6)</f>
        <v>44.715200000000003</v>
      </c>
      <c r="AE242" s="5">
        <f>ROUND((SUM(SmtRes!BS13:'SmtRes'!BS20)),6)</f>
        <v>15.696199999999999</v>
      </c>
      <c r="AF242" s="5">
        <f>ROUND((SUM(SmtRes!BT13:'SmtRes'!BT20)),6)</f>
        <v>5402.43</v>
      </c>
      <c r="AG242" s="5">
        <f t="shared" si="80"/>
        <v>0</v>
      </c>
      <c r="AH242" s="5">
        <f>(SUM(SmtRes!BU13:'SmtRes'!BU20))</f>
        <v>16.5</v>
      </c>
      <c r="AI242" s="5">
        <f>(SUM(SmtRes!BV13:'SmtRes'!BV20))</f>
        <v>0.04</v>
      </c>
      <c r="AJ242" s="5">
        <f t="shared" si="81"/>
        <v>0</v>
      </c>
      <c r="AK242" s="5">
        <v>5728.7261000000008</v>
      </c>
      <c r="AL242" s="5">
        <v>265.88470000000001</v>
      </c>
      <c r="AM242" s="5">
        <v>44.715199999999996</v>
      </c>
      <c r="AN242" s="5">
        <v>15.696200000000001</v>
      </c>
      <c r="AO242" s="5">
        <v>5402.43</v>
      </c>
      <c r="AP242" s="5">
        <v>0</v>
      </c>
      <c r="AQ242" s="5">
        <v>16.5</v>
      </c>
      <c r="AR242" s="5">
        <v>0.04</v>
      </c>
      <c r="AS242" s="5">
        <v>0</v>
      </c>
      <c r="AT242" s="5">
        <v>97</v>
      </c>
      <c r="AU242" s="5">
        <v>51</v>
      </c>
      <c r="AV242" s="5">
        <v>1</v>
      </c>
      <c r="AW242" s="5">
        <v>1</v>
      </c>
      <c r="AX242" s="5"/>
      <c r="AY242" s="5"/>
      <c r="AZ242" s="5">
        <v>1</v>
      </c>
      <c r="BA242" s="5">
        <v>1</v>
      </c>
      <c r="BB242" s="5">
        <v>1</v>
      </c>
      <c r="BC242" s="5">
        <v>1</v>
      </c>
      <c r="BD242" s="5" t="s">
        <v>6</v>
      </c>
      <c r="BE242" s="5" t="s">
        <v>6</v>
      </c>
      <c r="BF242" s="5" t="s">
        <v>6</v>
      </c>
      <c r="BG242" s="5" t="s">
        <v>6</v>
      </c>
      <c r="BH242" s="5">
        <v>0</v>
      </c>
      <c r="BI242" s="5">
        <v>2</v>
      </c>
      <c r="BJ242" s="5" t="s">
        <v>152</v>
      </c>
      <c r="BK242" s="5"/>
      <c r="BL242" s="5"/>
      <c r="BM242" s="5">
        <v>108001</v>
      </c>
      <c r="BN242" s="5">
        <v>0</v>
      </c>
      <c r="BO242" s="5" t="s">
        <v>6</v>
      </c>
      <c r="BP242" s="5">
        <v>0</v>
      </c>
      <c r="BQ242" s="5">
        <v>3</v>
      </c>
      <c r="BR242" s="5">
        <v>0</v>
      </c>
      <c r="BS242" s="5">
        <v>1</v>
      </c>
      <c r="BT242" s="5">
        <v>1</v>
      </c>
      <c r="BU242" s="5">
        <v>1</v>
      </c>
      <c r="BV242" s="5">
        <v>1</v>
      </c>
      <c r="BW242" s="5">
        <v>1</v>
      </c>
      <c r="BX242" s="5">
        <v>1</v>
      </c>
      <c r="BY242" s="5" t="s">
        <v>6</v>
      </c>
      <c r="BZ242" s="5">
        <v>97</v>
      </c>
      <c r="CA242" s="5">
        <v>51</v>
      </c>
      <c r="CB242" s="5" t="s">
        <v>6</v>
      </c>
      <c r="CC242" s="5"/>
      <c r="CD242" s="5"/>
      <c r="CE242" s="5">
        <v>0</v>
      </c>
      <c r="CF242" s="5">
        <v>0</v>
      </c>
      <c r="CG242" s="5">
        <v>0</v>
      </c>
      <c r="CH242" s="5"/>
      <c r="CI242" s="5"/>
      <c r="CJ242" s="5"/>
      <c r="CK242" s="5"/>
      <c r="CL242" s="5"/>
      <c r="CM242" s="5">
        <v>0</v>
      </c>
      <c r="CN242" s="5" t="s">
        <v>6</v>
      </c>
      <c r="CO242" s="5">
        <v>0</v>
      </c>
      <c r="CP242" s="5">
        <f t="shared" si="90"/>
        <v>863.55000000000007</v>
      </c>
      <c r="CQ242" s="5">
        <f>SUMIF(SmtRes!AQ13:'SmtRes'!AQ20,"=1",SmtRes!AA13:'SmtRes'!AA20)</f>
        <v>6436.01</v>
      </c>
      <c r="CR242" s="5">
        <f>SUMIF(SmtRes!AQ13:'SmtRes'!AQ20,"=1",SmtRes!AB13:'SmtRes'!AB20)</f>
        <v>2235.7600000000002</v>
      </c>
      <c r="CS242" s="5">
        <f>SUMIF(SmtRes!AQ13:'SmtRes'!AQ20,"=1",SmtRes!AC13:'SmtRes'!AC20)</f>
        <v>784.81</v>
      </c>
      <c r="CT242" s="5">
        <f>SUMIF(SmtRes!AQ13:'SmtRes'!AQ20,"=1",SmtRes!AD13:'SmtRes'!AD20)</f>
        <v>327.42</v>
      </c>
      <c r="CU242" s="5">
        <f t="shared" si="92"/>
        <v>0</v>
      </c>
      <c r="CV242" s="5">
        <f>SUMIF(SmtRes!AQ13:'SmtRes'!AQ20,"=1",SmtRes!BU13:'SmtRes'!BU20)</f>
        <v>16.5</v>
      </c>
      <c r="CW242" s="5">
        <f>SUMIF(SmtRes!AQ13:'SmtRes'!AQ20,"=1",SmtRes!BV13:'SmtRes'!BV20)</f>
        <v>0.04</v>
      </c>
      <c r="CX242" s="5">
        <f t="shared" si="93"/>
        <v>0</v>
      </c>
      <c r="CY242" s="5">
        <f>(((S242+R242)*AT242)/100)</f>
        <v>788.32870000000014</v>
      </c>
      <c r="CZ242" s="5">
        <f>(((S242+R242)*AU242)/100)</f>
        <v>414.4821</v>
      </c>
      <c r="DA242" s="5"/>
      <c r="DB242" s="5"/>
      <c r="DC242" s="5" t="s">
        <v>6</v>
      </c>
      <c r="DD242" s="5" t="s">
        <v>6</v>
      </c>
      <c r="DE242" s="5" t="s">
        <v>6</v>
      </c>
      <c r="DF242" s="5" t="s">
        <v>6</v>
      </c>
      <c r="DG242" s="5" t="s">
        <v>6</v>
      </c>
      <c r="DH242" s="5" t="s">
        <v>6</v>
      </c>
      <c r="DI242" s="5" t="s">
        <v>6</v>
      </c>
      <c r="DJ242" s="5" t="s">
        <v>6</v>
      </c>
      <c r="DK242" s="5" t="s">
        <v>6</v>
      </c>
      <c r="DL242" s="5" t="s">
        <v>6</v>
      </c>
      <c r="DM242" s="5" t="s">
        <v>6</v>
      </c>
      <c r="DN242" s="5">
        <v>0</v>
      </c>
      <c r="DO242" s="5">
        <v>0</v>
      </c>
      <c r="DP242" s="5">
        <v>1</v>
      </c>
      <c r="DQ242" s="5">
        <v>1</v>
      </c>
      <c r="DR242" s="5"/>
      <c r="DS242" s="5"/>
      <c r="DT242" s="5"/>
      <c r="DU242" s="5">
        <v>1003</v>
      </c>
      <c r="DV242" s="5" t="s">
        <v>142</v>
      </c>
      <c r="DW242" s="5" t="s">
        <v>142</v>
      </c>
      <c r="DX242" s="5">
        <v>100</v>
      </c>
      <c r="DY242" s="5"/>
      <c r="DZ242" s="5" t="s">
        <v>6</v>
      </c>
      <c r="EA242" s="5" t="s">
        <v>6</v>
      </c>
      <c r="EB242" s="5" t="s">
        <v>6</v>
      </c>
      <c r="EC242" s="5" t="s">
        <v>6</v>
      </c>
      <c r="ED242" s="5"/>
      <c r="EE242" s="5">
        <v>72417267</v>
      </c>
      <c r="EF242" s="5">
        <v>3</v>
      </c>
      <c r="EG242" s="5" t="s">
        <v>103</v>
      </c>
      <c r="EH242" s="5">
        <v>0</v>
      </c>
      <c r="EI242" s="5" t="s">
        <v>6</v>
      </c>
      <c r="EJ242" s="5">
        <v>2</v>
      </c>
      <c r="EK242" s="5">
        <v>108001</v>
      </c>
      <c r="EL242" s="5" t="s">
        <v>104</v>
      </c>
      <c r="EM242" s="5" t="s">
        <v>105</v>
      </c>
      <c r="EN242" s="5"/>
      <c r="EO242" s="5" t="s">
        <v>6</v>
      </c>
      <c r="EP242" s="5"/>
      <c r="EQ242" s="5">
        <v>0</v>
      </c>
      <c r="ER242" s="5">
        <v>0</v>
      </c>
      <c r="ES242" s="5">
        <v>0</v>
      </c>
      <c r="ET242" s="5">
        <v>0</v>
      </c>
      <c r="EU242" s="5">
        <v>0</v>
      </c>
      <c r="EV242" s="5">
        <v>0</v>
      </c>
      <c r="EW242" s="5">
        <v>16.5</v>
      </c>
      <c r="EX242" s="5">
        <v>0.04</v>
      </c>
      <c r="EY242" s="5">
        <v>0</v>
      </c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>
        <v>0</v>
      </c>
      <c r="FR242" s="5">
        <v>0</v>
      </c>
      <c r="FS242" s="5">
        <v>0</v>
      </c>
      <c r="FT242" s="5"/>
      <c r="FU242" s="5"/>
      <c r="FV242" s="5"/>
      <c r="FW242" s="5"/>
      <c r="FX242" s="5">
        <v>97</v>
      </c>
      <c r="FY242" s="5">
        <v>51</v>
      </c>
      <c r="FZ242" s="5"/>
      <c r="GA242" s="5" t="s">
        <v>6</v>
      </c>
      <c r="GB242" s="5"/>
      <c r="GC242" s="5"/>
      <c r="GD242" s="5">
        <v>1</v>
      </c>
      <c r="GE242" s="5"/>
      <c r="GF242" s="5">
        <v>-2054151682</v>
      </c>
      <c r="GG242" s="5">
        <v>2</v>
      </c>
      <c r="GH242" s="5">
        <v>1</v>
      </c>
      <c r="GI242" s="5">
        <v>-2</v>
      </c>
      <c r="GJ242" s="5">
        <v>0</v>
      </c>
      <c r="GK242" s="5">
        <v>0</v>
      </c>
      <c r="GL242" s="5">
        <f t="shared" si="82"/>
        <v>0</v>
      </c>
      <c r="GM242" s="5">
        <f t="shared" si="83"/>
        <v>2066.36</v>
      </c>
      <c r="GN242" s="5">
        <f t="shared" si="84"/>
        <v>0</v>
      </c>
      <c r="GO242" s="5">
        <f t="shared" si="85"/>
        <v>2066.36</v>
      </c>
      <c r="GP242" s="5">
        <f t="shared" si="86"/>
        <v>0</v>
      </c>
      <c r="GQ242" s="5"/>
      <c r="GR242" s="5">
        <v>0</v>
      </c>
      <c r="GS242" s="5">
        <v>3</v>
      </c>
      <c r="GT242" s="5">
        <v>0</v>
      </c>
      <c r="GU242" s="5" t="s">
        <v>6</v>
      </c>
      <c r="GV242" s="5">
        <f t="shared" si="87"/>
        <v>0</v>
      </c>
      <c r="GW242" s="5">
        <v>1</v>
      </c>
      <c r="GX242" s="5">
        <f t="shared" si="88"/>
        <v>0</v>
      </c>
      <c r="GY242" s="5"/>
      <c r="GZ242" s="5"/>
      <c r="HA242" s="5">
        <v>0</v>
      </c>
      <c r="HB242" s="5">
        <v>0</v>
      </c>
      <c r="HC242" s="5">
        <f t="shared" si="91"/>
        <v>0</v>
      </c>
      <c r="HD242" s="5"/>
      <c r="HE242" s="5" t="s">
        <v>6</v>
      </c>
      <c r="HF242" s="5" t="s">
        <v>6</v>
      </c>
      <c r="HG242" s="5"/>
      <c r="HH242" s="5"/>
      <c r="HI242" s="5"/>
      <c r="HJ242" s="5"/>
      <c r="HK242" s="5"/>
      <c r="HL242" s="5"/>
      <c r="HM242" s="5" t="s">
        <v>6</v>
      </c>
      <c r="HN242" s="5" t="s">
        <v>107</v>
      </c>
      <c r="HO242" s="5" t="s">
        <v>108</v>
      </c>
      <c r="HP242" s="5" t="s">
        <v>104</v>
      </c>
      <c r="HQ242" s="5" t="s">
        <v>104</v>
      </c>
      <c r="HR242" s="5"/>
      <c r="HS242" s="5">
        <v>0</v>
      </c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  <c r="IH242" s="5"/>
      <c r="II242" s="5"/>
      <c r="IJ242" s="5"/>
      <c r="IK242" s="5">
        <v>0</v>
      </c>
      <c r="IL242" s="5"/>
      <c r="IM242" s="5"/>
      <c r="IN242" s="5"/>
      <c r="IO242" s="5"/>
      <c r="IP242" s="5"/>
      <c r="IQ242" s="5"/>
      <c r="IR242" s="5"/>
      <c r="IS242" s="5"/>
      <c r="IT242" s="5"/>
      <c r="IU242" s="5"/>
    </row>
    <row r="243" spans="1:255" x14ac:dyDescent="0.2">
      <c r="A243" s="5">
        <v>18</v>
      </c>
      <c r="B243" s="5">
        <v>1</v>
      </c>
      <c r="C243" s="5">
        <v>20</v>
      </c>
      <c r="D243" s="5"/>
      <c r="E243" s="5" t="s">
        <v>153</v>
      </c>
      <c r="F243" s="5" t="s">
        <v>110</v>
      </c>
      <c r="G243" s="5" t="s">
        <v>111</v>
      </c>
      <c r="H243" s="5" t="s">
        <v>112</v>
      </c>
      <c r="I243" s="5">
        <f>J243</f>
        <v>2</v>
      </c>
      <c r="J243" s="5">
        <v>2</v>
      </c>
      <c r="K243" s="5">
        <v>2</v>
      </c>
      <c r="L243" s="5"/>
      <c r="M243" s="5"/>
      <c r="N243" s="5"/>
      <c r="O243" s="5">
        <f>ROUND(P243,2)</f>
        <v>16.21</v>
      </c>
      <c r="P243" s="5">
        <f>ROUND(ROUND(ROUND(SUMIF(SmtRes!AQ13:'SmtRes'!AQ20,"=1",SmtRes!CU13:'SmtRes'!CU20),2),2)*I243/100,2)</f>
        <v>16.21</v>
      </c>
      <c r="Q243" s="5">
        <f>ROUND(CR243*I243,2)</f>
        <v>0</v>
      </c>
      <c r="R243" s="5">
        <f>ROUND(CS243*I243,2)</f>
        <v>0</v>
      </c>
      <c r="S243" s="5">
        <f>ROUND(CT243*I243,2)</f>
        <v>0</v>
      </c>
      <c r="T243" s="5">
        <f t="shared" si="75"/>
        <v>0</v>
      </c>
      <c r="U243" s="5">
        <f>ROUND(CV243*I243,7)</f>
        <v>0</v>
      </c>
      <c r="V243" s="5">
        <f>ROUND(CW243*I243,7)</f>
        <v>0</v>
      </c>
      <c r="W243" s="5">
        <f t="shared" si="76"/>
        <v>0</v>
      </c>
      <c r="X243" s="5">
        <f t="shared" si="77"/>
        <v>0</v>
      </c>
      <c r="Y243" s="5">
        <f t="shared" si="78"/>
        <v>0</v>
      </c>
      <c r="Z243" s="5"/>
      <c r="AA243" s="5">
        <v>74850150</v>
      </c>
      <c r="AB243" s="5">
        <f t="shared" si="79"/>
        <v>0</v>
      </c>
      <c r="AC243" s="5">
        <f>ROUND((ES243),6)</f>
        <v>0</v>
      </c>
      <c r="AD243" s="5">
        <f>ROUND((((ET243)-(EU243))+AE243),6)</f>
        <v>0</v>
      </c>
      <c r="AE243" s="5">
        <f t="shared" ref="AE243:AF245" si="97">ROUND((EU243),6)</f>
        <v>0</v>
      </c>
      <c r="AF243" s="5">
        <f t="shared" si="97"/>
        <v>0</v>
      </c>
      <c r="AG243" s="5">
        <f t="shared" si="80"/>
        <v>0</v>
      </c>
      <c r="AH243" s="5">
        <f t="shared" ref="AH243:AI245" si="98">(EW243)</f>
        <v>0</v>
      </c>
      <c r="AI243" s="5">
        <f t="shared" si="98"/>
        <v>0</v>
      </c>
      <c r="AJ243" s="5">
        <f t="shared" si="81"/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0</v>
      </c>
      <c r="AR243" s="5">
        <v>0</v>
      </c>
      <c r="AS243" s="5">
        <v>0</v>
      </c>
      <c r="AT243" s="5">
        <v>0</v>
      </c>
      <c r="AU243" s="5">
        <v>0</v>
      </c>
      <c r="AV243" s="5">
        <v>1</v>
      </c>
      <c r="AW243" s="5">
        <v>1</v>
      </c>
      <c r="AX243" s="5"/>
      <c r="AY243" s="5"/>
      <c r="AZ243" s="5">
        <v>1</v>
      </c>
      <c r="BA243" s="5">
        <v>1</v>
      </c>
      <c r="BB243" s="5">
        <v>1</v>
      </c>
      <c r="BC243" s="5">
        <v>1</v>
      </c>
      <c r="BD243" s="5" t="s">
        <v>6</v>
      </c>
      <c r="BE243" s="5" t="s">
        <v>6</v>
      </c>
      <c r="BF243" s="5" t="s">
        <v>6</v>
      </c>
      <c r="BG243" s="5" t="s">
        <v>6</v>
      </c>
      <c r="BH243" s="5">
        <v>3</v>
      </c>
      <c r="BI243" s="5">
        <v>2</v>
      </c>
      <c r="BJ243" s="5" t="s">
        <v>6</v>
      </c>
      <c r="BK243" s="5"/>
      <c r="BL243" s="5"/>
      <c r="BM243" s="5">
        <v>500002</v>
      </c>
      <c r="BN243" s="5">
        <v>0</v>
      </c>
      <c r="BO243" s="5" t="s">
        <v>6</v>
      </c>
      <c r="BP243" s="5">
        <v>0</v>
      </c>
      <c r="BQ243" s="5">
        <v>12</v>
      </c>
      <c r="BR243" s="5">
        <v>0</v>
      </c>
      <c r="BS243" s="5">
        <v>1</v>
      </c>
      <c r="BT243" s="5">
        <v>1</v>
      </c>
      <c r="BU243" s="5">
        <v>1</v>
      </c>
      <c r="BV243" s="5">
        <v>1</v>
      </c>
      <c r="BW243" s="5">
        <v>1</v>
      </c>
      <c r="BX243" s="5">
        <v>1</v>
      </c>
      <c r="BY243" s="5" t="s">
        <v>6</v>
      </c>
      <c r="BZ243" s="5">
        <v>0</v>
      </c>
      <c r="CA243" s="5">
        <v>0</v>
      </c>
      <c r="CB243" s="5" t="s">
        <v>6</v>
      </c>
      <c r="CC243" s="5"/>
      <c r="CD243" s="5"/>
      <c r="CE243" s="5">
        <v>0</v>
      </c>
      <c r="CF243" s="5">
        <v>0</v>
      </c>
      <c r="CG243" s="5">
        <v>0</v>
      </c>
      <c r="CH243" s="5"/>
      <c r="CI243" s="5"/>
      <c r="CJ243" s="5"/>
      <c r="CK243" s="5"/>
      <c r="CL243" s="5"/>
      <c r="CM243" s="5">
        <v>0</v>
      </c>
      <c r="CN243" s="5" t="s">
        <v>6</v>
      </c>
      <c r="CO243" s="5">
        <v>0</v>
      </c>
      <c r="CP243" s="5">
        <f>0</f>
        <v>0</v>
      </c>
      <c r="CQ243" s="5">
        <f>0</f>
        <v>0</v>
      </c>
      <c r="CR243" s="5">
        <f>0</f>
        <v>0</v>
      </c>
      <c r="CS243" s="5">
        <f>0</f>
        <v>0</v>
      </c>
      <c r="CT243" s="5">
        <f>0</f>
        <v>0</v>
      </c>
      <c r="CU243" s="5">
        <f>0</f>
        <v>0</v>
      </c>
      <c r="CV243" s="5">
        <f>0</f>
        <v>0</v>
      </c>
      <c r="CW243" s="5">
        <f>0</f>
        <v>0</v>
      </c>
      <c r="CX243" s="5">
        <f>0</f>
        <v>0</v>
      </c>
      <c r="CY243" s="5">
        <f>0</f>
        <v>0</v>
      </c>
      <c r="CZ243" s="5">
        <f>0</f>
        <v>0</v>
      </c>
      <c r="DA243" s="5"/>
      <c r="DB243" s="5"/>
      <c r="DC243" s="5" t="s">
        <v>6</v>
      </c>
      <c r="DD243" s="5" t="s">
        <v>6</v>
      </c>
      <c r="DE243" s="5" t="s">
        <v>6</v>
      </c>
      <c r="DF243" s="5" t="s">
        <v>6</v>
      </c>
      <c r="DG243" s="5" t="s">
        <v>6</v>
      </c>
      <c r="DH243" s="5" t="s">
        <v>6</v>
      </c>
      <c r="DI243" s="5" t="s">
        <v>6</v>
      </c>
      <c r="DJ243" s="5" t="s">
        <v>6</v>
      </c>
      <c r="DK243" s="5" t="s">
        <v>6</v>
      </c>
      <c r="DL243" s="5" t="s">
        <v>6</v>
      </c>
      <c r="DM243" s="5" t="s">
        <v>6</v>
      </c>
      <c r="DN243" s="5">
        <v>0</v>
      </c>
      <c r="DO243" s="5">
        <v>0</v>
      </c>
      <c r="DP243" s="5">
        <v>1</v>
      </c>
      <c r="DQ243" s="5">
        <v>1</v>
      </c>
      <c r="DR243" s="5"/>
      <c r="DS243" s="5"/>
      <c r="DT243" s="5"/>
      <c r="DU243" s="5">
        <v>1013</v>
      </c>
      <c r="DV243" s="5" t="s">
        <v>112</v>
      </c>
      <c r="DW243" s="5" t="s">
        <v>112</v>
      </c>
      <c r="DX243" s="5">
        <v>1</v>
      </c>
      <c r="DY243" s="5"/>
      <c r="DZ243" s="5" t="s">
        <v>6</v>
      </c>
      <c r="EA243" s="5" t="s">
        <v>6</v>
      </c>
      <c r="EB243" s="5" t="s">
        <v>6</v>
      </c>
      <c r="EC243" s="5" t="s">
        <v>6</v>
      </c>
      <c r="ED243" s="5"/>
      <c r="EE243" s="5">
        <v>72417318</v>
      </c>
      <c r="EF243" s="5">
        <v>12</v>
      </c>
      <c r="EG243" s="5" t="s">
        <v>113</v>
      </c>
      <c r="EH243" s="5">
        <v>0</v>
      </c>
      <c r="EI243" s="5" t="s">
        <v>6</v>
      </c>
      <c r="EJ243" s="5">
        <v>2</v>
      </c>
      <c r="EK243" s="5">
        <v>500002</v>
      </c>
      <c r="EL243" s="5" t="s">
        <v>114</v>
      </c>
      <c r="EM243" s="5" t="s">
        <v>115</v>
      </c>
      <c r="EN243" s="5"/>
      <c r="EO243" s="5" t="s">
        <v>6</v>
      </c>
      <c r="EP243" s="5"/>
      <c r="EQ243" s="5">
        <v>0</v>
      </c>
      <c r="ER243" s="5">
        <v>0</v>
      </c>
      <c r="ES243" s="5">
        <v>0</v>
      </c>
      <c r="ET243" s="5">
        <v>0</v>
      </c>
      <c r="EU243" s="5">
        <v>0</v>
      </c>
      <c r="EV243" s="5">
        <v>0</v>
      </c>
      <c r="EW243" s="5">
        <v>0</v>
      </c>
      <c r="EX243" s="5">
        <v>0</v>
      </c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>
        <v>0</v>
      </c>
      <c r="FR243" s="5">
        <v>0</v>
      </c>
      <c r="FS243" s="5">
        <v>0</v>
      </c>
      <c r="FT243" s="5"/>
      <c r="FU243" s="5"/>
      <c r="FV243" s="5"/>
      <c r="FW243" s="5"/>
      <c r="FX243" s="5">
        <v>0</v>
      </c>
      <c r="FY243" s="5">
        <v>0</v>
      </c>
      <c r="FZ243" s="5"/>
      <c r="GA243" s="5" t="s">
        <v>6</v>
      </c>
      <c r="GB243" s="5"/>
      <c r="GC243" s="5"/>
      <c r="GD243" s="5">
        <v>1</v>
      </c>
      <c r="GE243" s="5"/>
      <c r="GF243" s="5">
        <v>274903907</v>
      </c>
      <c r="GG243" s="5">
        <v>2</v>
      </c>
      <c r="GH243" s="5">
        <v>1</v>
      </c>
      <c r="GI243" s="5">
        <v>-2</v>
      </c>
      <c r="GJ243" s="5">
        <v>0</v>
      </c>
      <c r="GK243" s="5">
        <v>0</v>
      </c>
      <c r="GL243" s="5">
        <f t="shared" si="82"/>
        <v>0</v>
      </c>
      <c r="GM243" s="5">
        <f t="shared" si="83"/>
        <v>16.21</v>
      </c>
      <c r="GN243" s="5">
        <f t="shared" si="84"/>
        <v>0</v>
      </c>
      <c r="GO243" s="5">
        <f t="shared" si="85"/>
        <v>16.21</v>
      </c>
      <c r="GP243" s="5">
        <f t="shared" si="86"/>
        <v>0</v>
      </c>
      <c r="GQ243" s="5"/>
      <c r="GR243" s="5">
        <v>0</v>
      </c>
      <c r="GS243" s="5">
        <v>3</v>
      </c>
      <c r="GT243" s="5">
        <v>0</v>
      </c>
      <c r="GU243" s="5" t="s">
        <v>6</v>
      </c>
      <c r="GV243" s="5">
        <f t="shared" si="87"/>
        <v>0</v>
      </c>
      <c r="GW243" s="5">
        <v>1</v>
      </c>
      <c r="GX243" s="5">
        <f t="shared" si="88"/>
        <v>0</v>
      </c>
      <c r="GY243" s="5"/>
      <c r="GZ243" s="5"/>
      <c r="HA243" s="5">
        <v>0</v>
      </c>
      <c r="HB243" s="5">
        <v>0</v>
      </c>
      <c r="HC243" s="5">
        <f>0</f>
        <v>0</v>
      </c>
      <c r="HD243" s="5"/>
      <c r="HE243" s="5" t="s">
        <v>6</v>
      </c>
      <c r="HF243" s="5" t="s">
        <v>6</v>
      </c>
      <c r="HG243" s="5"/>
      <c r="HH243" s="5"/>
      <c r="HI243" s="5"/>
      <c r="HJ243" s="5"/>
      <c r="HK243" s="5"/>
      <c r="HL243" s="5"/>
      <c r="HM243" s="5" t="s">
        <v>6</v>
      </c>
      <c r="HN243" s="5" t="s">
        <v>6</v>
      </c>
      <c r="HO243" s="5" t="s">
        <v>6</v>
      </c>
      <c r="HP243" s="5" t="s">
        <v>6</v>
      </c>
      <c r="HQ243" s="5" t="s">
        <v>6</v>
      </c>
      <c r="HR243" s="5"/>
      <c r="HS243" s="5">
        <v>0</v>
      </c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  <c r="IH243" s="5"/>
      <c r="II243" s="5"/>
      <c r="IJ243" s="5"/>
      <c r="IK243" s="5">
        <v>0</v>
      </c>
      <c r="IL243" s="5"/>
      <c r="IM243" s="5"/>
      <c r="IN243" s="5"/>
      <c r="IO243" s="5"/>
      <c r="IP243" s="5"/>
      <c r="IQ243" s="5"/>
      <c r="IR243" s="5"/>
      <c r="IS243" s="5"/>
      <c r="IT243" s="5"/>
      <c r="IU243" s="5"/>
    </row>
    <row r="244" spans="1:255" x14ac:dyDescent="0.2">
      <c r="A244" s="5">
        <v>17</v>
      </c>
      <c r="B244" s="5">
        <v>1</v>
      </c>
      <c r="C244" s="5"/>
      <c r="D244" s="5"/>
      <c r="E244" s="5" t="s">
        <v>82</v>
      </c>
      <c r="F244" s="5" t="s">
        <v>154</v>
      </c>
      <c r="G244" s="5" t="s">
        <v>155</v>
      </c>
      <c r="H244" s="5" t="s">
        <v>156</v>
      </c>
      <c r="I244" s="5">
        <f>ROUND(0.0153,7)</f>
        <v>1.5299999999999999E-2</v>
      </c>
      <c r="J244" s="5">
        <v>0</v>
      </c>
      <c r="K244" s="5">
        <f>ROUND(0.0153,7)</f>
        <v>1.5299999999999999E-2</v>
      </c>
      <c r="L244" s="5"/>
      <c r="M244" s="5"/>
      <c r="N244" s="5"/>
      <c r="O244" s="5">
        <f>ROUND(CP244,2)</f>
        <v>766.62</v>
      </c>
      <c r="P244" s="5">
        <f>ROUND(CQ244*I244,2)</f>
        <v>766.62</v>
      </c>
      <c r="Q244" s="5">
        <f>ROUND(CR244*I244,2)</f>
        <v>0</v>
      </c>
      <c r="R244" s="5">
        <f>ROUND(CS244*I244,2)</f>
        <v>0</v>
      </c>
      <c r="S244" s="5">
        <f>ROUND(CT244*I244,2)</f>
        <v>0</v>
      </c>
      <c r="T244" s="5">
        <f t="shared" si="75"/>
        <v>0</v>
      </c>
      <c r="U244" s="5">
        <f>ROUND(CV244*I244,7)</f>
        <v>0</v>
      </c>
      <c r="V244" s="5">
        <f>ROUND(CW244*I244,7)</f>
        <v>0</v>
      </c>
      <c r="W244" s="5">
        <f t="shared" si="76"/>
        <v>0</v>
      </c>
      <c r="X244" s="5">
        <f t="shared" si="77"/>
        <v>0</v>
      </c>
      <c r="Y244" s="5">
        <f t="shared" si="78"/>
        <v>0</v>
      </c>
      <c r="Z244" s="5"/>
      <c r="AA244" s="5">
        <v>74850150</v>
      </c>
      <c r="AB244" s="5">
        <f t="shared" si="79"/>
        <v>50105.63</v>
      </c>
      <c r="AC244" s="5">
        <f>ROUND((ES244),6)</f>
        <v>50105.63</v>
      </c>
      <c r="AD244" s="5">
        <f>ROUND((((ET244)-(EU244))+AE244),6)</f>
        <v>0</v>
      </c>
      <c r="AE244" s="5">
        <f t="shared" si="97"/>
        <v>0</v>
      </c>
      <c r="AF244" s="5">
        <f t="shared" si="97"/>
        <v>0</v>
      </c>
      <c r="AG244" s="5">
        <f t="shared" si="80"/>
        <v>0</v>
      </c>
      <c r="AH244" s="5">
        <f t="shared" si="98"/>
        <v>0</v>
      </c>
      <c r="AI244" s="5">
        <f t="shared" si="98"/>
        <v>0</v>
      </c>
      <c r="AJ244" s="5">
        <f t="shared" si="81"/>
        <v>0</v>
      </c>
      <c r="AK244" s="5">
        <v>50105.63</v>
      </c>
      <c r="AL244" s="5">
        <v>50105.63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1</v>
      </c>
      <c r="AW244" s="5">
        <v>1</v>
      </c>
      <c r="AX244" s="5"/>
      <c r="AY244" s="5"/>
      <c r="AZ244" s="5">
        <v>1</v>
      </c>
      <c r="BA244" s="5">
        <v>1</v>
      </c>
      <c r="BB244" s="5">
        <v>1</v>
      </c>
      <c r="BC244" s="5">
        <v>1</v>
      </c>
      <c r="BD244" s="5" t="s">
        <v>6</v>
      </c>
      <c r="BE244" s="5" t="s">
        <v>6</v>
      </c>
      <c r="BF244" s="5" t="s">
        <v>6</v>
      </c>
      <c r="BG244" s="5" t="s">
        <v>6</v>
      </c>
      <c r="BH244" s="5">
        <v>3</v>
      </c>
      <c r="BI244" s="5">
        <v>2</v>
      </c>
      <c r="BJ244" s="5" t="s">
        <v>157</v>
      </c>
      <c r="BK244" s="5"/>
      <c r="BL244" s="5"/>
      <c r="BM244" s="5">
        <v>500002</v>
      </c>
      <c r="BN244" s="5">
        <v>0</v>
      </c>
      <c r="BO244" s="5" t="s">
        <v>6</v>
      </c>
      <c r="BP244" s="5">
        <v>0</v>
      </c>
      <c r="BQ244" s="5">
        <v>12</v>
      </c>
      <c r="BR244" s="5">
        <v>0</v>
      </c>
      <c r="BS244" s="5">
        <v>1</v>
      </c>
      <c r="BT244" s="5">
        <v>1</v>
      </c>
      <c r="BU244" s="5">
        <v>1</v>
      </c>
      <c r="BV244" s="5">
        <v>1</v>
      </c>
      <c r="BW244" s="5">
        <v>1</v>
      </c>
      <c r="BX244" s="5">
        <v>1</v>
      </c>
      <c r="BY244" s="5" t="s">
        <v>6</v>
      </c>
      <c r="BZ244" s="5">
        <v>0</v>
      </c>
      <c r="CA244" s="5">
        <v>0</v>
      </c>
      <c r="CB244" s="5" t="s">
        <v>6</v>
      </c>
      <c r="CC244" s="5"/>
      <c r="CD244" s="5"/>
      <c r="CE244" s="5">
        <v>0</v>
      </c>
      <c r="CF244" s="5">
        <v>0</v>
      </c>
      <c r="CG244" s="5">
        <v>0</v>
      </c>
      <c r="CH244" s="5"/>
      <c r="CI244" s="5"/>
      <c r="CJ244" s="5"/>
      <c r="CK244" s="5"/>
      <c r="CL244" s="5"/>
      <c r="CM244" s="5">
        <v>0</v>
      </c>
      <c r="CN244" s="5" t="s">
        <v>158</v>
      </c>
      <c r="CO244" s="5">
        <v>0</v>
      </c>
      <c r="CP244" s="5">
        <f>(P244+Q244+S244+R244)</f>
        <v>766.62</v>
      </c>
      <c r="CQ244" s="5">
        <f>ROUND(AL244*BC244,2)</f>
        <v>50105.63</v>
      </c>
      <c r="CR244" s="5">
        <f>ROUND(AM244*BB244,2)</f>
        <v>0</v>
      </c>
      <c r="CS244" s="5">
        <f>ROUND(AN244*BS244,2)</f>
        <v>0</v>
      </c>
      <c r="CT244" s="5">
        <f>ROUND(AO244*BA244,2)</f>
        <v>0</v>
      </c>
      <c r="CU244" s="5">
        <f t="shared" ref="CU244:CX245" si="99">AG244</f>
        <v>0</v>
      </c>
      <c r="CV244" s="5">
        <f t="shared" si="99"/>
        <v>0</v>
      </c>
      <c r="CW244" s="5">
        <f t="shared" si="99"/>
        <v>0</v>
      </c>
      <c r="CX244" s="5">
        <f t="shared" si="99"/>
        <v>0</v>
      </c>
      <c r="CY244" s="5">
        <f>0</f>
        <v>0</v>
      </c>
      <c r="CZ244" s="5">
        <f>0</f>
        <v>0</v>
      </c>
      <c r="DA244" s="5"/>
      <c r="DB244" s="5"/>
      <c r="DC244" s="5" t="s">
        <v>6</v>
      </c>
      <c r="DD244" s="5" t="s">
        <v>6</v>
      </c>
      <c r="DE244" s="5" t="s">
        <v>6</v>
      </c>
      <c r="DF244" s="5" t="s">
        <v>6</v>
      </c>
      <c r="DG244" s="5" t="s">
        <v>6</v>
      </c>
      <c r="DH244" s="5" t="s">
        <v>6</v>
      </c>
      <c r="DI244" s="5" t="s">
        <v>6</v>
      </c>
      <c r="DJ244" s="5" t="s">
        <v>6</v>
      </c>
      <c r="DK244" s="5" t="s">
        <v>6</v>
      </c>
      <c r="DL244" s="5" t="s">
        <v>6</v>
      </c>
      <c r="DM244" s="5" t="s">
        <v>6</v>
      </c>
      <c r="DN244" s="5">
        <v>0</v>
      </c>
      <c r="DO244" s="5">
        <v>0</v>
      </c>
      <c r="DP244" s="5">
        <v>1</v>
      </c>
      <c r="DQ244" s="5">
        <v>1</v>
      </c>
      <c r="DR244" s="5"/>
      <c r="DS244" s="5"/>
      <c r="DT244" s="5"/>
      <c r="DU244" s="5">
        <v>1013</v>
      </c>
      <c r="DV244" s="5" t="s">
        <v>156</v>
      </c>
      <c r="DW244" s="5" t="s">
        <v>159</v>
      </c>
      <c r="DX244" s="5">
        <v>1</v>
      </c>
      <c r="DY244" s="5"/>
      <c r="DZ244" s="5" t="s">
        <v>6</v>
      </c>
      <c r="EA244" s="5" t="s">
        <v>6</v>
      </c>
      <c r="EB244" s="5" t="s">
        <v>6</v>
      </c>
      <c r="EC244" s="5" t="s">
        <v>6</v>
      </c>
      <c r="ED244" s="5"/>
      <c r="EE244" s="5">
        <v>72417318</v>
      </c>
      <c r="EF244" s="5">
        <v>12</v>
      </c>
      <c r="EG244" s="5" t="s">
        <v>113</v>
      </c>
      <c r="EH244" s="5">
        <v>0</v>
      </c>
      <c r="EI244" s="5" t="s">
        <v>6</v>
      </c>
      <c r="EJ244" s="5">
        <v>2</v>
      </c>
      <c r="EK244" s="5">
        <v>500002</v>
      </c>
      <c r="EL244" s="5" t="s">
        <v>114</v>
      </c>
      <c r="EM244" s="5" t="s">
        <v>115</v>
      </c>
      <c r="EN244" s="5"/>
      <c r="EO244" s="5" t="s">
        <v>160</v>
      </c>
      <c r="EP244" s="5"/>
      <c r="EQ244" s="5">
        <v>0</v>
      </c>
      <c r="ER244" s="5">
        <v>50105.63</v>
      </c>
      <c r="ES244" s="5">
        <v>50105.63</v>
      </c>
      <c r="ET244" s="5">
        <v>0</v>
      </c>
      <c r="EU244" s="5">
        <v>0</v>
      </c>
      <c r="EV244" s="5">
        <v>0</v>
      </c>
      <c r="EW244" s="5">
        <v>0</v>
      </c>
      <c r="EX244" s="5">
        <v>0</v>
      </c>
      <c r="EY244" s="5">
        <v>0</v>
      </c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>
        <v>0</v>
      </c>
      <c r="FR244" s="5">
        <v>0</v>
      </c>
      <c r="FS244" s="5">
        <v>0</v>
      </c>
      <c r="FT244" s="5"/>
      <c r="FU244" s="5"/>
      <c r="FV244" s="5"/>
      <c r="FW244" s="5"/>
      <c r="FX244" s="5">
        <v>0</v>
      </c>
      <c r="FY244" s="5">
        <v>0</v>
      </c>
      <c r="FZ244" s="5"/>
      <c r="GA244" s="5" t="s">
        <v>6</v>
      </c>
      <c r="GB244" s="5"/>
      <c r="GC244" s="5"/>
      <c r="GD244" s="5">
        <v>1</v>
      </c>
      <c r="GE244" s="5">
        <v>47048.63</v>
      </c>
      <c r="GF244" s="5">
        <v>-1679242625</v>
      </c>
      <c r="GG244" s="5">
        <v>2</v>
      </c>
      <c r="GH244" s="5">
        <v>1</v>
      </c>
      <c r="GI244" s="5">
        <v>-2</v>
      </c>
      <c r="GJ244" s="5">
        <v>0</v>
      </c>
      <c r="GK244" s="5">
        <v>0</v>
      </c>
      <c r="GL244" s="5">
        <f t="shared" si="82"/>
        <v>0</v>
      </c>
      <c r="GM244" s="5">
        <f t="shared" si="83"/>
        <v>766.62</v>
      </c>
      <c r="GN244" s="5">
        <f t="shared" si="84"/>
        <v>0</v>
      </c>
      <c r="GO244" s="5">
        <f t="shared" si="85"/>
        <v>766.62</v>
      </c>
      <c r="GP244" s="5">
        <f t="shared" si="86"/>
        <v>0</v>
      </c>
      <c r="GQ244" s="5"/>
      <c r="GR244" s="5">
        <v>3</v>
      </c>
      <c r="GS244" s="5">
        <v>3</v>
      </c>
      <c r="GT244" s="5">
        <v>0</v>
      </c>
      <c r="GU244" s="5" t="s">
        <v>6</v>
      </c>
      <c r="GV244" s="5">
        <f t="shared" si="87"/>
        <v>0</v>
      </c>
      <c r="GW244" s="5">
        <v>1</v>
      </c>
      <c r="GX244" s="5">
        <f t="shared" si="88"/>
        <v>0</v>
      </c>
      <c r="GY244" s="5"/>
      <c r="GZ244" s="5"/>
      <c r="HA244" s="5">
        <v>0</v>
      </c>
      <c r="HB244" s="5">
        <v>0</v>
      </c>
      <c r="HC244" s="5">
        <f>GV244*GW244</f>
        <v>0</v>
      </c>
      <c r="HD244" s="5"/>
      <c r="HE244" s="5" t="s">
        <v>6</v>
      </c>
      <c r="HF244" s="5" t="s">
        <v>6</v>
      </c>
      <c r="HG244" s="5"/>
      <c r="HH244" s="5"/>
      <c r="HI244" s="5"/>
      <c r="HJ244" s="5"/>
      <c r="HK244" s="5"/>
      <c r="HL244" s="5"/>
      <c r="HM244" s="5" t="s">
        <v>6</v>
      </c>
      <c r="HN244" s="5" t="s">
        <v>6</v>
      </c>
      <c r="HO244" s="5" t="s">
        <v>6</v>
      </c>
      <c r="HP244" s="5" t="s">
        <v>6</v>
      </c>
      <c r="HQ244" s="5" t="s">
        <v>6</v>
      </c>
      <c r="HR244" s="5"/>
      <c r="HS244" s="5">
        <v>0</v>
      </c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  <c r="IH244" s="5"/>
      <c r="II244" s="5"/>
      <c r="IJ244" s="5"/>
      <c r="IK244" s="5">
        <v>0</v>
      </c>
      <c r="IL244" s="5"/>
      <c r="IM244" s="5"/>
      <c r="IN244" s="5"/>
      <c r="IO244" s="5"/>
      <c r="IP244" s="5"/>
      <c r="IQ244" s="5"/>
      <c r="IR244" s="5"/>
      <c r="IS244" s="5"/>
      <c r="IT244" s="5"/>
      <c r="IU244" s="5"/>
    </row>
    <row r="245" spans="1:255" x14ac:dyDescent="0.2">
      <c r="A245" s="5">
        <v>17</v>
      </c>
      <c r="B245" s="5">
        <v>1</v>
      </c>
      <c r="C245" s="5"/>
      <c r="D245" s="5"/>
      <c r="E245" s="5" t="s">
        <v>84</v>
      </c>
      <c r="F245" s="5" t="s">
        <v>161</v>
      </c>
      <c r="G245" s="5" t="s">
        <v>162</v>
      </c>
      <c r="H245" s="5" t="s">
        <v>118</v>
      </c>
      <c r="I245" s="5">
        <f>ROUND(5,7)</f>
        <v>5</v>
      </c>
      <c r="J245" s="5">
        <v>0</v>
      </c>
      <c r="K245" s="5">
        <f>ROUND(5,7)</f>
        <v>5</v>
      </c>
      <c r="L245" s="5"/>
      <c r="M245" s="5"/>
      <c r="N245" s="5"/>
      <c r="O245" s="5">
        <f>ROUND(CP245,2)</f>
        <v>373.25</v>
      </c>
      <c r="P245" s="5">
        <f>ROUND(CQ245*I245,2)</f>
        <v>373.25</v>
      </c>
      <c r="Q245" s="5">
        <f>ROUND(CR245*I245,2)</f>
        <v>0</v>
      </c>
      <c r="R245" s="5">
        <f>ROUND(CS245*I245,2)</f>
        <v>0</v>
      </c>
      <c r="S245" s="5">
        <f>ROUND(CT245*I245,2)</f>
        <v>0</v>
      </c>
      <c r="T245" s="5">
        <f t="shared" si="75"/>
        <v>0</v>
      </c>
      <c r="U245" s="5">
        <f>ROUND(CV245*I245,7)</f>
        <v>0</v>
      </c>
      <c r="V245" s="5">
        <f>ROUND(CW245*I245,7)</f>
        <v>0</v>
      </c>
      <c r="W245" s="5">
        <f t="shared" si="76"/>
        <v>0</v>
      </c>
      <c r="X245" s="5">
        <f t="shared" si="77"/>
        <v>0</v>
      </c>
      <c r="Y245" s="5">
        <f t="shared" si="78"/>
        <v>0</v>
      </c>
      <c r="Z245" s="5"/>
      <c r="AA245" s="5">
        <v>74850150</v>
      </c>
      <c r="AB245" s="5">
        <f t="shared" si="79"/>
        <v>79.42</v>
      </c>
      <c r="AC245" s="5">
        <f>ROUND((ES245),6)</f>
        <v>79.42</v>
      </c>
      <c r="AD245" s="5">
        <f>ROUND((((ET245)-(EU245))+AE245),6)</f>
        <v>0</v>
      </c>
      <c r="AE245" s="5">
        <f t="shared" si="97"/>
        <v>0</v>
      </c>
      <c r="AF245" s="5">
        <f t="shared" si="97"/>
        <v>0</v>
      </c>
      <c r="AG245" s="5">
        <f t="shared" si="80"/>
        <v>0</v>
      </c>
      <c r="AH245" s="5">
        <f t="shared" si="98"/>
        <v>0</v>
      </c>
      <c r="AI245" s="5">
        <f t="shared" si="98"/>
        <v>0</v>
      </c>
      <c r="AJ245" s="5">
        <f t="shared" si="81"/>
        <v>0</v>
      </c>
      <c r="AK245" s="5">
        <v>79.42</v>
      </c>
      <c r="AL245" s="5">
        <v>79.42</v>
      </c>
      <c r="AM245" s="5">
        <v>0</v>
      </c>
      <c r="AN245" s="5">
        <v>0</v>
      </c>
      <c r="AO245" s="5">
        <v>0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1</v>
      </c>
      <c r="AW245" s="5">
        <v>1</v>
      </c>
      <c r="AX245" s="5"/>
      <c r="AY245" s="5"/>
      <c r="AZ245" s="5">
        <v>1</v>
      </c>
      <c r="BA245" s="5">
        <v>1</v>
      </c>
      <c r="BB245" s="5">
        <v>1</v>
      </c>
      <c r="BC245" s="5">
        <v>0.94</v>
      </c>
      <c r="BD245" s="5" t="s">
        <v>6</v>
      </c>
      <c r="BE245" s="5" t="s">
        <v>6</v>
      </c>
      <c r="BF245" s="5" t="s">
        <v>6</v>
      </c>
      <c r="BG245" s="5" t="s">
        <v>6</v>
      </c>
      <c r="BH245" s="5">
        <v>3</v>
      </c>
      <c r="BI245" s="5">
        <v>2</v>
      </c>
      <c r="BJ245" s="5" t="s">
        <v>163</v>
      </c>
      <c r="BK245" s="5"/>
      <c r="BL245" s="5"/>
      <c r="BM245" s="5">
        <v>500002</v>
      </c>
      <c r="BN245" s="5">
        <v>0</v>
      </c>
      <c r="BO245" s="5" t="s">
        <v>161</v>
      </c>
      <c r="BP245" s="5">
        <v>1</v>
      </c>
      <c r="BQ245" s="5">
        <v>12</v>
      </c>
      <c r="BR245" s="5">
        <v>0</v>
      </c>
      <c r="BS245" s="5">
        <v>1</v>
      </c>
      <c r="BT245" s="5">
        <v>1</v>
      </c>
      <c r="BU245" s="5">
        <v>1</v>
      </c>
      <c r="BV245" s="5">
        <v>1</v>
      </c>
      <c r="BW245" s="5">
        <v>1</v>
      </c>
      <c r="BX245" s="5">
        <v>1</v>
      </c>
      <c r="BY245" s="5" t="s">
        <v>6</v>
      </c>
      <c r="BZ245" s="5">
        <v>0</v>
      </c>
      <c r="CA245" s="5">
        <v>0</v>
      </c>
      <c r="CB245" s="5" t="s">
        <v>6</v>
      </c>
      <c r="CC245" s="5"/>
      <c r="CD245" s="5"/>
      <c r="CE245" s="5">
        <v>0</v>
      </c>
      <c r="CF245" s="5">
        <v>0</v>
      </c>
      <c r="CG245" s="5">
        <v>0</v>
      </c>
      <c r="CH245" s="5"/>
      <c r="CI245" s="5"/>
      <c r="CJ245" s="5"/>
      <c r="CK245" s="5"/>
      <c r="CL245" s="5"/>
      <c r="CM245" s="5">
        <v>0</v>
      </c>
      <c r="CN245" s="5" t="s">
        <v>6</v>
      </c>
      <c r="CO245" s="5">
        <v>0</v>
      </c>
      <c r="CP245" s="5">
        <f>(P245+Q245+S245+R245)</f>
        <v>373.25</v>
      </c>
      <c r="CQ245" s="5">
        <f>ROUND(AL245*BC245,2)</f>
        <v>74.650000000000006</v>
      </c>
      <c r="CR245" s="5">
        <f>ROUND(AM245*BB245,2)</f>
        <v>0</v>
      </c>
      <c r="CS245" s="5">
        <f>ROUND(AN245*BS245,2)</f>
        <v>0</v>
      </c>
      <c r="CT245" s="5">
        <f>ROUND(AO245*BA245,2)</f>
        <v>0</v>
      </c>
      <c r="CU245" s="5">
        <f t="shared" si="99"/>
        <v>0</v>
      </c>
      <c r="CV245" s="5">
        <f t="shared" si="99"/>
        <v>0</v>
      </c>
      <c r="CW245" s="5">
        <f t="shared" si="99"/>
        <v>0</v>
      </c>
      <c r="CX245" s="5">
        <f t="shared" si="99"/>
        <v>0</v>
      </c>
      <c r="CY245" s="5">
        <f>0</f>
        <v>0</v>
      </c>
      <c r="CZ245" s="5">
        <f>0</f>
        <v>0</v>
      </c>
      <c r="DA245" s="5"/>
      <c r="DB245" s="5"/>
      <c r="DC245" s="5" t="s">
        <v>6</v>
      </c>
      <c r="DD245" s="5" t="s">
        <v>6</v>
      </c>
      <c r="DE245" s="5" t="s">
        <v>6</v>
      </c>
      <c r="DF245" s="5" t="s">
        <v>6</v>
      </c>
      <c r="DG245" s="5" t="s">
        <v>6</v>
      </c>
      <c r="DH245" s="5" t="s">
        <v>6</v>
      </c>
      <c r="DI245" s="5" t="s">
        <v>6</v>
      </c>
      <c r="DJ245" s="5" t="s">
        <v>6</v>
      </c>
      <c r="DK245" s="5" t="s">
        <v>6</v>
      </c>
      <c r="DL245" s="5" t="s">
        <v>6</v>
      </c>
      <c r="DM245" s="5" t="s">
        <v>6</v>
      </c>
      <c r="DN245" s="5">
        <v>0</v>
      </c>
      <c r="DO245" s="5">
        <v>0</v>
      </c>
      <c r="DP245" s="5">
        <v>1</v>
      </c>
      <c r="DQ245" s="5">
        <v>1</v>
      </c>
      <c r="DR245" s="5"/>
      <c r="DS245" s="5"/>
      <c r="DT245" s="5"/>
      <c r="DU245" s="5">
        <v>1013</v>
      </c>
      <c r="DV245" s="5" t="s">
        <v>118</v>
      </c>
      <c r="DW245" s="5" t="s">
        <v>118</v>
      </c>
      <c r="DX245" s="5">
        <v>1</v>
      </c>
      <c r="DY245" s="5"/>
      <c r="DZ245" s="5" t="s">
        <v>6</v>
      </c>
      <c r="EA245" s="5" t="s">
        <v>6</v>
      </c>
      <c r="EB245" s="5" t="s">
        <v>6</v>
      </c>
      <c r="EC245" s="5" t="s">
        <v>6</v>
      </c>
      <c r="ED245" s="5"/>
      <c r="EE245" s="5">
        <v>72417318</v>
      </c>
      <c r="EF245" s="5">
        <v>12</v>
      </c>
      <c r="EG245" s="5" t="s">
        <v>113</v>
      </c>
      <c r="EH245" s="5">
        <v>0</v>
      </c>
      <c r="EI245" s="5" t="s">
        <v>6</v>
      </c>
      <c r="EJ245" s="5">
        <v>2</v>
      </c>
      <c r="EK245" s="5">
        <v>500002</v>
      </c>
      <c r="EL245" s="5" t="s">
        <v>114</v>
      </c>
      <c r="EM245" s="5" t="s">
        <v>115</v>
      </c>
      <c r="EN245" s="5"/>
      <c r="EO245" s="5" t="s">
        <v>6</v>
      </c>
      <c r="EP245" s="5"/>
      <c r="EQ245" s="5">
        <v>0</v>
      </c>
      <c r="ER245" s="5">
        <v>79.42</v>
      </c>
      <c r="ES245" s="5">
        <v>79.42</v>
      </c>
      <c r="ET245" s="5">
        <v>0</v>
      </c>
      <c r="EU245" s="5">
        <v>0</v>
      </c>
      <c r="EV245" s="5">
        <v>0</v>
      </c>
      <c r="EW245" s="5">
        <v>0</v>
      </c>
      <c r="EX245" s="5">
        <v>0</v>
      </c>
      <c r="EY245" s="5">
        <v>0</v>
      </c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>
        <v>0</v>
      </c>
      <c r="FR245" s="5">
        <v>0</v>
      </c>
      <c r="FS245" s="5">
        <v>0</v>
      </c>
      <c r="FT245" s="5"/>
      <c r="FU245" s="5"/>
      <c r="FV245" s="5"/>
      <c r="FW245" s="5"/>
      <c r="FX245" s="5">
        <v>0</v>
      </c>
      <c r="FY245" s="5">
        <v>0</v>
      </c>
      <c r="FZ245" s="5"/>
      <c r="GA245" s="5" t="s">
        <v>6</v>
      </c>
      <c r="GB245" s="5"/>
      <c r="GC245" s="5"/>
      <c r="GD245" s="5">
        <v>1</v>
      </c>
      <c r="GE245" s="5"/>
      <c r="GF245" s="5">
        <v>-1607913701</v>
      </c>
      <c r="GG245" s="5">
        <v>2</v>
      </c>
      <c r="GH245" s="5">
        <v>1</v>
      </c>
      <c r="GI245" s="5">
        <v>2</v>
      </c>
      <c r="GJ245" s="5">
        <v>0</v>
      </c>
      <c r="GK245" s="5">
        <v>0</v>
      </c>
      <c r="GL245" s="5">
        <f t="shared" si="82"/>
        <v>0</v>
      </c>
      <c r="GM245" s="5">
        <f t="shared" si="83"/>
        <v>373.25</v>
      </c>
      <c r="GN245" s="5">
        <f t="shared" si="84"/>
        <v>0</v>
      </c>
      <c r="GO245" s="5">
        <f t="shared" si="85"/>
        <v>373.25</v>
      </c>
      <c r="GP245" s="5">
        <f t="shared" si="86"/>
        <v>0</v>
      </c>
      <c r="GQ245" s="5"/>
      <c r="GR245" s="5">
        <v>0</v>
      </c>
      <c r="GS245" s="5">
        <v>3</v>
      </c>
      <c r="GT245" s="5">
        <v>0</v>
      </c>
      <c r="GU245" s="5" t="s">
        <v>6</v>
      </c>
      <c r="GV245" s="5">
        <f t="shared" si="87"/>
        <v>0</v>
      </c>
      <c r="GW245" s="5">
        <v>1</v>
      </c>
      <c r="GX245" s="5">
        <f t="shared" si="88"/>
        <v>0</v>
      </c>
      <c r="GY245" s="5"/>
      <c r="GZ245" s="5"/>
      <c r="HA245" s="5">
        <v>0</v>
      </c>
      <c r="HB245" s="5">
        <v>0</v>
      </c>
      <c r="HC245" s="5">
        <f>GV245*GW245</f>
        <v>0</v>
      </c>
      <c r="HD245" s="5"/>
      <c r="HE245" s="5" t="s">
        <v>6</v>
      </c>
      <c r="HF245" s="5" t="s">
        <v>6</v>
      </c>
      <c r="HG245" s="5"/>
      <c r="HH245" s="5"/>
      <c r="HI245" s="5"/>
      <c r="HJ245" s="5"/>
      <c r="HK245" s="5"/>
      <c r="HL245" s="5"/>
      <c r="HM245" s="5" t="s">
        <v>6</v>
      </c>
      <c r="HN245" s="5" t="s">
        <v>6</v>
      </c>
      <c r="HO245" s="5" t="s">
        <v>6</v>
      </c>
      <c r="HP245" s="5" t="s">
        <v>6</v>
      </c>
      <c r="HQ245" s="5" t="s">
        <v>6</v>
      </c>
      <c r="HR245" s="5"/>
      <c r="HS245" s="5">
        <v>0</v>
      </c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  <c r="IH245" s="5"/>
      <c r="II245" s="5"/>
      <c r="IJ245" s="5"/>
      <c r="IK245" s="5">
        <v>0</v>
      </c>
      <c r="IL245" s="5"/>
      <c r="IM245" s="5"/>
      <c r="IN245" s="5"/>
      <c r="IO245" s="5"/>
      <c r="IP245" s="5"/>
      <c r="IQ245" s="5"/>
      <c r="IR245" s="5"/>
      <c r="IS245" s="5"/>
      <c r="IT245" s="5"/>
      <c r="IU245" s="5"/>
    </row>
    <row r="246" spans="1:255" x14ac:dyDescent="0.2">
      <c r="A246" s="5">
        <v>17</v>
      </c>
      <c r="B246" s="5">
        <v>1</v>
      </c>
      <c r="C246" s="5">
        <f>ROW(SmtRes!A27)</f>
        <v>27</v>
      </c>
      <c r="D246" s="5">
        <f>ROW(EtalonRes!A28)</f>
        <v>28</v>
      </c>
      <c r="E246" s="5" t="s">
        <v>164</v>
      </c>
      <c r="F246" s="5" t="s">
        <v>165</v>
      </c>
      <c r="G246" s="5" t="s">
        <v>166</v>
      </c>
      <c r="H246" s="5" t="s">
        <v>118</v>
      </c>
      <c r="I246" s="5">
        <f>ROUND(5,7)</f>
        <v>5</v>
      </c>
      <c r="J246" s="5">
        <v>0</v>
      </c>
      <c r="K246" s="5">
        <f>ROUND(5,7)</f>
        <v>5</v>
      </c>
      <c r="L246" s="5"/>
      <c r="M246" s="5"/>
      <c r="N246" s="5"/>
      <c r="O246" s="5">
        <f>ROUND(CP246,2)</f>
        <v>1688</v>
      </c>
      <c r="P246" s="5">
        <f>SUMIF(SmtRes!AQ21:'SmtRes'!AQ27,"=1",SmtRes!DF21:'SmtRes'!DF27)</f>
        <v>0</v>
      </c>
      <c r="Q246" s="5">
        <f>SUMIF(SmtRes!AQ21:'SmtRes'!AQ27,"=1",SmtRes!DG21:'SmtRes'!DG27)</f>
        <v>0</v>
      </c>
      <c r="R246" s="5">
        <f>SUMIF(SmtRes!AQ21:'SmtRes'!AQ27,"=1",SmtRes!DH21:'SmtRes'!DH27)</f>
        <v>0</v>
      </c>
      <c r="S246" s="5">
        <f>SUMIF(SmtRes!AQ21:'SmtRes'!AQ27,"=1",SmtRes!DI21:'SmtRes'!DI27)</f>
        <v>1688</v>
      </c>
      <c r="T246" s="5">
        <f t="shared" si="75"/>
        <v>0</v>
      </c>
      <c r="U246" s="5">
        <f>SUMIF(SmtRes!AQ21:'SmtRes'!AQ27,"=1",SmtRes!CV21:'SmtRes'!CV27)</f>
        <v>5.04</v>
      </c>
      <c r="V246" s="5">
        <f>SUMIF(SmtRes!AQ21:'SmtRes'!AQ27,"=1",SmtRes!CW21:'SmtRes'!CW27)</f>
        <v>0</v>
      </c>
      <c r="W246" s="5">
        <f t="shared" si="76"/>
        <v>0</v>
      </c>
      <c r="X246" s="5">
        <f t="shared" si="77"/>
        <v>1519.2</v>
      </c>
      <c r="Y246" s="5">
        <f t="shared" si="78"/>
        <v>776.48</v>
      </c>
      <c r="Z246" s="5"/>
      <c r="AA246" s="5">
        <v>74850150</v>
      </c>
      <c r="AB246" s="5">
        <f t="shared" si="79"/>
        <v>337.59935999999999</v>
      </c>
      <c r="AC246" s="5">
        <f>ROUND((0),6)</f>
        <v>0</v>
      </c>
      <c r="AD246" s="5">
        <f>ROUND((((0)-(0))+AE246),6)</f>
        <v>0</v>
      </c>
      <c r="AE246" s="5">
        <f>ROUND((0),6)</f>
        <v>0</v>
      </c>
      <c r="AF246" s="5">
        <f>ROUND((SUM(SmtRes!BT21:'SmtRes'!BT27)),6)</f>
        <v>337.59935999999999</v>
      </c>
      <c r="AG246" s="5">
        <f t="shared" si="80"/>
        <v>0</v>
      </c>
      <c r="AH246" s="5">
        <f>(SUM(SmtRes!BU21:'SmtRes'!BU27))</f>
        <v>1.008</v>
      </c>
      <c r="AI246" s="5">
        <f>(0)</f>
        <v>0</v>
      </c>
      <c r="AJ246" s="5">
        <f t="shared" si="81"/>
        <v>0</v>
      </c>
      <c r="AK246" s="5">
        <v>596.9595157</v>
      </c>
      <c r="AL246" s="5">
        <v>34.293915699999999</v>
      </c>
      <c r="AM246" s="5">
        <v>0</v>
      </c>
      <c r="AN246" s="5">
        <v>0</v>
      </c>
      <c r="AO246" s="5">
        <v>562.66560000000004</v>
      </c>
      <c r="AP246" s="5">
        <v>0</v>
      </c>
      <c r="AQ246" s="5">
        <v>1.68</v>
      </c>
      <c r="AR246" s="5">
        <v>0</v>
      </c>
      <c r="AS246" s="5">
        <v>0</v>
      </c>
      <c r="AT246" s="5">
        <v>90</v>
      </c>
      <c r="AU246" s="5">
        <v>46</v>
      </c>
      <c r="AV246" s="5">
        <v>1</v>
      </c>
      <c r="AW246" s="5">
        <v>1</v>
      </c>
      <c r="AX246" s="5"/>
      <c r="AY246" s="5"/>
      <c r="AZ246" s="5">
        <v>1</v>
      </c>
      <c r="BA246" s="5">
        <v>1</v>
      </c>
      <c r="BB246" s="5">
        <v>1</v>
      </c>
      <c r="BC246" s="5">
        <v>1</v>
      </c>
      <c r="BD246" s="5" t="s">
        <v>6</v>
      </c>
      <c r="BE246" s="5" t="s">
        <v>6</v>
      </c>
      <c r="BF246" s="5" t="s">
        <v>6</v>
      </c>
      <c r="BG246" s="5" t="s">
        <v>6</v>
      </c>
      <c r="BH246" s="5">
        <v>0</v>
      </c>
      <c r="BI246" s="5">
        <v>2</v>
      </c>
      <c r="BJ246" s="5" t="s">
        <v>167</v>
      </c>
      <c r="BK246" s="5"/>
      <c r="BL246" s="5"/>
      <c r="BM246" s="5">
        <v>110011</v>
      </c>
      <c r="BN246" s="5">
        <v>0</v>
      </c>
      <c r="BO246" s="5" t="s">
        <v>6</v>
      </c>
      <c r="BP246" s="5">
        <v>0</v>
      </c>
      <c r="BQ246" s="5">
        <v>3</v>
      </c>
      <c r="BR246" s="5">
        <v>0</v>
      </c>
      <c r="BS246" s="5">
        <v>1</v>
      </c>
      <c r="BT246" s="5">
        <v>1</v>
      </c>
      <c r="BU246" s="5">
        <v>1</v>
      </c>
      <c r="BV246" s="5">
        <v>1</v>
      </c>
      <c r="BW246" s="5">
        <v>1</v>
      </c>
      <c r="BX246" s="5">
        <v>1</v>
      </c>
      <c r="BY246" s="5" t="s">
        <v>6</v>
      </c>
      <c r="BZ246" s="5">
        <v>90</v>
      </c>
      <c r="CA246" s="5">
        <v>46</v>
      </c>
      <c r="CB246" s="5" t="s">
        <v>6</v>
      </c>
      <c r="CC246" s="5"/>
      <c r="CD246" s="5"/>
      <c r="CE246" s="5">
        <v>0</v>
      </c>
      <c r="CF246" s="5">
        <v>0</v>
      </c>
      <c r="CG246" s="5">
        <v>0</v>
      </c>
      <c r="CH246" s="5"/>
      <c r="CI246" s="5"/>
      <c r="CJ246" s="5"/>
      <c r="CK246" s="5"/>
      <c r="CL246" s="5"/>
      <c r="CM246" s="5">
        <v>0</v>
      </c>
      <c r="CN246" s="5" t="s">
        <v>168</v>
      </c>
      <c r="CO246" s="5">
        <v>0</v>
      </c>
      <c r="CP246" s="5">
        <f>(P246+Q246+S246+R246)</f>
        <v>1688</v>
      </c>
      <c r="CQ246" s="5">
        <f>SUMIF(SmtRes!AQ21:'SmtRes'!AQ27,"=1",SmtRes!AA21:'SmtRes'!AA27)</f>
        <v>9049.43</v>
      </c>
      <c r="CR246" s="5">
        <f>SUMIF(SmtRes!AQ21:'SmtRes'!AQ27,"=1",SmtRes!AB21:'SmtRes'!AB27)</f>
        <v>0</v>
      </c>
      <c r="CS246" s="5">
        <f>SUMIF(SmtRes!AQ21:'SmtRes'!AQ27,"=1",SmtRes!AC21:'SmtRes'!AC27)</f>
        <v>0</v>
      </c>
      <c r="CT246" s="5">
        <f>SUMIF(SmtRes!AQ21:'SmtRes'!AQ27,"=1",SmtRes!AD21:'SmtRes'!AD27)</f>
        <v>334.92</v>
      </c>
      <c r="CU246" s="5">
        <f>AG246</f>
        <v>0</v>
      </c>
      <c r="CV246" s="5">
        <f>SUMIF(SmtRes!AQ21:'SmtRes'!AQ27,"=1",SmtRes!BU21:'SmtRes'!BU27)</f>
        <v>1.008</v>
      </c>
      <c r="CW246" s="5">
        <f>SUMIF(SmtRes!AQ21:'SmtRes'!AQ27,"=1",SmtRes!BV21:'SmtRes'!BV27)</f>
        <v>0</v>
      </c>
      <c r="CX246" s="5">
        <f>AJ246</f>
        <v>0</v>
      </c>
      <c r="CY246" s="5">
        <f>(((S246+R246)*AT246)/100)</f>
        <v>1519.2</v>
      </c>
      <c r="CZ246" s="5">
        <f>(((S246+R246)*AU246)/100)</f>
        <v>776.48</v>
      </c>
      <c r="DA246" s="5"/>
      <c r="DB246" s="5"/>
      <c r="DC246" s="5" t="s">
        <v>6</v>
      </c>
      <c r="DD246" s="5" t="s">
        <v>169</v>
      </c>
      <c r="DE246" s="5" t="s">
        <v>170</v>
      </c>
      <c r="DF246" s="5" t="s">
        <v>170</v>
      </c>
      <c r="DG246" s="5" t="s">
        <v>170</v>
      </c>
      <c r="DH246" s="5" t="s">
        <v>6</v>
      </c>
      <c r="DI246" s="5" t="s">
        <v>170</v>
      </c>
      <c r="DJ246" s="5" t="s">
        <v>170</v>
      </c>
      <c r="DK246" s="5" t="s">
        <v>6</v>
      </c>
      <c r="DL246" s="5" t="s">
        <v>6</v>
      </c>
      <c r="DM246" s="5" t="s">
        <v>6</v>
      </c>
      <c r="DN246" s="5">
        <v>0</v>
      </c>
      <c r="DO246" s="5">
        <v>0</v>
      </c>
      <c r="DP246" s="5">
        <v>1</v>
      </c>
      <c r="DQ246" s="5">
        <v>1</v>
      </c>
      <c r="DR246" s="5"/>
      <c r="DS246" s="5"/>
      <c r="DT246" s="5"/>
      <c r="DU246" s="5">
        <v>1013</v>
      </c>
      <c r="DV246" s="5" t="s">
        <v>118</v>
      </c>
      <c r="DW246" s="5" t="s">
        <v>118</v>
      </c>
      <c r="DX246" s="5">
        <v>1</v>
      </c>
      <c r="DY246" s="5"/>
      <c r="DZ246" s="5" t="s">
        <v>6</v>
      </c>
      <c r="EA246" s="5" t="s">
        <v>6</v>
      </c>
      <c r="EB246" s="5" t="s">
        <v>6</v>
      </c>
      <c r="EC246" s="5" t="s">
        <v>6</v>
      </c>
      <c r="ED246" s="5"/>
      <c r="EE246" s="5">
        <v>72417314</v>
      </c>
      <c r="EF246" s="5">
        <v>3</v>
      </c>
      <c r="EG246" s="5" t="s">
        <v>103</v>
      </c>
      <c r="EH246" s="5">
        <v>0</v>
      </c>
      <c r="EI246" s="5" t="s">
        <v>6</v>
      </c>
      <c r="EJ246" s="5">
        <v>2</v>
      </c>
      <c r="EK246" s="5">
        <v>110011</v>
      </c>
      <c r="EL246" s="5" t="s">
        <v>171</v>
      </c>
      <c r="EM246" s="5" t="s">
        <v>172</v>
      </c>
      <c r="EN246" s="5"/>
      <c r="EO246" s="5" t="s">
        <v>173</v>
      </c>
      <c r="EP246" s="5"/>
      <c r="EQ246" s="5">
        <v>0</v>
      </c>
      <c r="ER246" s="5">
        <v>0</v>
      </c>
      <c r="ES246" s="5">
        <v>0</v>
      </c>
      <c r="ET246" s="5">
        <v>0</v>
      </c>
      <c r="EU246" s="5">
        <v>0</v>
      </c>
      <c r="EV246" s="5">
        <v>0</v>
      </c>
      <c r="EW246" s="5">
        <v>1.68</v>
      </c>
      <c r="EX246" s="5">
        <v>0</v>
      </c>
      <c r="EY246" s="5">
        <v>0</v>
      </c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>
        <v>0</v>
      </c>
      <c r="FR246" s="5">
        <v>0</v>
      </c>
      <c r="FS246" s="5">
        <v>0</v>
      </c>
      <c r="FT246" s="5"/>
      <c r="FU246" s="5"/>
      <c r="FV246" s="5"/>
      <c r="FW246" s="5"/>
      <c r="FX246" s="5">
        <v>90</v>
      </c>
      <c r="FY246" s="5">
        <v>46</v>
      </c>
      <c r="FZ246" s="5"/>
      <c r="GA246" s="5" t="s">
        <v>6</v>
      </c>
      <c r="GB246" s="5"/>
      <c r="GC246" s="5"/>
      <c r="GD246" s="5">
        <v>1</v>
      </c>
      <c r="GE246" s="5"/>
      <c r="GF246" s="5">
        <v>-1195527718</v>
      </c>
      <c r="GG246" s="5">
        <v>2</v>
      </c>
      <c r="GH246" s="5">
        <v>1</v>
      </c>
      <c r="GI246" s="5">
        <v>-2</v>
      </c>
      <c r="GJ246" s="5">
        <v>0</v>
      </c>
      <c r="GK246" s="5">
        <v>0</v>
      </c>
      <c r="GL246" s="5">
        <f t="shared" si="82"/>
        <v>0</v>
      </c>
      <c r="GM246" s="5">
        <f t="shared" si="83"/>
        <v>3983.68</v>
      </c>
      <c r="GN246" s="5">
        <f t="shared" si="84"/>
        <v>0</v>
      </c>
      <c r="GO246" s="5">
        <f t="shared" si="85"/>
        <v>3983.68</v>
      </c>
      <c r="GP246" s="5">
        <f t="shared" si="86"/>
        <v>0</v>
      </c>
      <c r="GQ246" s="5"/>
      <c r="GR246" s="5">
        <v>0</v>
      </c>
      <c r="GS246" s="5">
        <v>3</v>
      </c>
      <c r="GT246" s="5">
        <v>0</v>
      </c>
      <c r="GU246" s="5" t="s">
        <v>6</v>
      </c>
      <c r="GV246" s="5">
        <f t="shared" si="87"/>
        <v>0</v>
      </c>
      <c r="GW246" s="5">
        <v>1</v>
      </c>
      <c r="GX246" s="5">
        <f t="shared" si="88"/>
        <v>0</v>
      </c>
      <c r="GY246" s="5"/>
      <c r="GZ246" s="5"/>
      <c r="HA246" s="5">
        <v>0</v>
      </c>
      <c r="HB246" s="5">
        <v>0</v>
      </c>
      <c r="HC246" s="5">
        <f>GV246*GW246</f>
        <v>0</v>
      </c>
      <c r="HD246" s="5"/>
      <c r="HE246" s="5" t="s">
        <v>6</v>
      </c>
      <c r="HF246" s="5" t="s">
        <v>6</v>
      </c>
      <c r="HG246" s="5"/>
      <c r="HH246" s="5"/>
      <c r="HI246" s="5"/>
      <c r="HJ246" s="5"/>
      <c r="HK246" s="5"/>
      <c r="HL246" s="5"/>
      <c r="HM246" s="5" t="s">
        <v>6</v>
      </c>
      <c r="HN246" s="5" t="s">
        <v>174</v>
      </c>
      <c r="HO246" s="5" t="s">
        <v>175</v>
      </c>
      <c r="HP246" s="5" t="s">
        <v>171</v>
      </c>
      <c r="HQ246" s="5" t="s">
        <v>171</v>
      </c>
      <c r="HR246" s="5"/>
      <c r="HS246" s="5">
        <v>0</v>
      </c>
      <c r="HT246" s="5"/>
      <c r="HU246" s="5"/>
      <c r="HV246" s="5"/>
      <c r="HW246" s="5"/>
      <c r="HX246" s="5"/>
      <c r="HY246" s="5"/>
      <c r="HZ246" s="5"/>
      <c r="IA246" s="5"/>
      <c r="IB246" s="5"/>
      <c r="IC246" s="5"/>
      <c r="ID246" s="5"/>
      <c r="IE246" s="5"/>
      <c r="IF246" s="5"/>
      <c r="IG246" s="5"/>
      <c r="IH246" s="5"/>
      <c r="II246" s="5"/>
      <c r="IJ246" s="5"/>
      <c r="IK246" s="5">
        <v>0</v>
      </c>
      <c r="IL246" s="5"/>
      <c r="IM246" s="5"/>
      <c r="IN246" s="5"/>
      <c r="IO246" s="5"/>
      <c r="IP246" s="5"/>
      <c r="IQ246" s="5"/>
      <c r="IR246" s="5"/>
      <c r="IS246" s="5"/>
      <c r="IT246" s="5"/>
      <c r="IU246" s="5"/>
    </row>
    <row r="247" spans="1:255" x14ac:dyDescent="0.2">
      <c r="A247" s="5">
        <v>18</v>
      </c>
      <c r="B247" s="5">
        <v>1</v>
      </c>
      <c r="C247" s="5">
        <v>27</v>
      </c>
      <c r="D247" s="5"/>
      <c r="E247" s="5" t="s">
        <v>176</v>
      </c>
      <c r="F247" s="5" t="s">
        <v>110</v>
      </c>
      <c r="G247" s="5" t="s">
        <v>111</v>
      </c>
      <c r="H247" s="5" t="s">
        <v>112</v>
      </c>
      <c r="I247" s="5">
        <f>J247</f>
        <v>2</v>
      </c>
      <c r="J247" s="5">
        <v>2</v>
      </c>
      <c r="K247" s="5">
        <v>2</v>
      </c>
      <c r="L247" s="5"/>
      <c r="M247" s="5"/>
      <c r="N247" s="5"/>
      <c r="O247" s="5">
        <f>ROUND(P247,2)</f>
        <v>33.76</v>
      </c>
      <c r="P247" s="5">
        <f>ROUND(ROUND((ROUND(SUMIF(SmtRes!AQ21:'SmtRes'!AQ27,"=1",SmtRes!CU21:'SmtRes'!CU27),2)*ROUND(0.6,7)),2)*I247/100,2)</f>
        <v>33.76</v>
      </c>
      <c r="Q247" s="5">
        <f>ROUND(CR247*I247,2)</f>
        <v>0</v>
      </c>
      <c r="R247" s="5">
        <f>ROUND(CS247*I247,2)</f>
        <v>0</v>
      </c>
      <c r="S247" s="5">
        <f>ROUND(CT247*I247,2)</f>
        <v>0</v>
      </c>
      <c r="T247" s="5">
        <f t="shared" si="75"/>
        <v>0</v>
      </c>
      <c r="U247" s="5">
        <f>ROUND(CV247*I247,7)</f>
        <v>0</v>
      </c>
      <c r="V247" s="5">
        <f>ROUND(CW247*I247,7)</f>
        <v>0</v>
      </c>
      <c r="W247" s="5">
        <f t="shared" si="76"/>
        <v>0</v>
      </c>
      <c r="X247" s="5">
        <f t="shared" si="77"/>
        <v>0</v>
      </c>
      <c r="Y247" s="5">
        <f t="shared" si="78"/>
        <v>0</v>
      </c>
      <c r="Z247" s="5"/>
      <c r="AA247" s="5">
        <v>74850150</v>
      </c>
      <c r="AB247" s="5">
        <f t="shared" si="79"/>
        <v>0</v>
      </c>
      <c r="AC247" s="5">
        <f>ROUND(((ES247*ROUND(0.6,7))),6)</f>
        <v>0</v>
      </c>
      <c r="AD247" s="5">
        <f>ROUND((((ET247)-(EU247))+AE247),6)</f>
        <v>0</v>
      </c>
      <c r="AE247" s="5">
        <f>ROUND((EU247),6)</f>
        <v>0</v>
      </c>
      <c r="AF247" s="5">
        <f>ROUND((EV247),6)</f>
        <v>0</v>
      </c>
      <c r="AG247" s="5">
        <f t="shared" si="80"/>
        <v>0</v>
      </c>
      <c r="AH247" s="5">
        <f>(EW247)</f>
        <v>0</v>
      </c>
      <c r="AI247" s="5">
        <f>(EX247)</f>
        <v>0</v>
      </c>
      <c r="AJ247" s="5">
        <f t="shared" si="81"/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1</v>
      </c>
      <c r="AW247" s="5">
        <v>1</v>
      </c>
      <c r="AX247" s="5"/>
      <c r="AY247" s="5"/>
      <c r="AZ247" s="5">
        <v>1</v>
      </c>
      <c r="BA247" s="5">
        <v>1</v>
      </c>
      <c r="BB247" s="5">
        <v>1</v>
      </c>
      <c r="BC247" s="5">
        <v>1</v>
      </c>
      <c r="BD247" s="5" t="s">
        <v>6</v>
      </c>
      <c r="BE247" s="5" t="s">
        <v>6</v>
      </c>
      <c r="BF247" s="5" t="s">
        <v>6</v>
      </c>
      <c r="BG247" s="5" t="s">
        <v>6</v>
      </c>
      <c r="BH247" s="5">
        <v>3</v>
      </c>
      <c r="BI247" s="5">
        <v>2</v>
      </c>
      <c r="BJ247" s="5" t="s">
        <v>6</v>
      </c>
      <c r="BK247" s="5"/>
      <c r="BL247" s="5"/>
      <c r="BM247" s="5">
        <v>500002</v>
      </c>
      <c r="BN247" s="5">
        <v>0</v>
      </c>
      <c r="BO247" s="5" t="s">
        <v>6</v>
      </c>
      <c r="BP247" s="5">
        <v>0</v>
      </c>
      <c r="BQ247" s="5">
        <v>12</v>
      </c>
      <c r="BR247" s="5">
        <v>0</v>
      </c>
      <c r="BS247" s="5">
        <v>1</v>
      </c>
      <c r="BT247" s="5">
        <v>1</v>
      </c>
      <c r="BU247" s="5">
        <v>1</v>
      </c>
      <c r="BV247" s="5">
        <v>1</v>
      </c>
      <c r="BW247" s="5">
        <v>1</v>
      </c>
      <c r="BX247" s="5">
        <v>1</v>
      </c>
      <c r="BY247" s="5" t="s">
        <v>6</v>
      </c>
      <c r="BZ247" s="5">
        <v>0</v>
      </c>
      <c r="CA247" s="5">
        <v>0</v>
      </c>
      <c r="CB247" s="5" t="s">
        <v>6</v>
      </c>
      <c r="CC247" s="5"/>
      <c r="CD247" s="5"/>
      <c r="CE247" s="5">
        <v>0</v>
      </c>
      <c r="CF247" s="5">
        <v>0</v>
      </c>
      <c r="CG247" s="5">
        <v>0</v>
      </c>
      <c r="CH247" s="5"/>
      <c r="CI247" s="5"/>
      <c r="CJ247" s="5"/>
      <c r="CK247" s="5"/>
      <c r="CL247" s="5"/>
      <c r="CM247" s="5">
        <v>0</v>
      </c>
      <c r="CN247" s="5" t="s">
        <v>6</v>
      </c>
      <c r="CO247" s="5">
        <v>0</v>
      </c>
      <c r="CP247" s="5">
        <f>0</f>
        <v>0</v>
      </c>
      <c r="CQ247" s="5">
        <f>0</f>
        <v>0</v>
      </c>
      <c r="CR247" s="5">
        <f>0</f>
        <v>0</v>
      </c>
      <c r="CS247" s="5">
        <f>0</f>
        <v>0</v>
      </c>
      <c r="CT247" s="5">
        <f>0</f>
        <v>0</v>
      </c>
      <c r="CU247" s="5">
        <f>0</f>
        <v>0</v>
      </c>
      <c r="CV247" s="5">
        <f>0</f>
        <v>0</v>
      </c>
      <c r="CW247" s="5">
        <f>0</f>
        <v>0</v>
      </c>
      <c r="CX247" s="5">
        <f>0</f>
        <v>0</v>
      </c>
      <c r="CY247" s="5">
        <f>0</f>
        <v>0</v>
      </c>
      <c r="CZ247" s="5">
        <f>0</f>
        <v>0</v>
      </c>
      <c r="DA247" s="5"/>
      <c r="DB247" s="5"/>
      <c r="DC247" s="5" t="s">
        <v>6</v>
      </c>
      <c r="DD247" s="5" t="s">
        <v>170</v>
      </c>
      <c r="DE247" s="5" t="s">
        <v>6</v>
      </c>
      <c r="DF247" s="5" t="s">
        <v>6</v>
      </c>
      <c r="DG247" s="5" t="s">
        <v>6</v>
      </c>
      <c r="DH247" s="5" t="s">
        <v>6</v>
      </c>
      <c r="DI247" s="5" t="s">
        <v>6</v>
      </c>
      <c r="DJ247" s="5" t="s">
        <v>6</v>
      </c>
      <c r="DK247" s="5" t="s">
        <v>6</v>
      </c>
      <c r="DL247" s="5" t="s">
        <v>6</v>
      </c>
      <c r="DM247" s="5" t="s">
        <v>6</v>
      </c>
      <c r="DN247" s="5">
        <v>0</v>
      </c>
      <c r="DO247" s="5">
        <v>0</v>
      </c>
      <c r="DP247" s="5">
        <v>1</v>
      </c>
      <c r="DQ247" s="5">
        <v>1</v>
      </c>
      <c r="DR247" s="5"/>
      <c r="DS247" s="5"/>
      <c r="DT247" s="5"/>
      <c r="DU247" s="5">
        <v>1013</v>
      </c>
      <c r="DV247" s="5" t="s">
        <v>112</v>
      </c>
      <c r="DW247" s="5" t="s">
        <v>112</v>
      </c>
      <c r="DX247" s="5">
        <v>1</v>
      </c>
      <c r="DY247" s="5"/>
      <c r="DZ247" s="5" t="s">
        <v>6</v>
      </c>
      <c r="EA247" s="5" t="s">
        <v>6</v>
      </c>
      <c r="EB247" s="5" t="s">
        <v>6</v>
      </c>
      <c r="EC247" s="5" t="s">
        <v>6</v>
      </c>
      <c r="ED247" s="5"/>
      <c r="EE247" s="5">
        <v>72417318</v>
      </c>
      <c r="EF247" s="5">
        <v>12</v>
      </c>
      <c r="EG247" s="5" t="s">
        <v>113</v>
      </c>
      <c r="EH247" s="5">
        <v>0</v>
      </c>
      <c r="EI247" s="5" t="s">
        <v>6</v>
      </c>
      <c r="EJ247" s="5">
        <v>2</v>
      </c>
      <c r="EK247" s="5">
        <v>500002</v>
      </c>
      <c r="EL247" s="5" t="s">
        <v>114</v>
      </c>
      <c r="EM247" s="5" t="s">
        <v>115</v>
      </c>
      <c r="EN247" s="5"/>
      <c r="EO247" s="5" t="s">
        <v>6</v>
      </c>
      <c r="EP247" s="5"/>
      <c r="EQ247" s="5">
        <v>0</v>
      </c>
      <c r="ER247" s="5">
        <v>0</v>
      </c>
      <c r="ES247" s="5">
        <v>0</v>
      </c>
      <c r="ET247" s="5">
        <v>0</v>
      </c>
      <c r="EU247" s="5">
        <v>0</v>
      </c>
      <c r="EV247" s="5">
        <v>0</v>
      </c>
      <c r="EW247" s="5">
        <v>0</v>
      </c>
      <c r="EX247" s="5">
        <v>0</v>
      </c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>
        <v>0</v>
      </c>
      <c r="FR247" s="5">
        <v>0</v>
      </c>
      <c r="FS247" s="5">
        <v>0</v>
      </c>
      <c r="FT247" s="5"/>
      <c r="FU247" s="5"/>
      <c r="FV247" s="5"/>
      <c r="FW247" s="5"/>
      <c r="FX247" s="5">
        <v>0</v>
      </c>
      <c r="FY247" s="5">
        <v>0</v>
      </c>
      <c r="FZ247" s="5"/>
      <c r="GA247" s="5" t="s">
        <v>6</v>
      </c>
      <c r="GB247" s="5"/>
      <c r="GC247" s="5"/>
      <c r="GD247" s="5">
        <v>1</v>
      </c>
      <c r="GE247" s="5"/>
      <c r="GF247" s="5">
        <v>274903907</v>
      </c>
      <c r="GG247" s="5">
        <v>2</v>
      </c>
      <c r="GH247" s="5">
        <v>1</v>
      </c>
      <c r="GI247" s="5">
        <v>-2</v>
      </c>
      <c r="GJ247" s="5">
        <v>0</v>
      </c>
      <c r="GK247" s="5">
        <v>0</v>
      </c>
      <c r="GL247" s="5">
        <f t="shared" si="82"/>
        <v>0</v>
      </c>
      <c r="GM247" s="5">
        <f t="shared" si="83"/>
        <v>33.76</v>
      </c>
      <c r="GN247" s="5">
        <f t="shared" si="84"/>
        <v>0</v>
      </c>
      <c r="GO247" s="5">
        <f t="shared" si="85"/>
        <v>33.76</v>
      </c>
      <c r="GP247" s="5">
        <f t="shared" si="86"/>
        <v>0</v>
      </c>
      <c r="GQ247" s="5"/>
      <c r="GR247" s="5">
        <v>0</v>
      </c>
      <c r="GS247" s="5">
        <v>3</v>
      </c>
      <c r="GT247" s="5">
        <v>0</v>
      </c>
      <c r="GU247" s="5" t="s">
        <v>6</v>
      </c>
      <c r="GV247" s="5">
        <f t="shared" si="87"/>
        <v>0</v>
      </c>
      <c r="GW247" s="5">
        <v>1</v>
      </c>
      <c r="GX247" s="5">
        <f t="shared" si="88"/>
        <v>0</v>
      </c>
      <c r="GY247" s="5"/>
      <c r="GZ247" s="5"/>
      <c r="HA247" s="5">
        <v>0</v>
      </c>
      <c r="HB247" s="5">
        <v>0</v>
      </c>
      <c r="HC247" s="5">
        <f>0</f>
        <v>0</v>
      </c>
      <c r="HD247" s="5"/>
      <c r="HE247" s="5" t="s">
        <v>6</v>
      </c>
      <c r="HF247" s="5" t="s">
        <v>6</v>
      </c>
      <c r="HG247" s="5"/>
      <c r="HH247" s="5"/>
      <c r="HI247" s="5"/>
      <c r="HJ247" s="5"/>
      <c r="HK247" s="5"/>
      <c r="HL247" s="5"/>
      <c r="HM247" s="5" t="s">
        <v>6</v>
      </c>
      <c r="HN247" s="5" t="s">
        <v>6</v>
      </c>
      <c r="HO247" s="5" t="s">
        <v>6</v>
      </c>
      <c r="HP247" s="5" t="s">
        <v>6</v>
      </c>
      <c r="HQ247" s="5" t="s">
        <v>6</v>
      </c>
      <c r="HR247" s="5"/>
      <c r="HS247" s="5">
        <v>0</v>
      </c>
      <c r="HT247" s="5"/>
      <c r="HU247" s="5"/>
      <c r="HV247" s="5"/>
      <c r="HW247" s="5"/>
      <c r="HX247" s="5"/>
      <c r="HY247" s="5"/>
      <c r="HZ247" s="5"/>
      <c r="IA247" s="5"/>
      <c r="IB247" s="5"/>
      <c r="IC247" s="5"/>
      <c r="ID247" s="5"/>
      <c r="IE247" s="5"/>
      <c r="IF247" s="5"/>
      <c r="IG247" s="5"/>
      <c r="IH247" s="5"/>
      <c r="II247" s="5"/>
      <c r="IJ247" s="5"/>
      <c r="IK247" s="5">
        <v>0</v>
      </c>
      <c r="IL247" s="5"/>
      <c r="IM247" s="5"/>
      <c r="IN247" s="5"/>
      <c r="IO247" s="5"/>
      <c r="IP247" s="5"/>
      <c r="IQ247" s="5"/>
      <c r="IR247" s="5"/>
      <c r="IS247" s="5"/>
      <c r="IT247" s="5"/>
      <c r="IU247" s="5"/>
    </row>
    <row r="248" spans="1:255" x14ac:dyDescent="0.2">
      <c r="A248" s="5">
        <v>17</v>
      </c>
      <c r="B248" s="5">
        <v>1</v>
      </c>
      <c r="C248" s="5">
        <f>ROW(SmtRes!A34)</f>
        <v>34</v>
      </c>
      <c r="D248" s="5">
        <f>ROW(EtalonRes!A35)</f>
        <v>35</v>
      </c>
      <c r="E248" s="5" t="s">
        <v>177</v>
      </c>
      <c r="F248" s="5" t="s">
        <v>165</v>
      </c>
      <c r="G248" s="5" t="s">
        <v>166</v>
      </c>
      <c r="H248" s="5" t="s">
        <v>118</v>
      </c>
      <c r="I248" s="5">
        <f>ROUND(5,7)</f>
        <v>5</v>
      </c>
      <c r="J248" s="5">
        <v>0</v>
      </c>
      <c r="K248" s="5">
        <f>ROUND(5,7)</f>
        <v>5</v>
      </c>
      <c r="L248" s="5"/>
      <c r="M248" s="5"/>
      <c r="N248" s="5"/>
      <c r="O248" s="5">
        <f>ROUND(CP248,2)</f>
        <v>3046.83</v>
      </c>
      <c r="P248" s="5">
        <f>SUMIF(SmtRes!AQ28:'SmtRes'!AQ34,"=1",SmtRes!DF28:'SmtRes'!DF34)</f>
        <v>233.5</v>
      </c>
      <c r="Q248" s="5">
        <f>SUMIF(SmtRes!AQ28:'SmtRes'!AQ34,"=1",SmtRes!DG28:'SmtRes'!DG34)</f>
        <v>0</v>
      </c>
      <c r="R248" s="5">
        <f>SUMIF(SmtRes!AQ28:'SmtRes'!AQ34,"=1",SmtRes!DH28:'SmtRes'!DH34)</f>
        <v>0</v>
      </c>
      <c r="S248" s="5">
        <f>SUMIF(SmtRes!AQ28:'SmtRes'!AQ34,"=1",SmtRes!DI28:'SmtRes'!DI34)</f>
        <v>2813.33</v>
      </c>
      <c r="T248" s="5">
        <f t="shared" si="75"/>
        <v>0</v>
      </c>
      <c r="U248" s="5">
        <f>SUMIF(SmtRes!AQ28:'SmtRes'!AQ34,"=1",SmtRes!CV28:'SmtRes'!CV34)</f>
        <v>8.4</v>
      </c>
      <c r="V248" s="5">
        <f>SUMIF(SmtRes!AQ28:'SmtRes'!AQ34,"=1",SmtRes!CW28:'SmtRes'!CW34)</f>
        <v>0</v>
      </c>
      <c r="W248" s="5">
        <f t="shared" si="76"/>
        <v>0</v>
      </c>
      <c r="X248" s="5">
        <f t="shared" si="77"/>
        <v>2532</v>
      </c>
      <c r="Y248" s="5">
        <f t="shared" si="78"/>
        <v>1294.1300000000001</v>
      </c>
      <c r="Z248" s="5"/>
      <c r="AA248" s="5">
        <v>74850150</v>
      </c>
      <c r="AB248" s="5">
        <f t="shared" si="79"/>
        <v>596.95951600000001</v>
      </c>
      <c r="AC248" s="5">
        <f>ROUND((SUM(SmtRes!BQ28:'SmtRes'!BQ34)),6)</f>
        <v>34.293916000000003</v>
      </c>
      <c r="AD248" s="5">
        <f>ROUND((((0)-(0))+AE248),6)</f>
        <v>0</v>
      </c>
      <c r="AE248" s="5">
        <f>ROUND((0),6)</f>
        <v>0</v>
      </c>
      <c r="AF248" s="5">
        <f>ROUND((SUM(SmtRes!BT28:'SmtRes'!BT34)),6)</f>
        <v>562.66560000000004</v>
      </c>
      <c r="AG248" s="5">
        <f t="shared" si="80"/>
        <v>0</v>
      </c>
      <c r="AH248" s="5">
        <f>(SUM(SmtRes!BU28:'SmtRes'!BU34))</f>
        <v>1.68</v>
      </c>
      <c r="AI248" s="5">
        <f>(0)</f>
        <v>0</v>
      </c>
      <c r="AJ248" s="5">
        <f t="shared" si="81"/>
        <v>0</v>
      </c>
      <c r="AK248" s="5">
        <v>596.9595157</v>
      </c>
      <c r="AL248" s="5">
        <v>34.293915699999999</v>
      </c>
      <c r="AM248" s="5">
        <v>0</v>
      </c>
      <c r="AN248" s="5">
        <v>0</v>
      </c>
      <c r="AO248" s="5">
        <v>562.66560000000004</v>
      </c>
      <c r="AP248" s="5">
        <v>0</v>
      </c>
      <c r="AQ248" s="5">
        <v>1.68</v>
      </c>
      <c r="AR248" s="5">
        <v>0</v>
      </c>
      <c r="AS248" s="5">
        <v>0</v>
      </c>
      <c r="AT248" s="5">
        <v>90</v>
      </c>
      <c r="AU248" s="5">
        <v>46</v>
      </c>
      <c r="AV248" s="5">
        <v>1</v>
      </c>
      <c r="AW248" s="5">
        <v>1</v>
      </c>
      <c r="AX248" s="5"/>
      <c r="AY248" s="5"/>
      <c r="AZ248" s="5">
        <v>1</v>
      </c>
      <c r="BA248" s="5">
        <v>1</v>
      </c>
      <c r="BB248" s="5">
        <v>1</v>
      </c>
      <c r="BC248" s="5">
        <v>1</v>
      </c>
      <c r="BD248" s="5" t="s">
        <v>6</v>
      </c>
      <c r="BE248" s="5" t="s">
        <v>6</v>
      </c>
      <c r="BF248" s="5" t="s">
        <v>6</v>
      </c>
      <c r="BG248" s="5" t="s">
        <v>6</v>
      </c>
      <c r="BH248" s="5">
        <v>0</v>
      </c>
      <c r="BI248" s="5">
        <v>2</v>
      </c>
      <c r="BJ248" s="5" t="s">
        <v>167</v>
      </c>
      <c r="BK248" s="5"/>
      <c r="BL248" s="5"/>
      <c r="BM248" s="5">
        <v>110011</v>
      </c>
      <c r="BN248" s="5">
        <v>0</v>
      </c>
      <c r="BO248" s="5" t="s">
        <v>6</v>
      </c>
      <c r="BP248" s="5">
        <v>0</v>
      </c>
      <c r="BQ248" s="5">
        <v>3</v>
      </c>
      <c r="BR248" s="5">
        <v>0</v>
      </c>
      <c r="BS248" s="5">
        <v>1</v>
      </c>
      <c r="BT248" s="5">
        <v>1</v>
      </c>
      <c r="BU248" s="5">
        <v>1</v>
      </c>
      <c r="BV248" s="5">
        <v>1</v>
      </c>
      <c r="BW248" s="5">
        <v>1</v>
      </c>
      <c r="BX248" s="5">
        <v>1</v>
      </c>
      <c r="BY248" s="5" t="s">
        <v>6</v>
      </c>
      <c r="BZ248" s="5">
        <v>90</v>
      </c>
      <c r="CA248" s="5">
        <v>46</v>
      </c>
      <c r="CB248" s="5" t="s">
        <v>6</v>
      </c>
      <c r="CC248" s="5"/>
      <c r="CD248" s="5"/>
      <c r="CE248" s="5">
        <v>0</v>
      </c>
      <c r="CF248" s="5">
        <v>0</v>
      </c>
      <c r="CG248" s="5">
        <v>0</v>
      </c>
      <c r="CH248" s="5"/>
      <c r="CI248" s="5"/>
      <c r="CJ248" s="5"/>
      <c r="CK248" s="5"/>
      <c r="CL248" s="5"/>
      <c r="CM248" s="5">
        <v>0</v>
      </c>
      <c r="CN248" s="5" t="s">
        <v>6</v>
      </c>
      <c r="CO248" s="5">
        <v>0</v>
      </c>
      <c r="CP248" s="5">
        <f>(P248+Q248+S248+R248)</f>
        <v>3046.83</v>
      </c>
      <c r="CQ248" s="5">
        <f>SUMIF(SmtRes!AQ28:'SmtRes'!AQ34,"=1",SmtRes!AA28:'SmtRes'!AA34)</f>
        <v>9049.43</v>
      </c>
      <c r="CR248" s="5">
        <f>SUMIF(SmtRes!AQ28:'SmtRes'!AQ34,"=1",SmtRes!AB28:'SmtRes'!AB34)</f>
        <v>0</v>
      </c>
      <c r="CS248" s="5">
        <f>SUMIF(SmtRes!AQ28:'SmtRes'!AQ34,"=1",SmtRes!AC28:'SmtRes'!AC34)</f>
        <v>0</v>
      </c>
      <c r="CT248" s="5">
        <f>SUMIF(SmtRes!AQ28:'SmtRes'!AQ34,"=1",SmtRes!AD28:'SmtRes'!AD34)</f>
        <v>334.92</v>
      </c>
      <c r="CU248" s="5">
        <f>AG248</f>
        <v>0</v>
      </c>
      <c r="CV248" s="5">
        <f>SUMIF(SmtRes!AQ28:'SmtRes'!AQ34,"=1",SmtRes!BU28:'SmtRes'!BU34)</f>
        <v>1.68</v>
      </c>
      <c r="CW248" s="5">
        <f>SUMIF(SmtRes!AQ28:'SmtRes'!AQ34,"=1",SmtRes!BV28:'SmtRes'!BV34)</f>
        <v>0</v>
      </c>
      <c r="CX248" s="5">
        <f>AJ248</f>
        <v>0</v>
      </c>
      <c r="CY248" s="5">
        <f>(((S248+R248)*AT248)/100)</f>
        <v>2531.9969999999998</v>
      </c>
      <c r="CZ248" s="5">
        <f>(((S248+R248)*AU248)/100)</f>
        <v>1294.1317999999999</v>
      </c>
      <c r="DA248" s="5"/>
      <c r="DB248" s="5"/>
      <c r="DC248" s="5" t="s">
        <v>6</v>
      </c>
      <c r="DD248" s="5" t="s">
        <v>6</v>
      </c>
      <c r="DE248" s="5" t="s">
        <v>6</v>
      </c>
      <c r="DF248" s="5" t="s">
        <v>6</v>
      </c>
      <c r="DG248" s="5" t="s">
        <v>6</v>
      </c>
      <c r="DH248" s="5" t="s">
        <v>6</v>
      </c>
      <c r="DI248" s="5" t="s">
        <v>6</v>
      </c>
      <c r="DJ248" s="5" t="s">
        <v>6</v>
      </c>
      <c r="DK248" s="5" t="s">
        <v>6</v>
      </c>
      <c r="DL248" s="5" t="s">
        <v>6</v>
      </c>
      <c r="DM248" s="5" t="s">
        <v>6</v>
      </c>
      <c r="DN248" s="5">
        <v>0</v>
      </c>
      <c r="DO248" s="5">
        <v>0</v>
      </c>
      <c r="DP248" s="5">
        <v>1</v>
      </c>
      <c r="DQ248" s="5">
        <v>1</v>
      </c>
      <c r="DR248" s="5"/>
      <c r="DS248" s="5"/>
      <c r="DT248" s="5"/>
      <c r="DU248" s="5">
        <v>1013</v>
      </c>
      <c r="DV248" s="5" t="s">
        <v>118</v>
      </c>
      <c r="DW248" s="5" t="s">
        <v>118</v>
      </c>
      <c r="DX248" s="5">
        <v>1</v>
      </c>
      <c r="DY248" s="5"/>
      <c r="DZ248" s="5" t="s">
        <v>6</v>
      </c>
      <c r="EA248" s="5" t="s">
        <v>6</v>
      </c>
      <c r="EB248" s="5" t="s">
        <v>6</v>
      </c>
      <c r="EC248" s="5" t="s">
        <v>6</v>
      </c>
      <c r="ED248" s="5"/>
      <c r="EE248" s="5">
        <v>72417314</v>
      </c>
      <c r="EF248" s="5">
        <v>3</v>
      </c>
      <c r="EG248" s="5" t="s">
        <v>103</v>
      </c>
      <c r="EH248" s="5">
        <v>0</v>
      </c>
      <c r="EI248" s="5" t="s">
        <v>6</v>
      </c>
      <c r="EJ248" s="5">
        <v>2</v>
      </c>
      <c r="EK248" s="5">
        <v>110011</v>
      </c>
      <c r="EL248" s="5" t="s">
        <v>171</v>
      </c>
      <c r="EM248" s="5" t="s">
        <v>172</v>
      </c>
      <c r="EN248" s="5"/>
      <c r="EO248" s="5" t="s">
        <v>6</v>
      </c>
      <c r="EP248" s="5"/>
      <c r="EQ248" s="5">
        <v>0</v>
      </c>
      <c r="ER248" s="5">
        <v>0</v>
      </c>
      <c r="ES248" s="5">
        <v>0</v>
      </c>
      <c r="ET248" s="5">
        <v>0</v>
      </c>
      <c r="EU248" s="5">
        <v>0</v>
      </c>
      <c r="EV248" s="5">
        <v>0</v>
      </c>
      <c r="EW248" s="5">
        <v>1.68</v>
      </c>
      <c r="EX248" s="5">
        <v>0</v>
      </c>
      <c r="EY248" s="5">
        <v>0</v>
      </c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>
        <v>0</v>
      </c>
      <c r="FR248" s="5">
        <v>0</v>
      </c>
      <c r="FS248" s="5">
        <v>0</v>
      </c>
      <c r="FT248" s="5"/>
      <c r="FU248" s="5"/>
      <c r="FV248" s="5"/>
      <c r="FW248" s="5"/>
      <c r="FX248" s="5">
        <v>90</v>
      </c>
      <c r="FY248" s="5">
        <v>46</v>
      </c>
      <c r="FZ248" s="5"/>
      <c r="GA248" s="5" t="s">
        <v>6</v>
      </c>
      <c r="GB248" s="5"/>
      <c r="GC248" s="5"/>
      <c r="GD248" s="5">
        <v>1</v>
      </c>
      <c r="GE248" s="5"/>
      <c r="GF248" s="5">
        <v>-1195527718</v>
      </c>
      <c r="GG248" s="5">
        <v>2</v>
      </c>
      <c r="GH248" s="5">
        <v>1</v>
      </c>
      <c r="GI248" s="5">
        <v>-2</v>
      </c>
      <c r="GJ248" s="5">
        <v>0</v>
      </c>
      <c r="GK248" s="5">
        <v>0</v>
      </c>
      <c r="GL248" s="5">
        <f t="shared" si="82"/>
        <v>0</v>
      </c>
      <c r="GM248" s="5">
        <f t="shared" si="83"/>
        <v>6872.96</v>
      </c>
      <c r="GN248" s="5">
        <f t="shared" si="84"/>
        <v>0</v>
      </c>
      <c r="GO248" s="5">
        <f t="shared" si="85"/>
        <v>6872.96</v>
      </c>
      <c r="GP248" s="5">
        <f t="shared" si="86"/>
        <v>0</v>
      </c>
      <c r="GQ248" s="5"/>
      <c r="GR248" s="5">
        <v>0</v>
      </c>
      <c r="GS248" s="5">
        <v>3</v>
      </c>
      <c r="GT248" s="5">
        <v>0</v>
      </c>
      <c r="GU248" s="5" t="s">
        <v>6</v>
      </c>
      <c r="GV248" s="5">
        <f t="shared" si="87"/>
        <v>0</v>
      </c>
      <c r="GW248" s="5">
        <v>1</v>
      </c>
      <c r="GX248" s="5">
        <f t="shared" si="88"/>
        <v>0</v>
      </c>
      <c r="GY248" s="5"/>
      <c r="GZ248" s="5"/>
      <c r="HA248" s="5">
        <v>0</v>
      </c>
      <c r="HB248" s="5">
        <v>0</v>
      </c>
      <c r="HC248" s="5">
        <f>GV248*GW248</f>
        <v>0</v>
      </c>
      <c r="HD248" s="5"/>
      <c r="HE248" s="5" t="s">
        <v>6</v>
      </c>
      <c r="HF248" s="5" t="s">
        <v>6</v>
      </c>
      <c r="HG248" s="5"/>
      <c r="HH248" s="5"/>
      <c r="HI248" s="5"/>
      <c r="HJ248" s="5"/>
      <c r="HK248" s="5"/>
      <c r="HL248" s="5"/>
      <c r="HM248" s="5" t="s">
        <v>6</v>
      </c>
      <c r="HN248" s="5" t="s">
        <v>174</v>
      </c>
      <c r="HO248" s="5" t="s">
        <v>175</v>
      </c>
      <c r="HP248" s="5" t="s">
        <v>171</v>
      </c>
      <c r="HQ248" s="5" t="s">
        <v>171</v>
      </c>
      <c r="HR248" s="5"/>
      <c r="HS248" s="5">
        <v>0</v>
      </c>
      <c r="HT248" s="5"/>
      <c r="HU248" s="5"/>
      <c r="HV248" s="5"/>
      <c r="HW248" s="5"/>
      <c r="HX248" s="5"/>
      <c r="HY248" s="5"/>
      <c r="HZ248" s="5"/>
      <c r="IA248" s="5"/>
      <c r="IB248" s="5"/>
      <c r="IC248" s="5"/>
      <c r="ID248" s="5"/>
      <c r="IE248" s="5"/>
      <c r="IF248" s="5"/>
      <c r="IG248" s="5"/>
      <c r="IH248" s="5"/>
      <c r="II248" s="5"/>
      <c r="IJ248" s="5"/>
      <c r="IK248" s="5">
        <v>0</v>
      </c>
      <c r="IL248" s="5"/>
      <c r="IM248" s="5"/>
      <c r="IN248" s="5"/>
      <c r="IO248" s="5"/>
      <c r="IP248" s="5"/>
      <c r="IQ248" s="5"/>
      <c r="IR248" s="5"/>
      <c r="IS248" s="5"/>
      <c r="IT248" s="5"/>
      <c r="IU248" s="5"/>
    </row>
    <row r="249" spans="1:255" x14ac:dyDescent="0.2">
      <c r="A249" s="5">
        <v>18</v>
      </c>
      <c r="B249" s="5">
        <v>1</v>
      </c>
      <c r="C249" s="5">
        <v>34</v>
      </c>
      <c r="D249" s="5"/>
      <c r="E249" s="5" t="s">
        <v>178</v>
      </c>
      <c r="F249" s="5" t="s">
        <v>110</v>
      </c>
      <c r="G249" s="5" t="s">
        <v>111</v>
      </c>
      <c r="H249" s="5" t="s">
        <v>112</v>
      </c>
      <c r="I249" s="5">
        <f>J249</f>
        <v>2</v>
      </c>
      <c r="J249" s="5">
        <v>2</v>
      </c>
      <c r="K249" s="5">
        <v>2</v>
      </c>
      <c r="L249" s="5"/>
      <c r="M249" s="5"/>
      <c r="N249" s="5"/>
      <c r="O249" s="5">
        <f>ROUND(P249,2)</f>
        <v>56.27</v>
      </c>
      <c r="P249" s="5">
        <f>ROUND(ROUND(ROUND(SUMIF(SmtRes!AQ28:'SmtRes'!AQ34,"=1",SmtRes!CU28:'SmtRes'!CU34),2),2)*I249/100,2)</f>
        <v>56.27</v>
      </c>
      <c r="Q249" s="5">
        <f>ROUND(CR249*I249,2)</f>
        <v>0</v>
      </c>
      <c r="R249" s="5">
        <f>ROUND(CS249*I249,2)</f>
        <v>0</v>
      </c>
      <c r="S249" s="5">
        <f>ROUND(CT249*I249,2)</f>
        <v>0</v>
      </c>
      <c r="T249" s="5">
        <f t="shared" si="75"/>
        <v>0</v>
      </c>
      <c r="U249" s="5">
        <f>ROUND(CV249*I249,7)</f>
        <v>0</v>
      </c>
      <c r="V249" s="5">
        <f>ROUND(CW249*I249,7)</f>
        <v>0</v>
      </c>
      <c r="W249" s="5">
        <f t="shared" si="76"/>
        <v>0</v>
      </c>
      <c r="X249" s="5">
        <f t="shared" si="77"/>
        <v>0</v>
      </c>
      <c r="Y249" s="5">
        <f t="shared" si="78"/>
        <v>0</v>
      </c>
      <c r="Z249" s="5"/>
      <c r="AA249" s="5">
        <v>74850150</v>
      </c>
      <c r="AB249" s="5">
        <f t="shared" si="79"/>
        <v>0</v>
      </c>
      <c r="AC249" s="5">
        <f>ROUND((ES249),6)</f>
        <v>0</v>
      </c>
      <c r="AD249" s="5">
        <f>ROUND((((ET249)-(EU249))+AE249),6)</f>
        <v>0</v>
      </c>
      <c r="AE249" s="5">
        <f>ROUND((EU249),6)</f>
        <v>0</v>
      </c>
      <c r="AF249" s="5">
        <f>ROUND((EV249),6)</f>
        <v>0</v>
      </c>
      <c r="AG249" s="5">
        <f t="shared" si="80"/>
        <v>0</v>
      </c>
      <c r="AH249" s="5">
        <f>(EW249)</f>
        <v>0</v>
      </c>
      <c r="AI249" s="5">
        <f>(EX249)</f>
        <v>0</v>
      </c>
      <c r="AJ249" s="5">
        <f t="shared" si="81"/>
        <v>0</v>
      </c>
      <c r="AK249" s="5">
        <v>0</v>
      </c>
      <c r="AL249" s="5">
        <v>0</v>
      </c>
      <c r="AM249" s="5">
        <v>0</v>
      </c>
      <c r="AN249" s="5">
        <v>0</v>
      </c>
      <c r="AO249" s="5">
        <v>0</v>
      </c>
      <c r="AP249" s="5">
        <v>0</v>
      </c>
      <c r="AQ249" s="5">
        <v>0</v>
      </c>
      <c r="AR249" s="5">
        <v>0</v>
      </c>
      <c r="AS249" s="5">
        <v>0</v>
      </c>
      <c r="AT249" s="5">
        <v>0</v>
      </c>
      <c r="AU249" s="5">
        <v>0</v>
      </c>
      <c r="AV249" s="5">
        <v>1</v>
      </c>
      <c r="AW249" s="5">
        <v>1</v>
      </c>
      <c r="AX249" s="5"/>
      <c r="AY249" s="5"/>
      <c r="AZ249" s="5">
        <v>1</v>
      </c>
      <c r="BA249" s="5">
        <v>1</v>
      </c>
      <c r="BB249" s="5">
        <v>1</v>
      </c>
      <c r="BC249" s="5">
        <v>1</v>
      </c>
      <c r="BD249" s="5" t="s">
        <v>6</v>
      </c>
      <c r="BE249" s="5" t="s">
        <v>6</v>
      </c>
      <c r="BF249" s="5" t="s">
        <v>6</v>
      </c>
      <c r="BG249" s="5" t="s">
        <v>6</v>
      </c>
      <c r="BH249" s="5">
        <v>3</v>
      </c>
      <c r="BI249" s="5">
        <v>2</v>
      </c>
      <c r="BJ249" s="5" t="s">
        <v>6</v>
      </c>
      <c r="BK249" s="5"/>
      <c r="BL249" s="5"/>
      <c r="BM249" s="5">
        <v>500002</v>
      </c>
      <c r="BN249" s="5">
        <v>0</v>
      </c>
      <c r="BO249" s="5" t="s">
        <v>6</v>
      </c>
      <c r="BP249" s="5">
        <v>0</v>
      </c>
      <c r="BQ249" s="5">
        <v>12</v>
      </c>
      <c r="BR249" s="5">
        <v>0</v>
      </c>
      <c r="BS249" s="5">
        <v>1</v>
      </c>
      <c r="BT249" s="5">
        <v>1</v>
      </c>
      <c r="BU249" s="5">
        <v>1</v>
      </c>
      <c r="BV249" s="5">
        <v>1</v>
      </c>
      <c r="BW249" s="5">
        <v>1</v>
      </c>
      <c r="BX249" s="5">
        <v>1</v>
      </c>
      <c r="BY249" s="5" t="s">
        <v>6</v>
      </c>
      <c r="BZ249" s="5">
        <v>0</v>
      </c>
      <c r="CA249" s="5">
        <v>0</v>
      </c>
      <c r="CB249" s="5" t="s">
        <v>6</v>
      </c>
      <c r="CC249" s="5"/>
      <c r="CD249" s="5"/>
      <c r="CE249" s="5">
        <v>0</v>
      </c>
      <c r="CF249" s="5">
        <v>0</v>
      </c>
      <c r="CG249" s="5">
        <v>0</v>
      </c>
      <c r="CH249" s="5"/>
      <c r="CI249" s="5"/>
      <c r="CJ249" s="5"/>
      <c r="CK249" s="5"/>
      <c r="CL249" s="5"/>
      <c r="CM249" s="5">
        <v>0</v>
      </c>
      <c r="CN249" s="5" t="s">
        <v>6</v>
      </c>
      <c r="CO249" s="5">
        <v>0</v>
      </c>
      <c r="CP249" s="5">
        <f>0</f>
        <v>0</v>
      </c>
      <c r="CQ249" s="5">
        <f>0</f>
        <v>0</v>
      </c>
      <c r="CR249" s="5">
        <f>0</f>
        <v>0</v>
      </c>
      <c r="CS249" s="5">
        <f>0</f>
        <v>0</v>
      </c>
      <c r="CT249" s="5">
        <f>0</f>
        <v>0</v>
      </c>
      <c r="CU249" s="5">
        <f>0</f>
        <v>0</v>
      </c>
      <c r="CV249" s="5">
        <f>0</f>
        <v>0</v>
      </c>
      <c r="CW249" s="5">
        <f>0</f>
        <v>0</v>
      </c>
      <c r="CX249" s="5">
        <f>0</f>
        <v>0</v>
      </c>
      <c r="CY249" s="5">
        <f>0</f>
        <v>0</v>
      </c>
      <c r="CZ249" s="5">
        <f>0</f>
        <v>0</v>
      </c>
      <c r="DA249" s="5"/>
      <c r="DB249" s="5"/>
      <c r="DC249" s="5" t="s">
        <v>6</v>
      </c>
      <c r="DD249" s="5" t="s">
        <v>6</v>
      </c>
      <c r="DE249" s="5" t="s">
        <v>6</v>
      </c>
      <c r="DF249" s="5" t="s">
        <v>6</v>
      </c>
      <c r="DG249" s="5" t="s">
        <v>6</v>
      </c>
      <c r="DH249" s="5" t="s">
        <v>6</v>
      </c>
      <c r="DI249" s="5" t="s">
        <v>6</v>
      </c>
      <c r="DJ249" s="5" t="s">
        <v>6</v>
      </c>
      <c r="DK249" s="5" t="s">
        <v>6</v>
      </c>
      <c r="DL249" s="5" t="s">
        <v>6</v>
      </c>
      <c r="DM249" s="5" t="s">
        <v>6</v>
      </c>
      <c r="DN249" s="5">
        <v>0</v>
      </c>
      <c r="DO249" s="5">
        <v>0</v>
      </c>
      <c r="DP249" s="5">
        <v>1</v>
      </c>
      <c r="DQ249" s="5">
        <v>1</v>
      </c>
      <c r="DR249" s="5"/>
      <c r="DS249" s="5"/>
      <c r="DT249" s="5"/>
      <c r="DU249" s="5">
        <v>1013</v>
      </c>
      <c r="DV249" s="5" t="s">
        <v>112</v>
      </c>
      <c r="DW249" s="5" t="s">
        <v>112</v>
      </c>
      <c r="DX249" s="5">
        <v>1</v>
      </c>
      <c r="DY249" s="5"/>
      <c r="DZ249" s="5" t="s">
        <v>6</v>
      </c>
      <c r="EA249" s="5" t="s">
        <v>6</v>
      </c>
      <c r="EB249" s="5" t="s">
        <v>6</v>
      </c>
      <c r="EC249" s="5" t="s">
        <v>6</v>
      </c>
      <c r="ED249" s="5"/>
      <c r="EE249" s="5">
        <v>72417318</v>
      </c>
      <c r="EF249" s="5">
        <v>12</v>
      </c>
      <c r="EG249" s="5" t="s">
        <v>113</v>
      </c>
      <c r="EH249" s="5">
        <v>0</v>
      </c>
      <c r="EI249" s="5" t="s">
        <v>6</v>
      </c>
      <c r="EJ249" s="5">
        <v>2</v>
      </c>
      <c r="EK249" s="5">
        <v>500002</v>
      </c>
      <c r="EL249" s="5" t="s">
        <v>114</v>
      </c>
      <c r="EM249" s="5" t="s">
        <v>115</v>
      </c>
      <c r="EN249" s="5"/>
      <c r="EO249" s="5" t="s">
        <v>6</v>
      </c>
      <c r="EP249" s="5"/>
      <c r="EQ249" s="5">
        <v>0</v>
      </c>
      <c r="ER249" s="5">
        <v>0</v>
      </c>
      <c r="ES249" s="5">
        <v>0</v>
      </c>
      <c r="ET249" s="5">
        <v>0</v>
      </c>
      <c r="EU249" s="5">
        <v>0</v>
      </c>
      <c r="EV249" s="5">
        <v>0</v>
      </c>
      <c r="EW249" s="5">
        <v>0</v>
      </c>
      <c r="EX249" s="5">
        <v>0</v>
      </c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>
        <v>0</v>
      </c>
      <c r="FR249" s="5">
        <v>0</v>
      </c>
      <c r="FS249" s="5">
        <v>0</v>
      </c>
      <c r="FT249" s="5"/>
      <c r="FU249" s="5"/>
      <c r="FV249" s="5"/>
      <c r="FW249" s="5"/>
      <c r="FX249" s="5">
        <v>0</v>
      </c>
      <c r="FY249" s="5">
        <v>0</v>
      </c>
      <c r="FZ249" s="5"/>
      <c r="GA249" s="5" t="s">
        <v>6</v>
      </c>
      <c r="GB249" s="5"/>
      <c r="GC249" s="5"/>
      <c r="GD249" s="5">
        <v>1</v>
      </c>
      <c r="GE249" s="5"/>
      <c r="GF249" s="5">
        <v>274903907</v>
      </c>
      <c r="GG249" s="5">
        <v>2</v>
      </c>
      <c r="GH249" s="5">
        <v>1</v>
      </c>
      <c r="GI249" s="5">
        <v>-2</v>
      </c>
      <c r="GJ249" s="5">
        <v>0</v>
      </c>
      <c r="GK249" s="5">
        <v>0</v>
      </c>
      <c r="GL249" s="5">
        <f t="shared" si="82"/>
        <v>0</v>
      </c>
      <c r="GM249" s="5">
        <f t="shared" si="83"/>
        <v>56.27</v>
      </c>
      <c r="GN249" s="5">
        <f t="shared" si="84"/>
        <v>0</v>
      </c>
      <c r="GO249" s="5">
        <f t="shared" si="85"/>
        <v>56.27</v>
      </c>
      <c r="GP249" s="5">
        <f t="shared" si="86"/>
        <v>0</v>
      </c>
      <c r="GQ249" s="5"/>
      <c r="GR249" s="5">
        <v>0</v>
      </c>
      <c r="GS249" s="5">
        <v>3</v>
      </c>
      <c r="GT249" s="5">
        <v>0</v>
      </c>
      <c r="GU249" s="5" t="s">
        <v>6</v>
      </c>
      <c r="GV249" s="5">
        <f t="shared" si="87"/>
        <v>0</v>
      </c>
      <c r="GW249" s="5">
        <v>1</v>
      </c>
      <c r="GX249" s="5">
        <f t="shared" si="88"/>
        <v>0</v>
      </c>
      <c r="GY249" s="5"/>
      <c r="GZ249" s="5"/>
      <c r="HA249" s="5">
        <v>0</v>
      </c>
      <c r="HB249" s="5">
        <v>0</v>
      </c>
      <c r="HC249" s="5">
        <f>0</f>
        <v>0</v>
      </c>
      <c r="HD249" s="5"/>
      <c r="HE249" s="5" t="s">
        <v>6</v>
      </c>
      <c r="HF249" s="5" t="s">
        <v>6</v>
      </c>
      <c r="HG249" s="5"/>
      <c r="HH249" s="5"/>
      <c r="HI249" s="5"/>
      <c r="HJ249" s="5"/>
      <c r="HK249" s="5"/>
      <c r="HL249" s="5"/>
      <c r="HM249" s="5" t="s">
        <v>6</v>
      </c>
      <c r="HN249" s="5" t="s">
        <v>6</v>
      </c>
      <c r="HO249" s="5" t="s">
        <v>6</v>
      </c>
      <c r="HP249" s="5" t="s">
        <v>6</v>
      </c>
      <c r="HQ249" s="5" t="s">
        <v>6</v>
      </c>
      <c r="HR249" s="5"/>
      <c r="HS249" s="5">
        <v>0</v>
      </c>
      <c r="HT249" s="5"/>
      <c r="HU249" s="5"/>
      <c r="HV249" s="5"/>
      <c r="HW249" s="5"/>
      <c r="HX249" s="5"/>
      <c r="HY249" s="5"/>
      <c r="HZ249" s="5"/>
      <c r="IA249" s="5"/>
      <c r="IB249" s="5"/>
      <c r="IC249" s="5"/>
      <c r="ID249" s="5"/>
      <c r="IE249" s="5"/>
      <c r="IF249" s="5"/>
      <c r="IG249" s="5"/>
      <c r="IH249" s="5"/>
      <c r="II249" s="5"/>
      <c r="IJ249" s="5"/>
      <c r="IK249" s="5">
        <v>0</v>
      </c>
      <c r="IL249" s="5"/>
      <c r="IM249" s="5"/>
      <c r="IN249" s="5"/>
      <c r="IO249" s="5"/>
      <c r="IP249" s="5"/>
      <c r="IQ249" s="5"/>
      <c r="IR249" s="5"/>
      <c r="IS249" s="5"/>
      <c r="IT249" s="5"/>
      <c r="IU249" s="5"/>
    </row>
    <row r="251" spans="1:255" x14ac:dyDescent="0.2">
      <c r="A251" s="2">
        <v>51</v>
      </c>
      <c r="B251" s="2">
        <f>B228</f>
        <v>1</v>
      </c>
      <c r="C251" s="2">
        <f>A228</f>
        <v>4</v>
      </c>
      <c r="D251" s="2">
        <f>ROW(A228)</f>
        <v>228</v>
      </c>
      <c r="E251" s="2"/>
      <c r="F251" s="2" t="str">
        <f>IF(F228&lt;&gt;"",F228,"")</f>
        <v>16</v>
      </c>
      <c r="G251" s="2" t="str">
        <f>IF(G228&lt;&gt;"",G228,"")</f>
        <v>Помещения 74-78 (3 этаж)</v>
      </c>
      <c r="H251" s="2">
        <v>0</v>
      </c>
      <c r="I251" s="2"/>
      <c r="J251" s="2"/>
      <c r="K251" s="2"/>
      <c r="L251" s="2"/>
      <c r="M251" s="2"/>
      <c r="N251" s="2"/>
      <c r="O251" s="2">
        <f t="shared" ref="O251:T251" si="100">ROUND(AB251,2)</f>
        <v>49316.7</v>
      </c>
      <c r="P251" s="2">
        <f t="shared" si="100"/>
        <v>42159.96</v>
      </c>
      <c r="Q251" s="2">
        <f t="shared" si="100"/>
        <v>130.9</v>
      </c>
      <c r="R251" s="2">
        <f t="shared" si="100"/>
        <v>10.39</v>
      </c>
      <c r="S251" s="2">
        <f t="shared" si="100"/>
        <v>7015.45</v>
      </c>
      <c r="T251" s="2">
        <f t="shared" si="100"/>
        <v>0</v>
      </c>
      <c r="U251" s="2">
        <f>AH251</f>
        <v>21.243079999999999</v>
      </c>
      <c r="V251" s="2">
        <f>AI251</f>
        <v>3.0199999999999998E-2</v>
      </c>
      <c r="W251" s="2">
        <f>ROUND(AJ251,2)</f>
        <v>0</v>
      </c>
      <c r="X251" s="2">
        <f>ROUND(AK251,2)</f>
        <v>6511.19</v>
      </c>
      <c r="Y251" s="2">
        <f>ROUND(AL251,2)</f>
        <v>3397.31</v>
      </c>
      <c r="Z251" s="2"/>
      <c r="AA251" s="2"/>
      <c r="AB251" s="2">
        <f>ROUND(SUMIF(AA232:AA249,"=74850150",O232:O249),2)</f>
        <v>49316.7</v>
      </c>
      <c r="AC251" s="2">
        <f>ROUND(SUMIF(AA232:AA249,"=74850150",P232:P249),2)</f>
        <v>42159.96</v>
      </c>
      <c r="AD251" s="2">
        <f>ROUND(SUMIF(AA232:AA249,"=74850150",Q232:Q249),2)</f>
        <v>130.9</v>
      </c>
      <c r="AE251" s="2">
        <f>ROUND(SUMIF(AA232:AA249,"=74850150",R232:R249),2)</f>
        <v>10.39</v>
      </c>
      <c r="AF251" s="2">
        <f>ROUND(SUMIF(AA232:AA249,"=74850150",S232:S249),2)</f>
        <v>7015.45</v>
      </c>
      <c r="AG251" s="2">
        <f>ROUND(SUMIF(AA232:AA249,"=74850150",T232:T249),2)</f>
        <v>0</v>
      </c>
      <c r="AH251" s="2">
        <f>SUMIF(AA232:AA249,"=74850150",U232:U249)</f>
        <v>21.243079999999999</v>
      </c>
      <c r="AI251" s="2">
        <f>SUMIF(AA232:AA249,"=74850150",V232:V249)</f>
        <v>3.0199999999999998E-2</v>
      </c>
      <c r="AJ251" s="2">
        <f>ROUND(SUMIF(AA232:AA249,"=74850150",W232:W249),2)</f>
        <v>0</v>
      </c>
      <c r="AK251" s="2">
        <f>ROUND(SUMIF(AA232:AA249,"=74850150",X232:X249),2)</f>
        <v>6511.19</v>
      </c>
      <c r="AL251" s="2">
        <f>ROUND(SUMIF(AA232:AA249,"=74850150",Y232:Y249),2)</f>
        <v>3397.31</v>
      </c>
      <c r="AM251" s="2"/>
      <c r="AN251" s="2"/>
      <c r="AO251" s="2">
        <f t="shared" ref="AO251:BD251" si="101">ROUND(BX251,2)</f>
        <v>0</v>
      </c>
      <c r="AP251" s="2">
        <f t="shared" si="101"/>
        <v>0</v>
      </c>
      <c r="AQ251" s="2">
        <f t="shared" si="101"/>
        <v>0</v>
      </c>
      <c r="AR251" s="2">
        <f t="shared" si="101"/>
        <v>59225.2</v>
      </c>
      <c r="AS251" s="2">
        <f t="shared" si="101"/>
        <v>3029.44</v>
      </c>
      <c r="AT251" s="2">
        <f t="shared" si="101"/>
        <v>56195.76</v>
      </c>
      <c r="AU251" s="2">
        <f t="shared" si="101"/>
        <v>0</v>
      </c>
      <c r="AV251" s="2">
        <f t="shared" si="101"/>
        <v>42159.96</v>
      </c>
      <c r="AW251" s="2">
        <f t="shared" si="101"/>
        <v>42159.96</v>
      </c>
      <c r="AX251" s="2">
        <f t="shared" si="101"/>
        <v>0</v>
      </c>
      <c r="AY251" s="2">
        <f t="shared" si="101"/>
        <v>42159.96</v>
      </c>
      <c r="AZ251" s="2">
        <f t="shared" si="101"/>
        <v>0</v>
      </c>
      <c r="BA251" s="2">
        <f t="shared" si="101"/>
        <v>0</v>
      </c>
      <c r="BB251" s="2">
        <f t="shared" si="101"/>
        <v>0</v>
      </c>
      <c r="BC251" s="2">
        <f t="shared" si="101"/>
        <v>0</v>
      </c>
      <c r="BD251" s="2">
        <f t="shared" si="101"/>
        <v>0</v>
      </c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>
        <f>ROUND(SUMIF(AA232:AA249,"=74850150",FQ232:FQ249),2)</f>
        <v>0</v>
      </c>
      <c r="BY251" s="2">
        <f>ROUND(SUMIF(AA232:AA249,"=74850150",FR232:FR249),2)</f>
        <v>0</v>
      </c>
      <c r="BZ251" s="2">
        <f>ROUND(SUMIF(AA232:AA249,"=74850150",GL232:GL249),2)</f>
        <v>0</v>
      </c>
      <c r="CA251" s="2">
        <f>ROUND(SUMIF(AA232:AA249,"=74850150",GM232:GM249),2)</f>
        <v>59225.2</v>
      </c>
      <c r="CB251" s="2">
        <f>ROUND(SUMIF(AA232:AA249,"=74850150",GN232:GN249),2)</f>
        <v>3029.44</v>
      </c>
      <c r="CC251" s="2">
        <f>ROUND(SUMIF(AA232:AA249,"=74850150",GO232:GO249),2)</f>
        <v>56195.76</v>
      </c>
      <c r="CD251" s="2">
        <f>ROUND(SUMIF(AA232:AA249,"=74850150",GP232:GP249),2)</f>
        <v>0</v>
      </c>
      <c r="CE251" s="2">
        <f>AC251-BX251</f>
        <v>42159.96</v>
      </c>
      <c r="CF251" s="2">
        <f>AC251-BY251</f>
        <v>42159.96</v>
      </c>
      <c r="CG251" s="2">
        <f>BX251-BZ251</f>
        <v>0</v>
      </c>
      <c r="CH251" s="2">
        <f>AC251-BX251-BY251+BZ251</f>
        <v>42159.96</v>
      </c>
      <c r="CI251" s="2">
        <f>BY251-BZ251</f>
        <v>0</v>
      </c>
      <c r="CJ251" s="2">
        <f>ROUND(SUMIF(AA232:AA249,"=74850150",GX232:GX249),2)</f>
        <v>0</v>
      </c>
      <c r="CK251" s="2">
        <f>ROUND(SUMIF(AA232:AA249,"=74850150",GY232:GY249),2)</f>
        <v>0</v>
      </c>
      <c r="CL251" s="2">
        <f>ROUND(SUMIF(AA232:AA249,"=74850150",GZ232:GZ249),2)</f>
        <v>0</v>
      </c>
      <c r="CM251" s="2">
        <f>ROUND(SUMIF(AA232:AA249,"=74850150",HD232:HD249),2)</f>
        <v>0</v>
      </c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>
        <v>0</v>
      </c>
    </row>
    <row r="253" spans="1:255" x14ac:dyDescent="0.2">
      <c r="A253" s="4">
        <v>50</v>
      </c>
      <c r="B253" s="4">
        <v>0</v>
      </c>
      <c r="C253" s="4">
        <v>0</v>
      </c>
      <c r="D253" s="4">
        <v>1</v>
      </c>
      <c r="E253" s="4">
        <v>201</v>
      </c>
      <c r="F253" s="4">
        <f>ROUND(Source!O251,O253)</f>
        <v>49316.7</v>
      </c>
      <c r="G253" s="4" t="s">
        <v>22</v>
      </c>
      <c r="H253" s="4" t="s">
        <v>23</v>
      </c>
      <c r="I253" s="4"/>
      <c r="J253" s="4"/>
      <c r="K253" s="4">
        <v>201</v>
      </c>
      <c r="L253" s="4">
        <v>1</v>
      </c>
      <c r="M253" s="4">
        <v>3</v>
      </c>
      <c r="N253" s="4" t="s">
        <v>6</v>
      </c>
      <c r="O253" s="4">
        <v>2</v>
      </c>
      <c r="P253" s="4"/>
      <c r="Q253" s="4"/>
      <c r="R253" s="4"/>
      <c r="S253" s="4"/>
      <c r="T253" s="4"/>
      <c r="U253" s="4"/>
      <c r="V253" s="4"/>
      <c r="W253" s="4">
        <v>49316.7</v>
      </c>
      <c r="X253" s="4">
        <v>1</v>
      </c>
      <c r="Y253" s="4">
        <v>49316.7</v>
      </c>
      <c r="Z253" s="4"/>
      <c r="AA253" s="4"/>
      <c r="AB253" s="4"/>
    </row>
    <row r="254" spans="1:255" x14ac:dyDescent="0.2">
      <c r="A254" s="4">
        <v>50</v>
      </c>
      <c r="B254" s="4">
        <v>0</v>
      </c>
      <c r="C254" s="4">
        <v>0</v>
      </c>
      <c r="D254" s="4">
        <v>1</v>
      </c>
      <c r="E254" s="4">
        <v>202</v>
      </c>
      <c r="F254" s="4">
        <f>ROUND(Source!P251,O254)</f>
        <v>42159.96</v>
      </c>
      <c r="G254" s="4" t="s">
        <v>24</v>
      </c>
      <c r="H254" s="4" t="s">
        <v>25</v>
      </c>
      <c r="I254" s="4"/>
      <c r="J254" s="4"/>
      <c r="K254" s="4">
        <v>202</v>
      </c>
      <c r="L254" s="4">
        <v>2</v>
      </c>
      <c r="M254" s="4">
        <v>3</v>
      </c>
      <c r="N254" s="4" t="s">
        <v>6</v>
      </c>
      <c r="O254" s="4">
        <v>2</v>
      </c>
      <c r="P254" s="4"/>
      <c r="Q254" s="4"/>
      <c r="R254" s="4"/>
      <c r="S254" s="4"/>
      <c r="T254" s="4"/>
      <c r="U254" s="4"/>
      <c r="V254" s="4"/>
      <c r="W254" s="4">
        <v>42159.96</v>
      </c>
      <c r="X254" s="4">
        <v>1</v>
      </c>
      <c r="Y254" s="4">
        <v>42159.96</v>
      </c>
      <c r="Z254" s="4"/>
      <c r="AA254" s="4"/>
      <c r="AB254" s="4"/>
    </row>
    <row r="255" spans="1:255" x14ac:dyDescent="0.2">
      <c r="A255" s="4">
        <v>50</v>
      </c>
      <c r="B255" s="4">
        <v>0</v>
      </c>
      <c r="C255" s="4">
        <v>0</v>
      </c>
      <c r="D255" s="4">
        <v>1</v>
      </c>
      <c r="E255" s="4">
        <v>222</v>
      </c>
      <c r="F255" s="4">
        <f>ROUND(Source!AO251,O255)</f>
        <v>0</v>
      </c>
      <c r="G255" s="4" t="s">
        <v>26</v>
      </c>
      <c r="H255" s="4" t="s">
        <v>27</v>
      </c>
      <c r="I255" s="4"/>
      <c r="J255" s="4"/>
      <c r="K255" s="4">
        <v>222</v>
      </c>
      <c r="L255" s="4">
        <v>3</v>
      </c>
      <c r="M255" s="4">
        <v>3</v>
      </c>
      <c r="N255" s="4" t="s">
        <v>6</v>
      </c>
      <c r="O255" s="4">
        <v>2</v>
      </c>
      <c r="P255" s="4"/>
      <c r="Q255" s="4"/>
      <c r="R255" s="4"/>
      <c r="S255" s="4"/>
      <c r="T255" s="4"/>
      <c r="U255" s="4"/>
      <c r="V255" s="4"/>
      <c r="W255" s="4">
        <v>0</v>
      </c>
      <c r="X255" s="4">
        <v>1</v>
      </c>
      <c r="Y255" s="4">
        <v>0</v>
      </c>
      <c r="Z255" s="4"/>
      <c r="AA255" s="4"/>
      <c r="AB255" s="4"/>
    </row>
    <row r="256" spans="1:255" x14ac:dyDescent="0.2">
      <c r="A256" s="4">
        <v>50</v>
      </c>
      <c r="B256" s="4">
        <v>0</v>
      </c>
      <c r="C256" s="4">
        <v>0</v>
      </c>
      <c r="D256" s="4">
        <v>1</v>
      </c>
      <c r="E256" s="4">
        <v>225</v>
      </c>
      <c r="F256" s="4">
        <f>ROUND(Source!AV251,O256)</f>
        <v>42159.96</v>
      </c>
      <c r="G256" s="4" t="s">
        <v>28</v>
      </c>
      <c r="H256" s="4" t="s">
        <v>29</v>
      </c>
      <c r="I256" s="4"/>
      <c r="J256" s="4"/>
      <c r="K256" s="4">
        <v>225</v>
      </c>
      <c r="L256" s="4">
        <v>4</v>
      </c>
      <c r="M256" s="4">
        <v>3</v>
      </c>
      <c r="N256" s="4" t="s">
        <v>6</v>
      </c>
      <c r="O256" s="4">
        <v>2</v>
      </c>
      <c r="P256" s="4"/>
      <c r="Q256" s="4"/>
      <c r="R256" s="4"/>
      <c r="S256" s="4"/>
      <c r="T256" s="4"/>
      <c r="U256" s="4"/>
      <c r="V256" s="4"/>
      <c r="W256" s="4">
        <v>42159.96</v>
      </c>
      <c r="X256" s="4">
        <v>1</v>
      </c>
      <c r="Y256" s="4">
        <v>42159.96</v>
      </c>
      <c r="Z256" s="4"/>
      <c r="AA256" s="4"/>
      <c r="AB256" s="4"/>
    </row>
    <row r="257" spans="1:28" x14ac:dyDescent="0.2">
      <c r="A257" s="4">
        <v>50</v>
      </c>
      <c r="B257" s="4">
        <v>0</v>
      </c>
      <c r="C257" s="4">
        <v>0</v>
      </c>
      <c r="D257" s="4">
        <v>1</v>
      </c>
      <c r="E257" s="4">
        <v>226</v>
      </c>
      <c r="F257" s="4">
        <f>ROUND(Source!AW251,O257)</f>
        <v>42159.96</v>
      </c>
      <c r="G257" s="4" t="s">
        <v>30</v>
      </c>
      <c r="H257" s="4" t="s">
        <v>31</v>
      </c>
      <c r="I257" s="4"/>
      <c r="J257" s="4"/>
      <c r="K257" s="4">
        <v>226</v>
      </c>
      <c r="L257" s="4">
        <v>5</v>
      </c>
      <c r="M257" s="4">
        <v>3</v>
      </c>
      <c r="N257" s="4" t="s">
        <v>6</v>
      </c>
      <c r="O257" s="4">
        <v>2</v>
      </c>
      <c r="P257" s="4"/>
      <c r="Q257" s="4"/>
      <c r="R257" s="4"/>
      <c r="S257" s="4"/>
      <c r="T257" s="4"/>
      <c r="U257" s="4"/>
      <c r="V257" s="4"/>
      <c r="W257" s="4">
        <v>42159.96</v>
      </c>
      <c r="X257" s="4">
        <v>1</v>
      </c>
      <c r="Y257" s="4">
        <v>42159.96</v>
      </c>
      <c r="Z257" s="4"/>
      <c r="AA257" s="4"/>
      <c r="AB257" s="4"/>
    </row>
    <row r="258" spans="1:28" x14ac:dyDescent="0.2">
      <c r="A258" s="4">
        <v>50</v>
      </c>
      <c r="B258" s="4">
        <v>0</v>
      </c>
      <c r="C258" s="4">
        <v>0</v>
      </c>
      <c r="D258" s="4">
        <v>1</v>
      </c>
      <c r="E258" s="4">
        <v>227</v>
      </c>
      <c r="F258" s="4">
        <f>ROUND(Source!AX251,O258)</f>
        <v>0</v>
      </c>
      <c r="G258" s="4" t="s">
        <v>32</v>
      </c>
      <c r="H258" s="4" t="s">
        <v>33</v>
      </c>
      <c r="I258" s="4"/>
      <c r="J258" s="4"/>
      <c r="K258" s="4">
        <v>227</v>
      </c>
      <c r="L258" s="4">
        <v>6</v>
      </c>
      <c r="M258" s="4">
        <v>3</v>
      </c>
      <c r="N258" s="4" t="s">
        <v>6</v>
      </c>
      <c r="O258" s="4">
        <v>2</v>
      </c>
      <c r="P258" s="4"/>
      <c r="Q258" s="4"/>
      <c r="R258" s="4"/>
      <c r="S258" s="4"/>
      <c r="T258" s="4"/>
      <c r="U258" s="4"/>
      <c r="V258" s="4"/>
      <c r="W258" s="4">
        <v>0</v>
      </c>
      <c r="X258" s="4">
        <v>1</v>
      </c>
      <c r="Y258" s="4">
        <v>0</v>
      </c>
      <c r="Z258" s="4"/>
      <c r="AA258" s="4"/>
      <c r="AB258" s="4"/>
    </row>
    <row r="259" spans="1:28" x14ac:dyDescent="0.2">
      <c r="A259" s="4">
        <v>50</v>
      </c>
      <c r="B259" s="4">
        <v>0</v>
      </c>
      <c r="C259" s="4">
        <v>0</v>
      </c>
      <c r="D259" s="4">
        <v>1</v>
      </c>
      <c r="E259" s="4">
        <v>228</v>
      </c>
      <c r="F259" s="4">
        <f>ROUND(Source!AY251,O259)</f>
        <v>42159.96</v>
      </c>
      <c r="G259" s="4" t="s">
        <v>34</v>
      </c>
      <c r="H259" s="4" t="s">
        <v>35</v>
      </c>
      <c r="I259" s="4"/>
      <c r="J259" s="4"/>
      <c r="K259" s="4">
        <v>228</v>
      </c>
      <c r="L259" s="4">
        <v>7</v>
      </c>
      <c r="M259" s="4">
        <v>3</v>
      </c>
      <c r="N259" s="4" t="s">
        <v>6</v>
      </c>
      <c r="O259" s="4">
        <v>2</v>
      </c>
      <c r="P259" s="4"/>
      <c r="Q259" s="4"/>
      <c r="R259" s="4"/>
      <c r="S259" s="4"/>
      <c r="T259" s="4"/>
      <c r="U259" s="4"/>
      <c r="V259" s="4"/>
      <c r="W259" s="4">
        <v>42159.96</v>
      </c>
      <c r="X259" s="4">
        <v>1</v>
      </c>
      <c r="Y259" s="4">
        <v>42159.96</v>
      </c>
      <c r="Z259" s="4"/>
      <c r="AA259" s="4"/>
      <c r="AB259" s="4"/>
    </row>
    <row r="260" spans="1:28" x14ac:dyDescent="0.2">
      <c r="A260" s="4">
        <v>50</v>
      </c>
      <c r="B260" s="4">
        <v>0</v>
      </c>
      <c r="C260" s="4">
        <v>0</v>
      </c>
      <c r="D260" s="4">
        <v>1</v>
      </c>
      <c r="E260" s="4">
        <v>216</v>
      </c>
      <c r="F260" s="4">
        <f>ROUND(Source!AP251,O260)</f>
        <v>0</v>
      </c>
      <c r="G260" s="4" t="s">
        <v>36</v>
      </c>
      <c r="H260" s="4" t="s">
        <v>37</v>
      </c>
      <c r="I260" s="4"/>
      <c r="J260" s="4"/>
      <c r="K260" s="4">
        <v>216</v>
      </c>
      <c r="L260" s="4">
        <v>8</v>
      </c>
      <c r="M260" s="4">
        <v>3</v>
      </c>
      <c r="N260" s="4" t="s">
        <v>6</v>
      </c>
      <c r="O260" s="4">
        <v>2</v>
      </c>
      <c r="P260" s="4"/>
      <c r="Q260" s="4"/>
      <c r="R260" s="4"/>
      <c r="S260" s="4"/>
      <c r="T260" s="4"/>
      <c r="U260" s="4"/>
      <c r="V260" s="4"/>
      <c r="W260" s="4">
        <v>0</v>
      </c>
      <c r="X260" s="4">
        <v>1</v>
      </c>
      <c r="Y260" s="4">
        <v>0</v>
      </c>
      <c r="Z260" s="4"/>
      <c r="AA260" s="4"/>
      <c r="AB260" s="4"/>
    </row>
    <row r="261" spans="1:28" x14ac:dyDescent="0.2">
      <c r="A261" s="4">
        <v>50</v>
      </c>
      <c r="B261" s="4">
        <v>0</v>
      </c>
      <c r="C261" s="4">
        <v>0</v>
      </c>
      <c r="D261" s="4">
        <v>1</v>
      </c>
      <c r="E261" s="4">
        <v>223</v>
      </c>
      <c r="F261" s="4">
        <f>ROUND(Source!AQ251,O261)</f>
        <v>0</v>
      </c>
      <c r="G261" s="4" t="s">
        <v>38</v>
      </c>
      <c r="H261" s="4" t="s">
        <v>39</v>
      </c>
      <c r="I261" s="4"/>
      <c r="J261" s="4"/>
      <c r="K261" s="4">
        <v>223</v>
      </c>
      <c r="L261" s="4">
        <v>9</v>
      </c>
      <c r="M261" s="4">
        <v>3</v>
      </c>
      <c r="N261" s="4" t="s">
        <v>6</v>
      </c>
      <c r="O261" s="4">
        <v>2</v>
      </c>
      <c r="P261" s="4"/>
      <c r="Q261" s="4"/>
      <c r="R261" s="4"/>
      <c r="S261" s="4"/>
      <c r="T261" s="4"/>
      <c r="U261" s="4"/>
      <c r="V261" s="4"/>
      <c r="W261" s="4">
        <v>0</v>
      </c>
      <c r="X261" s="4">
        <v>1</v>
      </c>
      <c r="Y261" s="4">
        <v>0</v>
      </c>
      <c r="Z261" s="4"/>
      <c r="AA261" s="4"/>
      <c r="AB261" s="4"/>
    </row>
    <row r="262" spans="1:28" x14ac:dyDescent="0.2">
      <c r="A262" s="4">
        <v>50</v>
      </c>
      <c r="B262" s="4">
        <v>0</v>
      </c>
      <c r="C262" s="4">
        <v>0</v>
      </c>
      <c r="D262" s="4">
        <v>1</v>
      </c>
      <c r="E262" s="4">
        <v>229</v>
      </c>
      <c r="F262" s="4">
        <f>ROUND(Source!AZ251,O262)</f>
        <v>0</v>
      </c>
      <c r="G262" s="4" t="s">
        <v>40</v>
      </c>
      <c r="H262" s="4" t="s">
        <v>41</v>
      </c>
      <c r="I262" s="4"/>
      <c r="J262" s="4"/>
      <c r="K262" s="4">
        <v>229</v>
      </c>
      <c r="L262" s="4">
        <v>10</v>
      </c>
      <c r="M262" s="4">
        <v>3</v>
      </c>
      <c r="N262" s="4" t="s">
        <v>6</v>
      </c>
      <c r="O262" s="4">
        <v>2</v>
      </c>
      <c r="P262" s="4"/>
      <c r="Q262" s="4"/>
      <c r="R262" s="4"/>
      <c r="S262" s="4"/>
      <c r="T262" s="4"/>
      <c r="U262" s="4"/>
      <c r="V262" s="4"/>
      <c r="W262" s="4">
        <v>0</v>
      </c>
      <c r="X262" s="4">
        <v>1</v>
      </c>
      <c r="Y262" s="4">
        <v>0</v>
      </c>
      <c r="Z262" s="4"/>
      <c r="AA262" s="4"/>
      <c r="AB262" s="4"/>
    </row>
    <row r="263" spans="1:28" x14ac:dyDescent="0.2">
      <c r="A263" s="4">
        <v>50</v>
      </c>
      <c r="B263" s="4">
        <v>0</v>
      </c>
      <c r="C263" s="4">
        <v>0</v>
      </c>
      <c r="D263" s="4">
        <v>1</v>
      </c>
      <c r="E263" s="4">
        <v>203</v>
      </c>
      <c r="F263" s="4">
        <f>ROUND(Source!Q251,O263)</f>
        <v>130.9</v>
      </c>
      <c r="G263" s="4" t="s">
        <v>42</v>
      </c>
      <c r="H263" s="4" t="s">
        <v>43</v>
      </c>
      <c r="I263" s="4"/>
      <c r="J263" s="4"/>
      <c r="K263" s="4">
        <v>203</v>
      </c>
      <c r="L263" s="4">
        <v>11</v>
      </c>
      <c r="M263" s="4">
        <v>3</v>
      </c>
      <c r="N263" s="4" t="s">
        <v>6</v>
      </c>
      <c r="O263" s="4">
        <v>2</v>
      </c>
      <c r="P263" s="4"/>
      <c r="Q263" s="4"/>
      <c r="R263" s="4"/>
      <c r="S263" s="4"/>
      <c r="T263" s="4"/>
      <c r="U263" s="4"/>
      <c r="V263" s="4"/>
      <c r="W263" s="4">
        <v>130.89999999999998</v>
      </c>
      <c r="X263" s="4">
        <v>1</v>
      </c>
      <c r="Y263" s="4">
        <v>130.89999999999998</v>
      </c>
      <c r="Z263" s="4"/>
      <c r="AA263" s="4"/>
      <c r="AB263" s="4"/>
    </row>
    <row r="264" spans="1:28" x14ac:dyDescent="0.2">
      <c r="A264" s="4">
        <v>50</v>
      </c>
      <c r="B264" s="4">
        <v>0</v>
      </c>
      <c r="C264" s="4">
        <v>0</v>
      </c>
      <c r="D264" s="4">
        <v>1</v>
      </c>
      <c r="E264" s="4">
        <v>231</v>
      </c>
      <c r="F264" s="4">
        <f>ROUND(Source!BB251,O264)</f>
        <v>0</v>
      </c>
      <c r="G264" s="4" t="s">
        <v>44</v>
      </c>
      <c r="H264" s="4" t="s">
        <v>45</v>
      </c>
      <c r="I264" s="4"/>
      <c r="J264" s="4"/>
      <c r="K264" s="4">
        <v>231</v>
      </c>
      <c r="L264" s="4">
        <v>12</v>
      </c>
      <c r="M264" s="4">
        <v>3</v>
      </c>
      <c r="N264" s="4" t="s">
        <v>6</v>
      </c>
      <c r="O264" s="4">
        <v>2</v>
      </c>
      <c r="P264" s="4"/>
      <c r="Q264" s="4"/>
      <c r="R264" s="4"/>
      <c r="S264" s="4"/>
      <c r="T264" s="4"/>
      <c r="U264" s="4"/>
      <c r="V264" s="4"/>
      <c r="W264" s="4">
        <v>0</v>
      </c>
      <c r="X264" s="4">
        <v>1</v>
      </c>
      <c r="Y264" s="4">
        <v>0</v>
      </c>
      <c r="Z264" s="4"/>
      <c r="AA264" s="4"/>
      <c r="AB264" s="4"/>
    </row>
    <row r="265" spans="1:28" x14ac:dyDescent="0.2">
      <c r="A265" s="4">
        <v>50</v>
      </c>
      <c r="B265" s="4">
        <v>0</v>
      </c>
      <c r="C265" s="4">
        <v>0</v>
      </c>
      <c r="D265" s="4">
        <v>1</v>
      </c>
      <c r="E265" s="4">
        <v>204</v>
      </c>
      <c r="F265" s="4">
        <f>ROUND(Source!R251,O265)</f>
        <v>10.39</v>
      </c>
      <c r="G265" s="4" t="s">
        <v>46</v>
      </c>
      <c r="H265" s="4" t="s">
        <v>47</v>
      </c>
      <c r="I265" s="4"/>
      <c r="J265" s="4"/>
      <c r="K265" s="4">
        <v>204</v>
      </c>
      <c r="L265" s="4">
        <v>13</v>
      </c>
      <c r="M265" s="4">
        <v>3</v>
      </c>
      <c r="N265" s="4" t="s">
        <v>6</v>
      </c>
      <c r="O265" s="4">
        <v>2</v>
      </c>
      <c r="P265" s="4"/>
      <c r="Q265" s="4"/>
      <c r="R265" s="4"/>
      <c r="S265" s="4"/>
      <c r="T265" s="4"/>
      <c r="U265" s="4"/>
      <c r="V265" s="4"/>
      <c r="W265" s="4">
        <v>10.389999999999999</v>
      </c>
      <c r="X265" s="4">
        <v>1</v>
      </c>
      <c r="Y265" s="4">
        <v>10.389999999999999</v>
      </c>
      <c r="Z265" s="4"/>
      <c r="AA265" s="4"/>
      <c r="AB265" s="4"/>
    </row>
    <row r="266" spans="1:28" x14ac:dyDescent="0.2">
      <c r="A266" s="4">
        <v>50</v>
      </c>
      <c r="B266" s="4">
        <v>0</v>
      </c>
      <c r="C266" s="4">
        <v>0</v>
      </c>
      <c r="D266" s="4">
        <v>1</v>
      </c>
      <c r="E266" s="4">
        <v>205</v>
      </c>
      <c r="F266" s="4">
        <f>ROUND(Source!S251,O266)</f>
        <v>7015.45</v>
      </c>
      <c r="G266" s="4" t="s">
        <v>48</v>
      </c>
      <c r="H266" s="4" t="s">
        <v>49</v>
      </c>
      <c r="I266" s="4"/>
      <c r="J266" s="4"/>
      <c r="K266" s="4">
        <v>205</v>
      </c>
      <c r="L266" s="4">
        <v>14</v>
      </c>
      <c r="M266" s="4">
        <v>3</v>
      </c>
      <c r="N266" s="4" t="s">
        <v>6</v>
      </c>
      <c r="O266" s="4">
        <v>2</v>
      </c>
      <c r="P266" s="4"/>
      <c r="Q266" s="4"/>
      <c r="R266" s="4"/>
      <c r="S266" s="4"/>
      <c r="T266" s="4"/>
      <c r="U266" s="4"/>
      <c r="V266" s="4"/>
      <c r="W266" s="4">
        <v>7015.4500000000007</v>
      </c>
      <c r="X266" s="4">
        <v>1</v>
      </c>
      <c r="Y266" s="4">
        <v>7015.4500000000007</v>
      </c>
      <c r="Z266" s="4"/>
      <c r="AA266" s="4"/>
      <c r="AB266" s="4"/>
    </row>
    <row r="267" spans="1:28" x14ac:dyDescent="0.2">
      <c r="A267" s="4">
        <v>50</v>
      </c>
      <c r="B267" s="4">
        <v>0</v>
      </c>
      <c r="C267" s="4">
        <v>0</v>
      </c>
      <c r="D267" s="4">
        <v>1</v>
      </c>
      <c r="E267" s="4">
        <v>232</v>
      </c>
      <c r="F267" s="4">
        <f>ROUND(Source!BC251,O267)</f>
        <v>0</v>
      </c>
      <c r="G267" s="4" t="s">
        <v>50</v>
      </c>
      <c r="H267" s="4" t="s">
        <v>51</v>
      </c>
      <c r="I267" s="4"/>
      <c r="J267" s="4"/>
      <c r="K267" s="4">
        <v>232</v>
      </c>
      <c r="L267" s="4">
        <v>15</v>
      </c>
      <c r="M267" s="4">
        <v>3</v>
      </c>
      <c r="N267" s="4" t="s">
        <v>6</v>
      </c>
      <c r="O267" s="4">
        <v>2</v>
      </c>
      <c r="P267" s="4"/>
      <c r="Q267" s="4"/>
      <c r="R267" s="4"/>
      <c r="S267" s="4"/>
      <c r="T267" s="4"/>
      <c r="U267" s="4"/>
      <c r="V267" s="4"/>
      <c r="W267" s="4">
        <v>0</v>
      </c>
      <c r="X267" s="4">
        <v>1</v>
      </c>
      <c r="Y267" s="4">
        <v>0</v>
      </c>
      <c r="Z267" s="4"/>
      <c r="AA267" s="4"/>
      <c r="AB267" s="4"/>
    </row>
    <row r="268" spans="1:28" x14ac:dyDescent="0.2">
      <c r="A268" s="4">
        <v>50</v>
      </c>
      <c r="B268" s="4">
        <v>0</v>
      </c>
      <c r="C268" s="4">
        <v>0</v>
      </c>
      <c r="D268" s="4">
        <v>1</v>
      </c>
      <c r="E268" s="4">
        <v>214</v>
      </c>
      <c r="F268" s="4">
        <f>ROUND(Source!AS251,O268)</f>
        <v>3029.44</v>
      </c>
      <c r="G268" s="4" t="s">
        <v>52</v>
      </c>
      <c r="H268" s="4" t="s">
        <v>53</v>
      </c>
      <c r="I268" s="4"/>
      <c r="J268" s="4"/>
      <c r="K268" s="4">
        <v>214</v>
      </c>
      <c r="L268" s="4">
        <v>16</v>
      </c>
      <c r="M268" s="4">
        <v>3</v>
      </c>
      <c r="N268" s="4" t="s">
        <v>6</v>
      </c>
      <c r="O268" s="4">
        <v>2</v>
      </c>
      <c r="P268" s="4"/>
      <c r="Q268" s="4"/>
      <c r="R268" s="4"/>
      <c r="S268" s="4"/>
      <c r="T268" s="4"/>
      <c r="U268" s="4"/>
      <c r="V268" s="4"/>
      <c r="W268" s="4">
        <v>3029.44</v>
      </c>
      <c r="X268" s="4">
        <v>1</v>
      </c>
      <c r="Y268" s="4">
        <v>3029.44</v>
      </c>
      <c r="Z268" s="4"/>
      <c r="AA268" s="4"/>
      <c r="AB268" s="4"/>
    </row>
    <row r="269" spans="1:28" x14ac:dyDescent="0.2">
      <c r="A269" s="4">
        <v>50</v>
      </c>
      <c r="B269" s="4">
        <v>0</v>
      </c>
      <c r="C269" s="4">
        <v>0</v>
      </c>
      <c r="D269" s="4">
        <v>1</v>
      </c>
      <c r="E269" s="4">
        <v>215</v>
      </c>
      <c r="F269" s="4">
        <f>ROUND(Source!AT251,O269)</f>
        <v>56195.76</v>
      </c>
      <c r="G269" s="4" t="s">
        <v>54</v>
      </c>
      <c r="H269" s="4" t="s">
        <v>55</v>
      </c>
      <c r="I269" s="4"/>
      <c r="J269" s="4"/>
      <c r="K269" s="4">
        <v>215</v>
      </c>
      <c r="L269" s="4">
        <v>17</v>
      </c>
      <c r="M269" s="4">
        <v>3</v>
      </c>
      <c r="N269" s="4" t="s">
        <v>6</v>
      </c>
      <c r="O269" s="4">
        <v>2</v>
      </c>
      <c r="P269" s="4"/>
      <c r="Q269" s="4"/>
      <c r="R269" s="4"/>
      <c r="S269" s="4"/>
      <c r="T269" s="4"/>
      <c r="U269" s="4"/>
      <c r="V269" s="4"/>
      <c r="W269" s="4">
        <v>56195.76</v>
      </c>
      <c r="X269" s="4">
        <v>1</v>
      </c>
      <c r="Y269" s="4">
        <v>56195.76</v>
      </c>
      <c r="Z269" s="4"/>
      <c r="AA269" s="4"/>
      <c r="AB269" s="4"/>
    </row>
    <row r="270" spans="1:28" x14ac:dyDescent="0.2">
      <c r="A270" s="4">
        <v>50</v>
      </c>
      <c r="B270" s="4">
        <v>0</v>
      </c>
      <c r="C270" s="4">
        <v>0</v>
      </c>
      <c r="D270" s="4">
        <v>1</v>
      </c>
      <c r="E270" s="4">
        <v>217</v>
      </c>
      <c r="F270" s="4">
        <f>ROUND(Source!AU251,O270)</f>
        <v>0</v>
      </c>
      <c r="G270" s="4" t="s">
        <v>56</v>
      </c>
      <c r="H270" s="4" t="s">
        <v>57</v>
      </c>
      <c r="I270" s="4"/>
      <c r="J270" s="4"/>
      <c r="K270" s="4">
        <v>217</v>
      </c>
      <c r="L270" s="4">
        <v>18</v>
      </c>
      <c r="M270" s="4">
        <v>3</v>
      </c>
      <c r="N270" s="4" t="s">
        <v>6</v>
      </c>
      <c r="O270" s="4">
        <v>2</v>
      </c>
      <c r="P270" s="4"/>
      <c r="Q270" s="4"/>
      <c r="R270" s="4"/>
      <c r="S270" s="4"/>
      <c r="T270" s="4"/>
      <c r="U270" s="4"/>
      <c r="V270" s="4"/>
      <c r="W270" s="4">
        <v>0</v>
      </c>
      <c r="X270" s="4">
        <v>1</v>
      </c>
      <c r="Y270" s="4">
        <v>0</v>
      </c>
      <c r="Z270" s="4"/>
      <c r="AA270" s="4"/>
      <c r="AB270" s="4"/>
    </row>
    <row r="271" spans="1:28" x14ac:dyDescent="0.2">
      <c r="A271" s="4">
        <v>50</v>
      </c>
      <c r="B271" s="4">
        <v>0</v>
      </c>
      <c r="C271" s="4">
        <v>0</v>
      </c>
      <c r="D271" s="4">
        <v>1</v>
      </c>
      <c r="E271" s="4">
        <v>230</v>
      </c>
      <c r="F271" s="4">
        <f>ROUND(Source!BA251,O271)</f>
        <v>0</v>
      </c>
      <c r="G271" s="4" t="s">
        <v>58</v>
      </c>
      <c r="H271" s="4" t="s">
        <v>59</v>
      </c>
      <c r="I271" s="4"/>
      <c r="J271" s="4"/>
      <c r="K271" s="4">
        <v>230</v>
      </c>
      <c r="L271" s="4">
        <v>19</v>
      </c>
      <c r="M271" s="4">
        <v>3</v>
      </c>
      <c r="N271" s="4" t="s">
        <v>6</v>
      </c>
      <c r="O271" s="4">
        <v>2</v>
      </c>
      <c r="P271" s="4"/>
      <c r="Q271" s="4"/>
      <c r="R271" s="4"/>
      <c r="S271" s="4"/>
      <c r="T271" s="4"/>
      <c r="U271" s="4"/>
      <c r="V271" s="4"/>
      <c r="W271" s="4">
        <v>0</v>
      </c>
      <c r="X271" s="4">
        <v>1</v>
      </c>
      <c r="Y271" s="4">
        <v>0</v>
      </c>
      <c r="Z271" s="4"/>
      <c r="AA271" s="4"/>
      <c r="AB271" s="4"/>
    </row>
    <row r="272" spans="1:28" x14ac:dyDescent="0.2">
      <c r="A272" s="4">
        <v>50</v>
      </c>
      <c r="B272" s="4">
        <v>0</v>
      </c>
      <c r="C272" s="4">
        <v>0</v>
      </c>
      <c r="D272" s="4">
        <v>1</v>
      </c>
      <c r="E272" s="4">
        <v>206</v>
      </c>
      <c r="F272" s="4">
        <f>ROUND(Source!T251,O272)</f>
        <v>0</v>
      </c>
      <c r="G272" s="4" t="s">
        <v>60</v>
      </c>
      <c r="H272" s="4" t="s">
        <v>61</v>
      </c>
      <c r="I272" s="4"/>
      <c r="J272" s="4"/>
      <c r="K272" s="4">
        <v>206</v>
      </c>
      <c r="L272" s="4">
        <v>20</v>
      </c>
      <c r="M272" s="4">
        <v>3</v>
      </c>
      <c r="N272" s="4" t="s">
        <v>6</v>
      </c>
      <c r="O272" s="4">
        <v>2</v>
      </c>
      <c r="P272" s="4"/>
      <c r="Q272" s="4"/>
      <c r="R272" s="4"/>
      <c r="S272" s="4"/>
      <c r="T272" s="4"/>
      <c r="U272" s="4"/>
      <c r="V272" s="4"/>
      <c r="W272" s="4">
        <v>0</v>
      </c>
      <c r="X272" s="4">
        <v>1</v>
      </c>
      <c r="Y272" s="4">
        <v>0</v>
      </c>
      <c r="Z272" s="4"/>
      <c r="AA272" s="4"/>
      <c r="AB272" s="4"/>
    </row>
    <row r="273" spans="1:206" x14ac:dyDescent="0.2">
      <c r="A273" s="4">
        <v>50</v>
      </c>
      <c r="B273" s="4">
        <v>0</v>
      </c>
      <c r="C273" s="4">
        <v>0</v>
      </c>
      <c r="D273" s="4">
        <v>1</v>
      </c>
      <c r="E273" s="4">
        <v>207</v>
      </c>
      <c r="F273" s="4">
        <f>ROUND(Source!U251,O273)</f>
        <v>21.243079999999999</v>
      </c>
      <c r="G273" s="4" t="s">
        <v>62</v>
      </c>
      <c r="H273" s="4" t="s">
        <v>63</v>
      </c>
      <c r="I273" s="4"/>
      <c r="J273" s="4"/>
      <c r="K273" s="4">
        <v>207</v>
      </c>
      <c r="L273" s="4">
        <v>21</v>
      </c>
      <c r="M273" s="4">
        <v>3</v>
      </c>
      <c r="N273" s="4" t="s">
        <v>6</v>
      </c>
      <c r="O273" s="4">
        <v>7</v>
      </c>
      <c r="P273" s="4"/>
      <c r="Q273" s="4"/>
      <c r="R273" s="4"/>
      <c r="S273" s="4"/>
      <c r="T273" s="4"/>
      <c r="U273" s="4"/>
      <c r="V273" s="4"/>
      <c r="W273" s="4">
        <v>21.243079999999999</v>
      </c>
      <c r="X273" s="4">
        <v>1</v>
      </c>
      <c r="Y273" s="4">
        <v>21.243079999999999</v>
      </c>
      <c r="Z273" s="4"/>
      <c r="AA273" s="4"/>
      <c r="AB273" s="4"/>
    </row>
    <row r="274" spans="1:206" x14ac:dyDescent="0.2">
      <c r="A274" s="4">
        <v>50</v>
      </c>
      <c r="B274" s="4">
        <v>0</v>
      </c>
      <c r="C274" s="4">
        <v>0</v>
      </c>
      <c r="D274" s="4">
        <v>1</v>
      </c>
      <c r="E274" s="4">
        <v>208</v>
      </c>
      <c r="F274" s="4">
        <f>ROUND(Source!V251,O274)</f>
        <v>3.0200000000000001E-2</v>
      </c>
      <c r="G274" s="4" t="s">
        <v>64</v>
      </c>
      <c r="H274" s="4" t="s">
        <v>65</v>
      </c>
      <c r="I274" s="4"/>
      <c r="J274" s="4"/>
      <c r="K274" s="4">
        <v>208</v>
      </c>
      <c r="L274" s="4">
        <v>22</v>
      </c>
      <c r="M274" s="4">
        <v>3</v>
      </c>
      <c r="N274" s="4" t="s">
        <v>6</v>
      </c>
      <c r="O274" s="4">
        <v>7</v>
      </c>
      <c r="P274" s="4"/>
      <c r="Q274" s="4"/>
      <c r="R274" s="4"/>
      <c r="S274" s="4"/>
      <c r="T274" s="4"/>
      <c r="U274" s="4"/>
      <c r="V274" s="4"/>
      <c r="W274" s="4">
        <v>3.0200000000000001E-2</v>
      </c>
      <c r="X274" s="4">
        <v>1</v>
      </c>
      <c r="Y274" s="4">
        <v>3.0200000000000001E-2</v>
      </c>
      <c r="Z274" s="4"/>
      <c r="AA274" s="4"/>
      <c r="AB274" s="4"/>
    </row>
    <row r="275" spans="1:206" x14ac:dyDescent="0.2">
      <c r="A275" s="4">
        <v>50</v>
      </c>
      <c r="B275" s="4">
        <v>0</v>
      </c>
      <c r="C275" s="4">
        <v>0</v>
      </c>
      <c r="D275" s="4">
        <v>1</v>
      </c>
      <c r="E275" s="4">
        <v>209</v>
      </c>
      <c r="F275" s="4">
        <f>ROUND(Source!W251,O275)</f>
        <v>0</v>
      </c>
      <c r="G275" s="4" t="s">
        <v>66</v>
      </c>
      <c r="H275" s="4" t="s">
        <v>67</v>
      </c>
      <c r="I275" s="4"/>
      <c r="J275" s="4"/>
      <c r="K275" s="4">
        <v>209</v>
      </c>
      <c r="L275" s="4">
        <v>23</v>
      </c>
      <c r="M275" s="4">
        <v>3</v>
      </c>
      <c r="N275" s="4" t="s">
        <v>6</v>
      </c>
      <c r="O275" s="4">
        <v>2</v>
      </c>
      <c r="P275" s="4"/>
      <c r="Q275" s="4"/>
      <c r="R275" s="4"/>
      <c r="S275" s="4"/>
      <c r="T275" s="4"/>
      <c r="U275" s="4"/>
      <c r="V275" s="4"/>
      <c r="W275" s="4">
        <v>0</v>
      </c>
      <c r="X275" s="4">
        <v>1</v>
      </c>
      <c r="Y275" s="4">
        <v>0</v>
      </c>
      <c r="Z275" s="4"/>
      <c r="AA275" s="4"/>
      <c r="AB275" s="4"/>
    </row>
    <row r="276" spans="1:206" x14ac:dyDescent="0.2">
      <c r="A276" s="4">
        <v>50</v>
      </c>
      <c r="B276" s="4">
        <v>0</v>
      </c>
      <c r="C276" s="4">
        <v>0</v>
      </c>
      <c r="D276" s="4">
        <v>1</v>
      </c>
      <c r="E276" s="4">
        <v>233</v>
      </c>
      <c r="F276" s="4">
        <f>ROUND(Source!BD251,O276)</f>
        <v>0</v>
      </c>
      <c r="G276" s="4" t="s">
        <v>68</v>
      </c>
      <c r="H276" s="4" t="s">
        <v>69</v>
      </c>
      <c r="I276" s="4"/>
      <c r="J276" s="4"/>
      <c r="K276" s="4">
        <v>233</v>
      </c>
      <c r="L276" s="4">
        <v>24</v>
      </c>
      <c r="M276" s="4">
        <v>3</v>
      </c>
      <c r="N276" s="4" t="s">
        <v>6</v>
      </c>
      <c r="O276" s="4">
        <v>2</v>
      </c>
      <c r="P276" s="4"/>
      <c r="Q276" s="4"/>
      <c r="R276" s="4"/>
      <c r="S276" s="4"/>
      <c r="T276" s="4"/>
      <c r="U276" s="4"/>
      <c r="V276" s="4"/>
      <c r="W276" s="4">
        <v>0</v>
      </c>
      <c r="X276" s="4">
        <v>1</v>
      </c>
      <c r="Y276" s="4">
        <v>0</v>
      </c>
      <c r="Z276" s="4"/>
      <c r="AA276" s="4"/>
      <c r="AB276" s="4"/>
    </row>
    <row r="277" spans="1:206" x14ac:dyDescent="0.2">
      <c r="A277" s="4">
        <v>50</v>
      </c>
      <c r="B277" s="4">
        <v>0</v>
      </c>
      <c r="C277" s="4">
        <v>0</v>
      </c>
      <c r="D277" s="4">
        <v>1</v>
      </c>
      <c r="E277" s="4">
        <v>210</v>
      </c>
      <c r="F277" s="4">
        <f>ROUND(Source!X251,O277)</f>
        <v>6511.19</v>
      </c>
      <c r="G277" s="4" t="s">
        <v>70</v>
      </c>
      <c r="H277" s="4" t="s">
        <v>71</v>
      </c>
      <c r="I277" s="4"/>
      <c r="J277" s="4"/>
      <c r="K277" s="4">
        <v>210</v>
      </c>
      <c r="L277" s="4">
        <v>25</v>
      </c>
      <c r="M277" s="4">
        <v>3</v>
      </c>
      <c r="N277" s="4" t="s">
        <v>6</v>
      </c>
      <c r="O277" s="4">
        <v>2</v>
      </c>
      <c r="P277" s="4"/>
      <c r="Q277" s="4"/>
      <c r="R277" s="4"/>
      <c r="S277" s="4"/>
      <c r="T277" s="4"/>
      <c r="U277" s="4"/>
      <c r="V277" s="4"/>
      <c r="W277" s="4">
        <v>6511.19</v>
      </c>
      <c r="X277" s="4">
        <v>1</v>
      </c>
      <c r="Y277" s="4">
        <v>6511.19</v>
      </c>
      <c r="Z277" s="4"/>
      <c r="AA277" s="4"/>
      <c r="AB277" s="4"/>
    </row>
    <row r="278" spans="1:206" x14ac:dyDescent="0.2">
      <c r="A278" s="4">
        <v>50</v>
      </c>
      <c r="B278" s="4">
        <v>0</v>
      </c>
      <c r="C278" s="4">
        <v>0</v>
      </c>
      <c r="D278" s="4">
        <v>1</v>
      </c>
      <c r="E278" s="4">
        <v>211</v>
      </c>
      <c r="F278" s="4">
        <f>ROUND(Source!Y251,O278)</f>
        <v>3397.31</v>
      </c>
      <c r="G278" s="4" t="s">
        <v>72</v>
      </c>
      <c r="H278" s="4" t="s">
        <v>73</v>
      </c>
      <c r="I278" s="4"/>
      <c r="J278" s="4"/>
      <c r="K278" s="4">
        <v>211</v>
      </c>
      <c r="L278" s="4">
        <v>26</v>
      </c>
      <c r="M278" s="4">
        <v>3</v>
      </c>
      <c r="N278" s="4" t="s">
        <v>6</v>
      </c>
      <c r="O278" s="4">
        <v>2</v>
      </c>
      <c r="P278" s="4"/>
      <c r="Q278" s="4"/>
      <c r="R278" s="4"/>
      <c r="S278" s="4"/>
      <c r="T278" s="4"/>
      <c r="U278" s="4"/>
      <c r="V278" s="4"/>
      <c r="W278" s="4">
        <v>3397.31</v>
      </c>
      <c r="X278" s="4">
        <v>1</v>
      </c>
      <c r="Y278" s="4">
        <v>3397.31</v>
      </c>
      <c r="Z278" s="4"/>
      <c r="AA278" s="4"/>
      <c r="AB278" s="4"/>
    </row>
    <row r="279" spans="1:206" x14ac:dyDescent="0.2">
      <c r="A279" s="4">
        <v>50</v>
      </c>
      <c r="B279" s="4">
        <v>0</v>
      </c>
      <c r="C279" s="4">
        <v>0</v>
      </c>
      <c r="D279" s="4">
        <v>1</v>
      </c>
      <c r="E279" s="4">
        <v>224</v>
      </c>
      <c r="F279" s="4">
        <f>ROUND(Source!AR251,O279)</f>
        <v>59225.2</v>
      </c>
      <c r="G279" s="4" t="s">
        <v>74</v>
      </c>
      <c r="H279" s="4" t="s">
        <v>75</v>
      </c>
      <c r="I279" s="4"/>
      <c r="J279" s="4"/>
      <c r="K279" s="4">
        <v>224</v>
      </c>
      <c r="L279" s="4">
        <v>27</v>
      </c>
      <c r="M279" s="4">
        <v>3</v>
      </c>
      <c r="N279" s="4" t="s">
        <v>6</v>
      </c>
      <c r="O279" s="4">
        <v>2</v>
      </c>
      <c r="P279" s="4"/>
      <c r="Q279" s="4"/>
      <c r="R279" s="4"/>
      <c r="S279" s="4"/>
      <c r="T279" s="4"/>
      <c r="U279" s="4"/>
      <c r="V279" s="4"/>
      <c r="W279" s="4">
        <v>59225.200000000004</v>
      </c>
      <c r="X279" s="4">
        <v>1</v>
      </c>
      <c r="Y279" s="4">
        <v>59225.200000000004</v>
      </c>
      <c r="Z279" s="4"/>
      <c r="AA279" s="4"/>
      <c r="AB279" s="4"/>
    </row>
    <row r="281" spans="1:206" x14ac:dyDescent="0.2">
      <c r="A281" s="2">
        <v>51</v>
      </c>
      <c r="B281" s="2">
        <f>B20</f>
        <v>1</v>
      </c>
      <c r="C281" s="2">
        <f>A20</f>
        <v>3</v>
      </c>
      <c r="D281" s="2">
        <f>ROW(A20)</f>
        <v>20</v>
      </c>
      <c r="E281" s="2"/>
      <c r="F281" s="2" t="str">
        <f>IF(F20&lt;&gt;"",F20,"")</f>
        <v>ЛСР02-01-06</v>
      </c>
      <c r="G281" s="2" t="str">
        <f>IF(G20&lt;&gt;"",G20,"")</f>
        <v>02-01-06 Электрика.</v>
      </c>
      <c r="H281" s="2">
        <v>0</v>
      </c>
      <c r="I281" s="2"/>
      <c r="J281" s="2"/>
      <c r="K281" s="2"/>
      <c r="L281" s="2"/>
      <c r="M281" s="2"/>
      <c r="N281" s="2"/>
      <c r="O281" s="2">
        <f t="shared" ref="O281:T281" si="102">ROUND(O28+O62+O96+O130+O164+O198+O251+AB281,2)</f>
        <v>49316.7</v>
      </c>
      <c r="P281" s="2">
        <f t="shared" si="102"/>
        <v>42159.96</v>
      </c>
      <c r="Q281" s="2">
        <f t="shared" si="102"/>
        <v>130.9</v>
      </c>
      <c r="R281" s="2">
        <f t="shared" si="102"/>
        <v>10.39</v>
      </c>
      <c r="S281" s="2">
        <f t="shared" si="102"/>
        <v>7015.45</v>
      </c>
      <c r="T281" s="2">
        <f t="shared" si="102"/>
        <v>0</v>
      </c>
      <c r="U281" s="2">
        <f>U28+U62+U96+U130+U164+U198+U251+AH281</f>
        <v>21.243079999999999</v>
      </c>
      <c r="V281" s="2">
        <f>V28+V62+V96+V130+V164+V198+V251+AI281</f>
        <v>3.0199999999999998E-2</v>
      </c>
      <c r="W281" s="2">
        <f>ROUND(W28+W62+W96+W130+W164+W198+W251+AJ281,2)</f>
        <v>0</v>
      </c>
      <c r="X281" s="2">
        <f>ROUND(X28+X62+X96+X130+X164+X198+X251+AK281,2)</f>
        <v>6511.19</v>
      </c>
      <c r="Y281" s="2">
        <f>ROUND(Y28+Y62+Y96+Y130+Y164+Y198+Y251+AL281,2)</f>
        <v>3397.31</v>
      </c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>
        <f t="shared" ref="AO281:BD281" si="103">ROUND(AO28+AO62+AO96+AO130+AO164+AO198+AO251+BX281,2)</f>
        <v>0</v>
      </c>
      <c r="AP281" s="2">
        <f t="shared" si="103"/>
        <v>0</v>
      </c>
      <c r="AQ281" s="2">
        <f t="shared" si="103"/>
        <v>0</v>
      </c>
      <c r="AR281" s="2">
        <f t="shared" si="103"/>
        <v>59225.2</v>
      </c>
      <c r="AS281" s="2">
        <f t="shared" si="103"/>
        <v>3029.44</v>
      </c>
      <c r="AT281" s="2">
        <f t="shared" si="103"/>
        <v>56195.76</v>
      </c>
      <c r="AU281" s="2">
        <f t="shared" si="103"/>
        <v>0</v>
      </c>
      <c r="AV281" s="2">
        <f t="shared" si="103"/>
        <v>42159.96</v>
      </c>
      <c r="AW281" s="2">
        <f t="shared" si="103"/>
        <v>42159.96</v>
      </c>
      <c r="AX281" s="2">
        <f t="shared" si="103"/>
        <v>0</v>
      </c>
      <c r="AY281" s="2">
        <f t="shared" si="103"/>
        <v>42159.96</v>
      </c>
      <c r="AZ281" s="2">
        <f t="shared" si="103"/>
        <v>0</v>
      </c>
      <c r="BA281" s="2">
        <f t="shared" si="103"/>
        <v>0</v>
      </c>
      <c r="BB281" s="2">
        <f t="shared" si="103"/>
        <v>0</v>
      </c>
      <c r="BC281" s="2">
        <f t="shared" si="103"/>
        <v>0</v>
      </c>
      <c r="BD281" s="2">
        <f t="shared" si="103"/>
        <v>0</v>
      </c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>
        <v>0</v>
      </c>
    </row>
    <row r="283" spans="1:206" x14ac:dyDescent="0.2">
      <c r="A283" s="4">
        <v>50</v>
      </c>
      <c r="B283" s="4">
        <v>0</v>
      </c>
      <c r="C283" s="4">
        <v>0</v>
      </c>
      <c r="D283" s="4">
        <v>1</v>
      </c>
      <c r="E283" s="4">
        <v>201</v>
      </c>
      <c r="F283" s="4">
        <f>ROUND(Source!O281,O283)</f>
        <v>49316.7</v>
      </c>
      <c r="G283" s="4" t="s">
        <v>22</v>
      </c>
      <c r="H283" s="4" t="s">
        <v>23</v>
      </c>
      <c r="I283" s="4"/>
      <c r="J283" s="4"/>
      <c r="K283" s="4">
        <v>201</v>
      </c>
      <c r="L283" s="4">
        <v>1</v>
      </c>
      <c r="M283" s="4">
        <v>3</v>
      </c>
      <c r="N283" s="4" t="s">
        <v>6</v>
      </c>
      <c r="O283" s="4">
        <v>2</v>
      </c>
      <c r="P283" s="4"/>
      <c r="Q283" s="4"/>
      <c r="R283" s="4"/>
      <c r="S283" s="4"/>
      <c r="T283" s="4"/>
      <c r="U283" s="4"/>
      <c r="V283" s="4"/>
      <c r="W283" s="4">
        <v>49316.7</v>
      </c>
      <c r="X283" s="4">
        <v>1</v>
      </c>
      <c r="Y283" s="4">
        <v>49316.7</v>
      </c>
      <c r="Z283" s="4"/>
      <c r="AA283" s="4"/>
      <c r="AB283" s="4"/>
    </row>
    <row r="284" spans="1:206" x14ac:dyDescent="0.2">
      <c r="A284" s="4">
        <v>50</v>
      </c>
      <c r="B284" s="4">
        <v>0</v>
      </c>
      <c r="C284" s="4">
        <v>0</v>
      </c>
      <c r="D284" s="4">
        <v>1</v>
      </c>
      <c r="E284" s="4">
        <v>202</v>
      </c>
      <c r="F284" s="4">
        <f>ROUND(Source!P281,O284)</f>
        <v>42159.96</v>
      </c>
      <c r="G284" s="4" t="s">
        <v>24</v>
      </c>
      <c r="H284" s="4" t="s">
        <v>25</v>
      </c>
      <c r="I284" s="4"/>
      <c r="J284" s="4"/>
      <c r="K284" s="4">
        <v>202</v>
      </c>
      <c r="L284" s="4">
        <v>2</v>
      </c>
      <c r="M284" s="4">
        <v>3</v>
      </c>
      <c r="N284" s="4" t="s">
        <v>6</v>
      </c>
      <c r="O284" s="4">
        <v>2</v>
      </c>
      <c r="P284" s="4"/>
      <c r="Q284" s="4"/>
      <c r="R284" s="4"/>
      <c r="S284" s="4"/>
      <c r="T284" s="4"/>
      <c r="U284" s="4"/>
      <c r="V284" s="4"/>
      <c r="W284" s="4">
        <v>42159.96</v>
      </c>
      <c r="X284" s="4">
        <v>1</v>
      </c>
      <c r="Y284" s="4">
        <v>42159.96</v>
      </c>
      <c r="Z284" s="4"/>
      <c r="AA284" s="4"/>
      <c r="AB284" s="4"/>
    </row>
    <row r="285" spans="1:206" x14ac:dyDescent="0.2">
      <c r="A285" s="4">
        <v>50</v>
      </c>
      <c r="B285" s="4">
        <v>0</v>
      </c>
      <c r="C285" s="4">
        <v>0</v>
      </c>
      <c r="D285" s="4">
        <v>1</v>
      </c>
      <c r="E285" s="4">
        <v>222</v>
      </c>
      <c r="F285" s="4">
        <f>ROUND(Source!AO281,O285)</f>
        <v>0</v>
      </c>
      <c r="G285" s="4" t="s">
        <v>26</v>
      </c>
      <c r="H285" s="4" t="s">
        <v>27</v>
      </c>
      <c r="I285" s="4"/>
      <c r="J285" s="4"/>
      <c r="K285" s="4">
        <v>222</v>
      </c>
      <c r="L285" s="4">
        <v>3</v>
      </c>
      <c r="M285" s="4">
        <v>3</v>
      </c>
      <c r="N285" s="4" t="s">
        <v>6</v>
      </c>
      <c r="O285" s="4">
        <v>2</v>
      </c>
      <c r="P285" s="4"/>
      <c r="Q285" s="4"/>
      <c r="R285" s="4"/>
      <c r="S285" s="4"/>
      <c r="T285" s="4"/>
      <c r="U285" s="4"/>
      <c r="V285" s="4"/>
      <c r="W285" s="4">
        <v>0</v>
      </c>
      <c r="X285" s="4">
        <v>1</v>
      </c>
      <c r="Y285" s="4">
        <v>0</v>
      </c>
      <c r="Z285" s="4"/>
      <c r="AA285" s="4"/>
      <c r="AB285" s="4"/>
    </row>
    <row r="286" spans="1:206" x14ac:dyDescent="0.2">
      <c r="A286" s="4">
        <v>50</v>
      </c>
      <c r="B286" s="4">
        <v>0</v>
      </c>
      <c r="C286" s="4">
        <v>0</v>
      </c>
      <c r="D286" s="4">
        <v>1</v>
      </c>
      <c r="E286" s="4">
        <v>225</v>
      </c>
      <c r="F286" s="4">
        <f>ROUND(Source!AV281,O286)</f>
        <v>42159.96</v>
      </c>
      <c r="G286" s="4" t="s">
        <v>28</v>
      </c>
      <c r="H286" s="4" t="s">
        <v>29</v>
      </c>
      <c r="I286" s="4"/>
      <c r="J286" s="4"/>
      <c r="K286" s="4">
        <v>225</v>
      </c>
      <c r="L286" s="4">
        <v>4</v>
      </c>
      <c r="M286" s="4">
        <v>3</v>
      </c>
      <c r="N286" s="4" t="s">
        <v>6</v>
      </c>
      <c r="O286" s="4">
        <v>2</v>
      </c>
      <c r="P286" s="4"/>
      <c r="Q286" s="4"/>
      <c r="R286" s="4"/>
      <c r="S286" s="4"/>
      <c r="T286" s="4"/>
      <c r="U286" s="4"/>
      <c r="V286" s="4"/>
      <c r="W286" s="4">
        <v>42159.96</v>
      </c>
      <c r="X286" s="4">
        <v>1</v>
      </c>
      <c r="Y286" s="4">
        <v>42159.96</v>
      </c>
      <c r="Z286" s="4"/>
      <c r="AA286" s="4"/>
      <c r="AB286" s="4"/>
    </row>
    <row r="287" spans="1:206" x14ac:dyDescent="0.2">
      <c r="A287" s="4">
        <v>50</v>
      </c>
      <c r="B287" s="4">
        <v>0</v>
      </c>
      <c r="C287" s="4">
        <v>0</v>
      </c>
      <c r="D287" s="4">
        <v>1</v>
      </c>
      <c r="E287" s="4">
        <v>226</v>
      </c>
      <c r="F287" s="4">
        <f>ROUND(Source!AW281,O287)</f>
        <v>42159.96</v>
      </c>
      <c r="G287" s="4" t="s">
        <v>30</v>
      </c>
      <c r="H287" s="4" t="s">
        <v>31</v>
      </c>
      <c r="I287" s="4"/>
      <c r="J287" s="4"/>
      <c r="K287" s="4">
        <v>226</v>
      </c>
      <c r="L287" s="4">
        <v>5</v>
      </c>
      <c r="M287" s="4">
        <v>3</v>
      </c>
      <c r="N287" s="4" t="s">
        <v>6</v>
      </c>
      <c r="O287" s="4">
        <v>2</v>
      </c>
      <c r="P287" s="4"/>
      <c r="Q287" s="4"/>
      <c r="R287" s="4"/>
      <c r="S287" s="4"/>
      <c r="T287" s="4"/>
      <c r="U287" s="4"/>
      <c r="V287" s="4"/>
      <c r="W287" s="4">
        <v>42159.96</v>
      </c>
      <c r="X287" s="4">
        <v>1</v>
      </c>
      <c r="Y287" s="4">
        <v>42159.96</v>
      </c>
      <c r="Z287" s="4"/>
      <c r="AA287" s="4"/>
      <c r="AB287" s="4"/>
    </row>
    <row r="288" spans="1:206" x14ac:dyDescent="0.2">
      <c r="A288" s="4">
        <v>50</v>
      </c>
      <c r="B288" s="4">
        <v>0</v>
      </c>
      <c r="C288" s="4">
        <v>0</v>
      </c>
      <c r="D288" s="4">
        <v>1</v>
      </c>
      <c r="E288" s="4">
        <v>227</v>
      </c>
      <c r="F288" s="4">
        <f>ROUND(Source!AX281,O288)</f>
        <v>0</v>
      </c>
      <c r="G288" s="4" t="s">
        <v>32</v>
      </c>
      <c r="H288" s="4" t="s">
        <v>33</v>
      </c>
      <c r="I288" s="4"/>
      <c r="J288" s="4"/>
      <c r="K288" s="4">
        <v>227</v>
      </c>
      <c r="L288" s="4">
        <v>6</v>
      </c>
      <c r="M288" s="4">
        <v>3</v>
      </c>
      <c r="N288" s="4" t="s">
        <v>6</v>
      </c>
      <c r="O288" s="4">
        <v>2</v>
      </c>
      <c r="P288" s="4"/>
      <c r="Q288" s="4"/>
      <c r="R288" s="4"/>
      <c r="S288" s="4"/>
      <c r="T288" s="4"/>
      <c r="U288" s="4"/>
      <c r="V288" s="4"/>
      <c r="W288" s="4">
        <v>0</v>
      </c>
      <c r="X288" s="4">
        <v>1</v>
      </c>
      <c r="Y288" s="4">
        <v>0</v>
      </c>
      <c r="Z288" s="4"/>
      <c r="AA288" s="4"/>
      <c r="AB288" s="4"/>
    </row>
    <row r="289" spans="1:28" x14ac:dyDescent="0.2">
      <c r="A289" s="4">
        <v>50</v>
      </c>
      <c r="B289" s="4">
        <v>0</v>
      </c>
      <c r="C289" s="4">
        <v>0</v>
      </c>
      <c r="D289" s="4">
        <v>1</v>
      </c>
      <c r="E289" s="4">
        <v>228</v>
      </c>
      <c r="F289" s="4">
        <f>ROUND(Source!AY281,O289)</f>
        <v>42159.96</v>
      </c>
      <c r="G289" s="4" t="s">
        <v>34</v>
      </c>
      <c r="H289" s="4" t="s">
        <v>35</v>
      </c>
      <c r="I289" s="4"/>
      <c r="J289" s="4"/>
      <c r="K289" s="4">
        <v>228</v>
      </c>
      <c r="L289" s="4">
        <v>7</v>
      </c>
      <c r="M289" s="4">
        <v>3</v>
      </c>
      <c r="N289" s="4" t="s">
        <v>6</v>
      </c>
      <c r="O289" s="4">
        <v>2</v>
      </c>
      <c r="P289" s="4"/>
      <c r="Q289" s="4"/>
      <c r="R289" s="4"/>
      <c r="S289" s="4"/>
      <c r="T289" s="4"/>
      <c r="U289" s="4"/>
      <c r="V289" s="4"/>
      <c r="W289" s="4">
        <v>42159.96</v>
      </c>
      <c r="X289" s="4">
        <v>1</v>
      </c>
      <c r="Y289" s="4">
        <v>42159.96</v>
      </c>
      <c r="Z289" s="4"/>
      <c r="AA289" s="4"/>
      <c r="AB289" s="4"/>
    </row>
    <row r="290" spans="1:28" x14ac:dyDescent="0.2">
      <c r="A290" s="4">
        <v>50</v>
      </c>
      <c r="B290" s="4">
        <v>0</v>
      </c>
      <c r="C290" s="4">
        <v>0</v>
      </c>
      <c r="D290" s="4">
        <v>1</v>
      </c>
      <c r="E290" s="4">
        <v>216</v>
      </c>
      <c r="F290" s="4">
        <f>ROUND(Source!AP281,O290)</f>
        <v>0</v>
      </c>
      <c r="G290" s="4" t="s">
        <v>36</v>
      </c>
      <c r="H290" s="4" t="s">
        <v>37</v>
      </c>
      <c r="I290" s="4"/>
      <c r="J290" s="4"/>
      <c r="K290" s="4">
        <v>216</v>
      </c>
      <c r="L290" s="4">
        <v>8</v>
      </c>
      <c r="M290" s="4">
        <v>3</v>
      </c>
      <c r="N290" s="4" t="s">
        <v>6</v>
      </c>
      <c r="O290" s="4">
        <v>2</v>
      </c>
      <c r="P290" s="4"/>
      <c r="Q290" s="4"/>
      <c r="R290" s="4"/>
      <c r="S290" s="4"/>
      <c r="T290" s="4"/>
      <c r="U290" s="4"/>
      <c r="V290" s="4"/>
      <c r="W290" s="4">
        <v>0</v>
      </c>
      <c r="X290" s="4">
        <v>1</v>
      </c>
      <c r="Y290" s="4">
        <v>0</v>
      </c>
      <c r="Z290" s="4"/>
      <c r="AA290" s="4"/>
      <c r="AB290" s="4"/>
    </row>
    <row r="291" spans="1:28" x14ac:dyDescent="0.2">
      <c r="A291" s="4">
        <v>50</v>
      </c>
      <c r="B291" s="4">
        <v>0</v>
      </c>
      <c r="C291" s="4">
        <v>0</v>
      </c>
      <c r="D291" s="4">
        <v>1</v>
      </c>
      <c r="E291" s="4">
        <v>223</v>
      </c>
      <c r="F291" s="4">
        <f>ROUND(Source!AQ281,O291)</f>
        <v>0</v>
      </c>
      <c r="G291" s="4" t="s">
        <v>38</v>
      </c>
      <c r="H291" s="4" t="s">
        <v>39</v>
      </c>
      <c r="I291" s="4"/>
      <c r="J291" s="4"/>
      <c r="K291" s="4">
        <v>223</v>
      </c>
      <c r="L291" s="4">
        <v>9</v>
      </c>
      <c r="M291" s="4">
        <v>3</v>
      </c>
      <c r="N291" s="4" t="s">
        <v>6</v>
      </c>
      <c r="O291" s="4">
        <v>2</v>
      </c>
      <c r="P291" s="4"/>
      <c r="Q291" s="4"/>
      <c r="R291" s="4"/>
      <c r="S291" s="4"/>
      <c r="T291" s="4"/>
      <c r="U291" s="4"/>
      <c r="V291" s="4"/>
      <c r="W291" s="4">
        <v>0</v>
      </c>
      <c r="X291" s="4">
        <v>1</v>
      </c>
      <c r="Y291" s="4">
        <v>0</v>
      </c>
      <c r="Z291" s="4"/>
      <c r="AA291" s="4"/>
      <c r="AB291" s="4"/>
    </row>
    <row r="292" spans="1:28" x14ac:dyDescent="0.2">
      <c r="A292" s="4">
        <v>50</v>
      </c>
      <c r="B292" s="4">
        <v>0</v>
      </c>
      <c r="C292" s="4">
        <v>0</v>
      </c>
      <c r="D292" s="4">
        <v>1</v>
      </c>
      <c r="E292" s="4">
        <v>229</v>
      </c>
      <c r="F292" s="4">
        <f>ROUND(Source!AZ281,O292)</f>
        <v>0</v>
      </c>
      <c r="G292" s="4" t="s">
        <v>40</v>
      </c>
      <c r="H292" s="4" t="s">
        <v>41</v>
      </c>
      <c r="I292" s="4"/>
      <c r="J292" s="4"/>
      <c r="K292" s="4">
        <v>229</v>
      </c>
      <c r="L292" s="4">
        <v>10</v>
      </c>
      <c r="M292" s="4">
        <v>3</v>
      </c>
      <c r="N292" s="4" t="s">
        <v>6</v>
      </c>
      <c r="O292" s="4">
        <v>2</v>
      </c>
      <c r="P292" s="4"/>
      <c r="Q292" s="4"/>
      <c r="R292" s="4"/>
      <c r="S292" s="4"/>
      <c r="T292" s="4"/>
      <c r="U292" s="4"/>
      <c r="V292" s="4"/>
      <c r="W292" s="4">
        <v>0</v>
      </c>
      <c r="X292" s="4">
        <v>1</v>
      </c>
      <c r="Y292" s="4">
        <v>0</v>
      </c>
      <c r="Z292" s="4"/>
      <c r="AA292" s="4"/>
      <c r="AB292" s="4"/>
    </row>
    <row r="293" spans="1:28" x14ac:dyDescent="0.2">
      <c r="A293" s="4">
        <v>50</v>
      </c>
      <c r="B293" s="4">
        <v>0</v>
      </c>
      <c r="C293" s="4">
        <v>0</v>
      </c>
      <c r="D293" s="4">
        <v>1</v>
      </c>
      <c r="E293" s="4">
        <v>203</v>
      </c>
      <c r="F293" s="4">
        <f>ROUND(Source!Q281,O293)</f>
        <v>130.9</v>
      </c>
      <c r="G293" s="4" t="s">
        <v>42</v>
      </c>
      <c r="H293" s="4" t="s">
        <v>43</v>
      </c>
      <c r="I293" s="4"/>
      <c r="J293" s="4"/>
      <c r="K293" s="4">
        <v>203</v>
      </c>
      <c r="L293" s="4">
        <v>11</v>
      </c>
      <c r="M293" s="4">
        <v>3</v>
      </c>
      <c r="N293" s="4" t="s">
        <v>6</v>
      </c>
      <c r="O293" s="4">
        <v>2</v>
      </c>
      <c r="P293" s="4"/>
      <c r="Q293" s="4"/>
      <c r="R293" s="4"/>
      <c r="S293" s="4"/>
      <c r="T293" s="4"/>
      <c r="U293" s="4"/>
      <c r="V293" s="4"/>
      <c r="W293" s="4">
        <v>130.89999999999998</v>
      </c>
      <c r="X293" s="4">
        <v>1</v>
      </c>
      <c r="Y293" s="4">
        <v>130.89999999999998</v>
      </c>
      <c r="Z293" s="4"/>
      <c r="AA293" s="4"/>
      <c r="AB293" s="4"/>
    </row>
    <row r="294" spans="1:28" x14ac:dyDescent="0.2">
      <c r="A294" s="4">
        <v>50</v>
      </c>
      <c r="B294" s="4">
        <v>0</v>
      </c>
      <c r="C294" s="4">
        <v>0</v>
      </c>
      <c r="D294" s="4">
        <v>1</v>
      </c>
      <c r="E294" s="4">
        <v>231</v>
      </c>
      <c r="F294" s="4">
        <f>ROUND(Source!BB281,O294)</f>
        <v>0</v>
      </c>
      <c r="G294" s="4" t="s">
        <v>44</v>
      </c>
      <c r="H294" s="4" t="s">
        <v>45</v>
      </c>
      <c r="I294" s="4"/>
      <c r="J294" s="4"/>
      <c r="K294" s="4">
        <v>231</v>
      </c>
      <c r="L294" s="4">
        <v>12</v>
      </c>
      <c r="M294" s="4">
        <v>3</v>
      </c>
      <c r="N294" s="4" t="s">
        <v>6</v>
      </c>
      <c r="O294" s="4">
        <v>2</v>
      </c>
      <c r="P294" s="4"/>
      <c r="Q294" s="4"/>
      <c r="R294" s="4"/>
      <c r="S294" s="4"/>
      <c r="T294" s="4"/>
      <c r="U294" s="4"/>
      <c r="V294" s="4"/>
      <c r="W294" s="4">
        <v>0</v>
      </c>
      <c r="X294" s="4">
        <v>1</v>
      </c>
      <c r="Y294" s="4">
        <v>0</v>
      </c>
      <c r="Z294" s="4"/>
      <c r="AA294" s="4"/>
      <c r="AB294" s="4"/>
    </row>
    <row r="295" spans="1:28" x14ac:dyDescent="0.2">
      <c r="A295" s="4">
        <v>50</v>
      </c>
      <c r="B295" s="4">
        <v>0</v>
      </c>
      <c r="C295" s="4">
        <v>0</v>
      </c>
      <c r="D295" s="4">
        <v>1</v>
      </c>
      <c r="E295" s="4">
        <v>204</v>
      </c>
      <c r="F295" s="4">
        <f>ROUND(Source!R281,O295)</f>
        <v>10.39</v>
      </c>
      <c r="G295" s="4" t="s">
        <v>46</v>
      </c>
      <c r="H295" s="4" t="s">
        <v>47</v>
      </c>
      <c r="I295" s="4"/>
      <c r="J295" s="4"/>
      <c r="K295" s="4">
        <v>204</v>
      </c>
      <c r="L295" s="4">
        <v>13</v>
      </c>
      <c r="M295" s="4">
        <v>3</v>
      </c>
      <c r="N295" s="4" t="s">
        <v>6</v>
      </c>
      <c r="O295" s="4">
        <v>2</v>
      </c>
      <c r="P295" s="4"/>
      <c r="Q295" s="4"/>
      <c r="R295" s="4"/>
      <c r="S295" s="4"/>
      <c r="T295" s="4"/>
      <c r="U295" s="4"/>
      <c r="V295" s="4"/>
      <c r="W295" s="4">
        <v>10.389999999999999</v>
      </c>
      <c r="X295" s="4">
        <v>1</v>
      </c>
      <c r="Y295" s="4">
        <v>10.389999999999999</v>
      </c>
      <c r="Z295" s="4"/>
      <c r="AA295" s="4"/>
      <c r="AB295" s="4"/>
    </row>
    <row r="296" spans="1:28" x14ac:dyDescent="0.2">
      <c r="A296" s="4">
        <v>50</v>
      </c>
      <c r="B296" s="4">
        <v>0</v>
      </c>
      <c r="C296" s="4">
        <v>0</v>
      </c>
      <c r="D296" s="4">
        <v>1</v>
      </c>
      <c r="E296" s="4">
        <v>205</v>
      </c>
      <c r="F296" s="4">
        <f>ROUND(Source!S281,O296)</f>
        <v>7015.45</v>
      </c>
      <c r="G296" s="4" t="s">
        <v>48</v>
      </c>
      <c r="H296" s="4" t="s">
        <v>49</v>
      </c>
      <c r="I296" s="4"/>
      <c r="J296" s="4"/>
      <c r="K296" s="4">
        <v>205</v>
      </c>
      <c r="L296" s="4">
        <v>14</v>
      </c>
      <c r="M296" s="4">
        <v>3</v>
      </c>
      <c r="N296" s="4" t="s">
        <v>6</v>
      </c>
      <c r="O296" s="4">
        <v>2</v>
      </c>
      <c r="P296" s="4"/>
      <c r="Q296" s="4"/>
      <c r="R296" s="4"/>
      <c r="S296" s="4"/>
      <c r="T296" s="4"/>
      <c r="U296" s="4"/>
      <c r="V296" s="4"/>
      <c r="W296" s="4">
        <v>7015.4500000000007</v>
      </c>
      <c r="X296" s="4">
        <v>1</v>
      </c>
      <c r="Y296" s="4">
        <v>7015.4500000000007</v>
      </c>
      <c r="Z296" s="4"/>
      <c r="AA296" s="4"/>
      <c r="AB296" s="4"/>
    </row>
    <row r="297" spans="1:28" x14ac:dyDescent="0.2">
      <c r="A297" s="4">
        <v>50</v>
      </c>
      <c r="B297" s="4">
        <v>0</v>
      </c>
      <c r="C297" s="4">
        <v>0</v>
      </c>
      <c r="D297" s="4">
        <v>1</v>
      </c>
      <c r="E297" s="4">
        <v>232</v>
      </c>
      <c r="F297" s="4">
        <f>ROUND(Source!BC281,O297)</f>
        <v>0</v>
      </c>
      <c r="G297" s="4" t="s">
        <v>50</v>
      </c>
      <c r="H297" s="4" t="s">
        <v>51</v>
      </c>
      <c r="I297" s="4"/>
      <c r="J297" s="4"/>
      <c r="K297" s="4">
        <v>232</v>
      </c>
      <c r="L297" s="4">
        <v>15</v>
      </c>
      <c r="M297" s="4">
        <v>3</v>
      </c>
      <c r="N297" s="4" t="s">
        <v>6</v>
      </c>
      <c r="O297" s="4">
        <v>2</v>
      </c>
      <c r="P297" s="4"/>
      <c r="Q297" s="4"/>
      <c r="R297" s="4"/>
      <c r="S297" s="4"/>
      <c r="T297" s="4"/>
      <c r="U297" s="4"/>
      <c r="V297" s="4"/>
      <c r="W297" s="4">
        <v>0</v>
      </c>
      <c r="X297" s="4">
        <v>1</v>
      </c>
      <c r="Y297" s="4">
        <v>0</v>
      </c>
      <c r="Z297" s="4"/>
      <c r="AA297" s="4"/>
      <c r="AB297" s="4"/>
    </row>
    <row r="298" spans="1:28" x14ac:dyDescent="0.2">
      <c r="A298" s="4">
        <v>50</v>
      </c>
      <c r="B298" s="4">
        <v>0</v>
      </c>
      <c r="C298" s="4">
        <v>0</v>
      </c>
      <c r="D298" s="4">
        <v>1</v>
      </c>
      <c r="E298" s="4">
        <v>214</v>
      </c>
      <c r="F298" s="4">
        <f>ROUND(Source!AS281,O298)</f>
        <v>3029.44</v>
      </c>
      <c r="G298" s="4" t="s">
        <v>52</v>
      </c>
      <c r="H298" s="4" t="s">
        <v>53</v>
      </c>
      <c r="I298" s="4"/>
      <c r="J298" s="4"/>
      <c r="K298" s="4">
        <v>214</v>
      </c>
      <c r="L298" s="4">
        <v>16</v>
      </c>
      <c r="M298" s="4">
        <v>3</v>
      </c>
      <c r="N298" s="4" t="s">
        <v>6</v>
      </c>
      <c r="O298" s="4">
        <v>2</v>
      </c>
      <c r="P298" s="4"/>
      <c r="Q298" s="4"/>
      <c r="R298" s="4"/>
      <c r="S298" s="4"/>
      <c r="T298" s="4"/>
      <c r="U298" s="4"/>
      <c r="V298" s="4"/>
      <c r="W298" s="4">
        <v>3029.44</v>
      </c>
      <c r="X298" s="4">
        <v>1</v>
      </c>
      <c r="Y298" s="4">
        <v>3029.44</v>
      </c>
      <c r="Z298" s="4"/>
      <c r="AA298" s="4"/>
      <c r="AB298" s="4"/>
    </row>
    <row r="299" spans="1:28" x14ac:dyDescent="0.2">
      <c r="A299" s="4">
        <v>50</v>
      </c>
      <c r="B299" s="4">
        <v>0</v>
      </c>
      <c r="C299" s="4">
        <v>0</v>
      </c>
      <c r="D299" s="4">
        <v>1</v>
      </c>
      <c r="E299" s="4">
        <v>215</v>
      </c>
      <c r="F299" s="4">
        <f>ROUND(Source!AT281,O299)</f>
        <v>56195.76</v>
      </c>
      <c r="G299" s="4" t="s">
        <v>54</v>
      </c>
      <c r="H299" s="4" t="s">
        <v>55</v>
      </c>
      <c r="I299" s="4"/>
      <c r="J299" s="4"/>
      <c r="K299" s="4">
        <v>215</v>
      </c>
      <c r="L299" s="4">
        <v>17</v>
      </c>
      <c r="M299" s="4">
        <v>3</v>
      </c>
      <c r="N299" s="4" t="s">
        <v>6</v>
      </c>
      <c r="O299" s="4">
        <v>2</v>
      </c>
      <c r="P299" s="4"/>
      <c r="Q299" s="4"/>
      <c r="R299" s="4"/>
      <c r="S299" s="4"/>
      <c r="T299" s="4"/>
      <c r="U299" s="4"/>
      <c r="V299" s="4"/>
      <c r="W299" s="4">
        <v>56195.76</v>
      </c>
      <c r="X299" s="4">
        <v>1</v>
      </c>
      <c r="Y299" s="4">
        <v>56195.76</v>
      </c>
      <c r="Z299" s="4"/>
      <c r="AA299" s="4"/>
      <c r="AB299" s="4"/>
    </row>
    <row r="300" spans="1:28" x14ac:dyDescent="0.2">
      <c r="A300" s="4">
        <v>50</v>
      </c>
      <c r="B300" s="4">
        <v>0</v>
      </c>
      <c r="C300" s="4">
        <v>0</v>
      </c>
      <c r="D300" s="4">
        <v>1</v>
      </c>
      <c r="E300" s="4">
        <v>217</v>
      </c>
      <c r="F300" s="4">
        <f>ROUND(Source!AU281,O300)</f>
        <v>0</v>
      </c>
      <c r="G300" s="4" t="s">
        <v>56</v>
      </c>
      <c r="H300" s="4" t="s">
        <v>57</v>
      </c>
      <c r="I300" s="4"/>
      <c r="J300" s="4"/>
      <c r="K300" s="4">
        <v>217</v>
      </c>
      <c r="L300" s="4">
        <v>18</v>
      </c>
      <c r="M300" s="4">
        <v>3</v>
      </c>
      <c r="N300" s="4" t="s">
        <v>6</v>
      </c>
      <c r="O300" s="4">
        <v>2</v>
      </c>
      <c r="P300" s="4"/>
      <c r="Q300" s="4"/>
      <c r="R300" s="4"/>
      <c r="S300" s="4"/>
      <c r="T300" s="4"/>
      <c r="U300" s="4"/>
      <c r="V300" s="4"/>
      <c r="W300" s="4">
        <v>0</v>
      </c>
      <c r="X300" s="4">
        <v>1</v>
      </c>
      <c r="Y300" s="4">
        <v>0</v>
      </c>
      <c r="Z300" s="4"/>
      <c r="AA300" s="4"/>
      <c r="AB300" s="4"/>
    </row>
    <row r="301" spans="1:28" x14ac:dyDescent="0.2">
      <c r="A301" s="4">
        <v>50</v>
      </c>
      <c r="B301" s="4">
        <v>0</v>
      </c>
      <c r="C301" s="4">
        <v>0</v>
      </c>
      <c r="D301" s="4">
        <v>1</v>
      </c>
      <c r="E301" s="4">
        <v>230</v>
      </c>
      <c r="F301" s="4">
        <f>ROUND(Source!BA281,O301)</f>
        <v>0</v>
      </c>
      <c r="G301" s="4" t="s">
        <v>58</v>
      </c>
      <c r="H301" s="4" t="s">
        <v>59</v>
      </c>
      <c r="I301" s="4"/>
      <c r="J301" s="4"/>
      <c r="K301" s="4">
        <v>230</v>
      </c>
      <c r="L301" s="4">
        <v>19</v>
      </c>
      <c r="M301" s="4">
        <v>3</v>
      </c>
      <c r="N301" s="4" t="s">
        <v>6</v>
      </c>
      <c r="O301" s="4">
        <v>2</v>
      </c>
      <c r="P301" s="4"/>
      <c r="Q301" s="4"/>
      <c r="R301" s="4"/>
      <c r="S301" s="4"/>
      <c r="T301" s="4"/>
      <c r="U301" s="4"/>
      <c r="V301" s="4"/>
      <c r="W301" s="4">
        <v>0</v>
      </c>
      <c r="X301" s="4">
        <v>1</v>
      </c>
      <c r="Y301" s="4">
        <v>0</v>
      </c>
      <c r="Z301" s="4"/>
      <c r="AA301" s="4"/>
      <c r="AB301" s="4"/>
    </row>
    <row r="302" spans="1:28" x14ac:dyDescent="0.2">
      <c r="A302" s="4">
        <v>50</v>
      </c>
      <c r="B302" s="4">
        <v>0</v>
      </c>
      <c r="C302" s="4">
        <v>0</v>
      </c>
      <c r="D302" s="4">
        <v>1</v>
      </c>
      <c r="E302" s="4">
        <v>206</v>
      </c>
      <c r="F302" s="4">
        <f>ROUND(Source!T281,O302)</f>
        <v>0</v>
      </c>
      <c r="G302" s="4" t="s">
        <v>60</v>
      </c>
      <c r="H302" s="4" t="s">
        <v>61</v>
      </c>
      <c r="I302" s="4"/>
      <c r="J302" s="4"/>
      <c r="K302" s="4">
        <v>206</v>
      </c>
      <c r="L302" s="4">
        <v>20</v>
      </c>
      <c r="M302" s="4">
        <v>3</v>
      </c>
      <c r="N302" s="4" t="s">
        <v>6</v>
      </c>
      <c r="O302" s="4">
        <v>2</v>
      </c>
      <c r="P302" s="4"/>
      <c r="Q302" s="4"/>
      <c r="R302" s="4"/>
      <c r="S302" s="4"/>
      <c r="T302" s="4"/>
      <c r="U302" s="4"/>
      <c r="V302" s="4"/>
      <c r="W302" s="4">
        <v>0</v>
      </c>
      <c r="X302" s="4">
        <v>1</v>
      </c>
      <c r="Y302" s="4">
        <v>0</v>
      </c>
      <c r="Z302" s="4"/>
      <c r="AA302" s="4"/>
      <c r="AB302" s="4"/>
    </row>
    <row r="303" spans="1:28" x14ac:dyDescent="0.2">
      <c r="A303" s="4">
        <v>50</v>
      </c>
      <c r="B303" s="4">
        <v>0</v>
      </c>
      <c r="C303" s="4">
        <v>0</v>
      </c>
      <c r="D303" s="4">
        <v>1</v>
      </c>
      <c r="E303" s="4">
        <v>207</v>
      </c>
      <c r="F303" s="4">
        <f>ROUND(Source!U281,O303)</f>
        <v>21.243079999999999</v>
      </c>
      <c r="G303" s="4" t="s">
        <v>62</v>
      </c>
      <c r="H303" s="4" t="s">
        <v>63</v>
      </c>
      <c r="I303" s="4"/>
      <c r="J303" s="4"/>
      <c r="K303" s="4">
        <v>207</v>
      </c>
      <c r="L303" s="4">
        <v>21</v>
      </c>
      <c r="M303" s="4">
        <v>3</v>
      </c>
      <c r="N303" s="4" t="s">
        <v>6</v>
      </c>
      <c r="O303" s="4">
        <v>7</v>
      </c>
      <c r="P303" s="4"/>
      <c r="Q303" s="4"/>
      <c r="R303" s="4"/>
      <c r="S303" s="4"/>
      <c r="T303" s="4"/>
      <c r="U303" s="4"/>
      <c r="V303" s="4"/>
      <c r="W303" s="4">
        <v>21.243079999999999</v>
      </c>
      <c r="X303" s="4">
        <v>1</v>
      </c>
      <c r="Y303" s="4">
        <v>21.243079999999999</v>
      </c>
      <c r="Z303" s="4"/>
      <c r="AA303" s="4"/>
      <c r="AB303" s="4"/>
    </row>
    <row r="304" spans="1:28" x14ac:dyDescent="0.2">
      <c r="A304" s="4">
        <v>50</v>
      </c>
      <c r="B304" s="4">
        <v>0</v>
      </c>
      <c r="C304" s="4">
        <v>0</v>
      </c>
      <c r="D304" s="4">
        <v>1</v>
      </c>
      <c r="E304" s="4">
        <v>208</v>
      </c>
      <c r="F304" s="4">
        <f>ROUND(Source!V281,O304)</f>
        <v>3.0200000000000001E-2</v>
      </c>
      <c r="G304" s="4" t="s">
        <v>64</v>
      </c>
      <c r="H304" s="4" t="s">
        <v>65</v>
      </c>
      <c r="I304" s="4"/>
      <c r="J304" s="4"/>
      <c r="K304" s="4">
        <v>208</v>
      </c>
      <c r="L304" s="4">
        <v>22</v>
      </c>
      <c r="M304" s="4">
        <v>3</v>
      </c>
      <c r="N304" s="4" t="s">
        <v>6</v>
      </c>
      <c r="O304" s="4">
        <v>7</v>
      </c>
      <c r="P304" s="4"/>
      <c r="Q304" s="4"/>
      <c r="R304" s="4"/>
      <c r="S304" s="4"/>
      <c r="T304" s="4"/>
      <c r="U304" s="4"/>
      <c r="V304" s="4"/>
      <c r="W304" s="4">
        <v>3.0200000000000001E-2</v>
      </c>
      <c r="X304" s="4">
        <v>1</v>
      </c>
      <c r="Y304" s="4">
        <v>3.0200000000000001E-2</v>
      </c>
      <c r="Z304" s="4"/>
      <c r="AA304" s="4"/>
      <c r="AB304" s="4"/>
    </row>
    <row r="305" spans="1:206" x14ac:dyDescent="0.2">
      <c r="A305" s="4">
        <v>50</v>
      </c>
      <c r="B305" s="4">
        <v>0</v>
      </c>
      <c r="C305" s="4">
        <v>0</v>
      </c>
      <c r="D305" s="4">
        <v>1</v>
      </c>
      <c r="E305" s="4">
        <v>209</v>
      </c>
      <c r="F305" s="4">
        <f>ROUND(Source!W281,O305)</f>
        <v>0</v>
      </c>
      <c r="G305" s="4" t="s">
        <v>66</v>
      </c>
      <c r="H305" s="4" t="s">
        <v>67</v>
      </c>
      <c r="I305" s="4"/>
      <c r="J305" s="4"/>
      <c r="K305" s="4">
        <v>209</v>
      </c>
      <c r="L305" s="4">
        <v>23</v>
      </c>
      <c r="M305" s="4">
        <v>3</v>
      </c>
      <c r="N305" s="4" t="s">
        <v>6</v>
      </c>
      <c r="O305" s="4">
        <v>2</v>
      </c>
      <c r="P305" s="4"/>
      <c r="Q305" s="4"/>
      <c r="R305" s="4"/>
      <c r="S305" s="4"/>
      <c r="T305" s="4"/>
      <c r="U305" s="4"/>
      <c r="V305" s="4"/>
      <c r="W305" s="4">
        <v>0</v>
      </c>
      <c r="X305" s="4">
        <v>1</v>
      </c>
      <c r="Y305" s="4">
        <v>0</v>
      </c>
      <c r="Z305" s="4"/>
      <c r="AA305" s="4"/>
      <c r="AB305" s="4"/>
    </row>
    <row r="306" spans="1:206" x14ac:dyDescent="0.2">
      <c r="A306" s="4">
        <v>50</v>
      </c>
      <c r="B306" s="4">
        <v>0</v>
      </c>
      <c r="C306" s="4">
        <v>0</v>
      </c>
      <c r="D306" s="4">
        <v>1</v>
      </c>
      <c r="E306" s="4">
        <v>233</v>
      </c>
      <c r="F306" s="4">
        <f>ROUND(Source!BD281,O306)</f>
        <v>0</v>
      </c>
      <c r="G306" s="4" t="s">
        <v>68</v>
      </c>
      <c r="H306" s="4" t="s">
        <v>69</v>
      </c>
      <c r="I306" s="4"/>
      <c r="J306" s="4"/>
      <c r="K306" s="4">
        <v>233</v>
      </c>
      <c r="L306" s="4">
        <v>24</v>
      </c>
      <c r="M306" s="4">
        <v>3</v>
      </c>
      <c r="N306" s="4" t="s">
        <v>6</v>
      </c>
      <c r="O306" s="4">
        <v>2</v>
      </c>
      <c r="P306" s="4"/>
      <c r="Q306" s="4"/>
      <c r="R306" s="4"/>
      <c r="S306" s="4"/>
      <c r="T306" s="4"/>
      <c r="U306" s="4"/>
      <c r="V306" s="4"/>
      <c r="W306" s="4">
        <v>0</v>
      </c>
      <c r="X306" s="4">
        <v>1</v>
      </c>
      <c r="Y306" s="4">
        <v>0</v>
      </c>
      <c r="Z306" s="4"/>
      <c r="AA306" s="4"/>
      <c r="AB306" s="4"/>
    </row>
    <row r="307" spans="1:206" x14ac:dyDescent="0.2">
      <c r="A307" s="4">
        <v>50</v>
      </c>
      <c r="B307" s="4">
        <v>0</v>
      </c>
      <c r="C307" s="4">
        <v>0</v>
      </c>
      <c r="D307" s="4">
        <v>1</v>
      </c>
      <c r="E307" s="4">
        <v>210</v>
      </c>
      <c r="F307" s="4">
        <f>ROUND(Source!X281,O307)</f>
        <v>6511.19</v>
      </c>
      <c r="G307" s="4" t="s">
        <v>70</v>
      </c>
      <c r="H307" s="4" t="s">
        <v>71</v>
      </c>
      <c r="I307" s="4"/>
      <c r="J307" s="4"/>
      <c r="K307" s="4">
        <v>210</v>
      </c>
      <c r="L307" s="4">
        <v>25</v>
      </c>
      <c r="M307" s="4">
        <v>3</v>
      </c>
      <c r="N307" s="4" t="s">
        <v>6</v>
      </c>
      <c r="O307" s="4">
        <v>2</v>
      </c>
      <c r="P307" s="4"/>
      <c r="Q307" s="4"/>
      <c r="R307" s="4"/>
      <c r="S307" s="4"/>
      <c r="T307" s="4"/>
      <c r="U307" s="4"/>
      <c r="V307" s="4"/>
      <c r="W307" s="4">
        <v>6511.19</v>
      </c>
      <c r="X307" s="4">
        <v>1</v>
      </c>
      <c r="Y307" s="4">
        <v>6511.19</v>
      </c>
      <c r="Z307" s="4"/>
      <c r="AA307" s="4"/>
      <c r="AB307" s="4"/>
    </row>
    <row r="308" spans="1:206" x14ac:dyDescent="0.2">
      <c r="A308" s="4">
        <v>50</v>
      </c>
      <c r="B308" s="4">
        <v>0</v>
      </c>
      <c r="C308" s="4">
        <v>0</v>
      </c>
      <c r="D308" s="4">
        <v>1</v>
      </c>
      <c r="E308" s="4">
        <v>211</v>
      </c>
      <c r="F308" s="4">
        <f>ROUND(Source!Y281,O308)</f>
        <v>3397.31</v>
      </c>
      <c r="G308" s="4" t="s">
        <v>72</v>
      </c>
      <c r="H308" s="4" t="s">
        <v>73</v>
      </c>
      <c r="I308" s="4"/>
      <c r="J308" s="4"/>
      <c r="K308" s="4">
        <v>211</v>
      </c>
      <c r="L308" s="4">
        <v>26</v>
      </c>
      <c r="M308" s="4">
        <v>3</v>
      </c>
      <c r="N308" s="4" t="s">
        <v>6</v>
      </c>
      <c r="O308" s="4">
        <v>2</v>
      </c>
      <c r="P308" s="4"/>
      <c r="Q308" s="4"/>
      <c r="R308" s="4"/>
      <c r="S308" s="4"/>
      <c r="T308" s="4"/>
      <c r="U308" s="4"/>
      <c r="V308" s="4"/>
      <c r="W308" s="4">
        <v>3397.31</v>
      </c>
      <c r="X308" s="4">
        <v>1</v>
      </c>
      <c r="Y308" s="4">
        <v>3397.31</v>
      </c>
      <c r="Z308" s="4"/>
      <c r="AA308" s="4"/>
      <c r="AB308" s="4"/>
    </row>
    <row r="309" spans="1:206" x14ac:dyDescent="0.2">
      <c r="A309" s="4">
        <v>50</v>
      </c>
      <c r="B309" s="4">
        <v>0</v>
      </c>
      <c r="C309" s="4">
        <v>0</v>
      </c>
      <c r="D309" s="4">
        <v>1</v>
      </c>
      <c r="E309" s="4">
        <v>224</v>
      </c>
      <c r="F309" s="4">
        <f>ROUND(Source!AR281,O309)</f>
        <v>59225.2</v>
      </c>
      <c r="G309" s="4" t="s">
        <v>74</v>
      </c>
      <c r="H309" s="4" t="s">
        <v>75</v>
      </c>
      <c r="I309" s="4"/>
      <c r="J309" s="4"/>
      <c r="K309" s="4">
        <v>224</v>
      </c>
      <c r="L309" s="4">
        <v>27</v>
      </c>
      <c r="M309" s="4">
        <v>3</v>
      </c>
      <c r="N309" s="4" t="s">
        <v>6</v>
      </c>
      <c r="O309" s="4">
        <v>2</v>
      </c>
      <c r="P309" s="4"/>
      <c r="Q309" s="4"/>
      <c r="R309" s="4"/>
      <c r="S309" s="4"/>
      <c r="T309" s="4"/>
      <c r="U309" s="4"/>
      <c r="V309" s="4"/>
      <c r="W309" s="4">
        <v>59225.200000000004</v>
      </c>
      <c r="X309" s="4">
        <v>1</v>
      </c>
      <c r="Y309" s="4">
        <v>59225.200000000004</v>
      </c>
      <c r="Z309" s="4"/>
      <c r="AA309" s="4"/>
      <c r="AB309" s="4"/>
    </row>
    <row r="311" spans="1:206" x14ac:dyDescent="0.2">
      <c r="A311" s="6">
        <v>60</v>
      </c>
      <c r="B311" s="6">
        <f>IF(Source!F311&lt;&gt;0,1,0)</f>
        <v>1</v>
      </c>
      <c r="C311" s="6"/>
      <c r="D311" s="6">
        <f>ROW(A20)</f>
        <v>20</v>
      </c>
      <c r="E311" s="6">
        <v>1</v>
      </c>
      <c r="F311" s="6">
        <f>495</f>
        <v>495</v>
      </c>
      <c r="G311" s="6" t="s">
        <v>179</v>
      </c>
      <c r="H311" s="6" t="s">
        <v>180</v>
      </c>
    </row>
    <row r="313" spans="1:206" x14ac:dyDescent="0.2">
      <c r="A313" s="2">
        <v>51</v>
      </c>
      <c r="B313" s="2">
        <f>B12</f>
        <v>370</v>
      </c>
      <c r="C313" s="2">
        <f>A12</f>
        <v>1</v>
      </c>
      <c r="D313" s="2">
        <f>ROW(A12)</f>
        <v>12</v>
      </c>
      <c r="E313" s="2"/>
      <c r="F313" s="2" t="str">
        <f>IF(F12&lt;&gt;"",F12,"")</f>
        <v>ЛСР02-01-06_(Копия)</v>
      </c>
      <c r="G313" s="2" t="str">
        <f>IF(G12&lt;&gt;"",G12,"")</f>
        <v>02-01-06 Электрика костюм.</v>
      </c>
      <c r="H313" s="2">
        <v>0</v>
      </c>
      <c r="I313" s="2"/>
      <c r="J313" s="2"/>
      <c r="K313" s="2"/>
      <c r="L313" s="2"/>
      <c r="M313" s="2"/>
      <c r="N313" s="2"/>
      <c r="O313" s="2">
        <f t="shared" ref="O313:T313" si="104">ROUND(O281,2)</f>
        <v>49316.7</v>
      </c>
      <c r="P313" s="2">
        <f t="shared" si="104"/>
        <v>42159.96</v>
      </c>
      <c r="Q313" s="2">
        <f t="shared" si="104"/>
        <v>130.9</v>
      </c>
      <c r="R313" s="2">
        <f t="shared" si="104"/>
        <v>10.39</v>
      </c>
      <c r="S313" s="2">
        <f t="shared" si="104"/>
        <v>7015.45</v>
      </c>
      <c r="T313" s="2">
        <f t="shared" si="104"/>
        <v>0</v>
      </c>
      <c r="U313" s="2">
        <f>U281</f>
        <v>21.243079999999999</v>
      </c>
      <c r="V313" s="2">
        <f>V281</f>
        <v>3.0199999999999998E-2</v>
      </c>
      <c r="W313" s="2">
        <f>ROUND(W281,2)</f>
        <v>0</v>
      </c>
      <c r="X313" s="2">
        <f>ROUND(X281,2)</f>
        <v>6511.19</v>
      </c>
      <c r="Y313" s="2">
        <f>ROUND(Y281,2)</f>
        <v>3397.31</v>
      </c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>
        <f t="shared" ref="AO313:BD313" si="105">ROUND(AO281,2)</f>
        <v>0</v>
      </c>
      <c r="AP313" s="2">
        <f t="shared" si="105"/>
        <v>0</v>
      </c>
      <c r="AQ313" s="2">
        <f t="shared" si="105"/>
        <v>0</v>
      </c>
      <c r="AR313" s="2">
        <f t="shared" si="105"/>
        <v>59225.2</v>
      </c>
      <c r="AS313" s="2">
        <f t="shared" si="105"/>
        <v>3029.44</v>
      </c>
      <c r="AT313" s="2">
        <f t="shared" si="105"/>
        <v>56195.76</v>
      </c>
      <c r="AU313" s="2">
        <f t="shared" si="105"/>
        <v>0</v>
      </c>
      <c r="AV313" s="2">
        <f t="shared" si="105"/>
        <v>42159.96</v>
      </c>
      <c r="AW313" s="2">
        <f t="shared" si="105"/>
        <v>42159.96</v>
      </c>
      <c r="AX313" s="2">
        <f t="shared" si="105"/>
        <v>0</v>
      </c>
      <c r="AY313" s="2">
        <f t="shared" si="105"/>
        <v>42159.96</v>
      </c>
      <c r="AZ313" s="2">
        <f t="shared" si="105"/>
        <v>0</v>
      </c>
      <c r="BA313" s="2">
        <f t="shared" si="105"/>
        <v>0</v>
      </c>
      <c r="BB313" s="2">
        <f t="shared" si="105"/>
        <v>0</v>
      </c>
      <c r="BC313" s="2">
        <f t="shared" si="105"/>
        <v>0</v>
      </c>
      <c r="BD313" s="2">
        <f t="shared" si="105"/>
        <v>0</v>
      </c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>
        <v>0</v>
      </c>
    </row>
    <row r="315" spans="1:206" x14ac:dyDescent="0.2">
      <c r="A315" s="4">
        <v>50</v>
      </c>
      <c r="B315" s="4">
        <v>0</v>
      </c>
      <c r="C315" s="4">
        <v>0</v>
      </c>
      <c r="D315" s="4">
        <v>1</v>
      </c>
      <c r="E315" s="4">
        <v>201</v>
      </c>
      <c r="F315" s="4">
        <f>ROUND(Source!O313,O315)</f>
        <v>49316.7</v>
      </c>
      <c r="G315" s="4" t="s">
        <v>22</v>
      </c>
      <c r="H315" s="4" t="s">
        <v>23</v>
      </c>
      <c r="I315" s="4"/>
      <c r="J315" s="4"/>
      <c r="K315" s="4">
        <v>201</v>
      </c>
      <c r="L315" s="4">
        <v>1</v>
      </c>
      <c r="M315" s="4">
        <v>3</v>
      </c>
      <c r="N315" s="4" t="s">
        <v>6</v>
      </c>
      <c r="O315" s="4">
        <v>2</v>
      </c>
      <c r="P315" s="4"/>
      <c r="Q315" s="4"/>
      <c r="R315" s="4"/>
      <c r="S315" s="4"/>
      <c r="T315" s="4"/>
      <c r="U315" s="4"/>
      <c r="V315" s="4"/>
      <c r="W315" s="4">
        <v>49316.7</v>
      </c>
      <c r="X315" s="4">
        <v>1</v>
      </c>
      <c r="Y315" s="4">
        <v>49316.7</v>
      </c>
      <c r="Z315" s="4"/>
      <c r="AA315" s="4"/>
      <c r="AB315" s="4"/>
    </row>
    <row r="316" spans="1:206" x14ac:dyDescent="0.2">
      <c r="A316" s="4">
        <v>50</v>
      </c>
      <c r="B316" s="4">
        <v>0</v>
      </c>
      <c r="C316" s="4">
        <v>0</v>
      </c>
      <c r="D316" s="4">
        <v>1</v>
      </c>
      <c r="E316" s="4">
        <v>202</v>
      </c>
      <c r="F316" s="4">
        <f>ROUND(Source!P313,O316)</f>
        <v>42159.96</v>
      </c>
      <c r="G316" s="4" t="s">
        <v>24</v>
      </c>
      <c r="H316" s="4" t="s">
        <v>25</v>
      </c>
      <c r="I316" s="4"/>
      <c r="J316" s="4"/>
      <c r="K316" s="4">
        <v>202</v>
      </c>
      <c r="L316" s="4">
        <v>2</v>
      </c>
      <c r="M316" s="4">
        <v>3</v>
      </c>
      <c r="N316" s="4" t="s">
        <v>6</v>
      </c>
      <c r="O316" s="4">
        <v>2</v>
      </c>
      <c r="P316" s="4"/>
      <c r="Q316" s="4"/>
      <c r="R316" s="4"/>
      <c r="S316" s="4"/>
      <c r="T316" s="4"/>
      <c r="U316" s="4"/>
      <c r="V316" s="4"/>
      <c r="W316" s="4">
        <v>42159.96</v>
      </c>
      <c r="X316" s="4">
        <v>1</v>
      </c>
      <c r="Y316" s="4">
        <v>42159.96</v>
      </c>
      <c r="Z316" s="4"/>
      <c r="AA316" s="4"/>
      <c r="AB316" s="4"/>
    </row>
    <row r="317" spans="1:206" x14ac:dyDescent="0.2">
      <c r="A317" s="4">
        <v>50</v>
      </c>
      <c r="B317" s="4">
        <v>0</v>
      </c>
      <c r="C317" s="4">
        <v>0</v>
      </c>
      <c r="D317" s="4">
        <v>1</v>
      </c>
      <c r="E317" s="4">
        <v>222</v>
      </c>
      <c r="F317" s="4">
        <f>ROUND(Source!AO313,O317)</f>
        <v>0</v>
      </c>
      <c r="G317" s="4" t="s">
        <v>26</v>
      </c>
      <c r="H317" s="4" t="s">
        <v>27</v>
      </c>
      <c r="I317" s="4"/>
      <c r="J317" s="4"/>
      <c r="K317" s="4">
        <v>222</v>
      </c>
      <c r="L317" s="4">
        <v>3</v>
      </c>
      <c r="M317" s="4">
        <v>3</v>
      </c>
      <c r="N317" s="4" t="s">
        <v>6</v>
      </c>
      <c r="O317" s="4">
        <v>2</v>
      </c>
      <c r="P317" s="4"/>
      <c r="Q317" s="4"/>
      <c r="R317" s="4"/>
      <c r="S317" s="4"/>
      <c r="T317" s="4"/>
      <c r="U317" s="4"/>
      <c r="V317" s="4"/>
      <c r="W317" s="4">
        <v>0</v>
      </c>
      <c r="X317" s="4">
        <v>1</v>
      </c>
      <c r="Y317" s="4">
        <v>0</v>
      </c>
      <c r="Z317" s="4"/>
      <c r="AA317" s="4"/>
      <c r="AB317" s="4"/>
    </row>
    <row r="318" spans="1:206" x14ac:dyDescent="0.2">
      <c r="A318" s="4">
        <v>50</v>
      </c>
      <c r="B318" s="4">
        <v>0</v>
      </c>
      <c r="C318" s="4">
        <v>0</v>
      </c>
      <c r="D318" s="4">
        <v>1</v>
      </c>
      <c r="E318" s="4">
        <v>225</v>
      </c>
      <c r="F318" s="4">
        <f>ROUND(Source!AV313,O318)</f>
        <v>42159.96</v>
      </c>
      <c r="G318" s="4" t="s">
        <v>28</v>
      </c>
      <c r="H318" s="4" t="s">
        <v>29</v>
      </c>
      <c r="I318" s="4"/>
      <c r="J318" s="4"/>
      <c r="K318" s="4">
        <v>225</v>
      </c>
      <c r="L318" s="4">
        <v>4</v>
      </c>
      <c r="M318" s="4">
        <v>3</v>
      </c>
      <c r="N318" s="4" t="s">
        <v>6</v>
      </c>
      <c r="O318" s="4">
        <v>2</v>
      </c>
      <c r="P318" s="4"/>
      <c r="Q318" s="4"/>
      <c r="R318" s="4"/>
      <c r="S318" s="4"/>
      <c r="T318" s="4"/>
      <c r="U318" s="4"/>
      <c r="V318" s="4"/>
      <c r="W318" s="4">
        <v>42159.96</v>
      </c>
      <c r="X318" s="4">
        <v>1</v>
      </c>
      <c r="Y318" s="4">
        <v>42159.96</v>
      </c>
      <c r="Z318" s="4"/>
      <c r="AA318" s="4"/>
      <c r="AB318" s="4"/>
    </row>
    <row r="319" spans="1:206" x14ac:dyDescent="0.2">
      <c r="A319" s="4">
        <v>50</v>
      </c>
      <c r="B319" s="4">
        <v>0</v>
      </c>
      <c r="C319" s="4">
        <v>0</v>
      </c>
      <c r="D319" s="4">
        <v>1</v>
      </c>
      <c r="E319" s="4">
        <v>226</v>
      </c>
      <c r="F319" s="4">
        <f>ROUND(Source!AW313,O319)</f>
        <v>42159.96</v>
      </c>
      <c r="G319" s="4" t="s">
        <v>30</v>
      </c>
      <c r="H319" s="4" t="s">
        <v>31</v>
      </c>
      <c r="I319" s="4"/>
      <c r="J319" s="4"/>
      <c r="K319" s="4">
        <v>226</v>
      </c>
      <c r="L319" s="4">
        <v>5</v>
      </c>
      <c r="M319" s="4">
        <v>3</v>
      </c>
      <c r="N319" s="4" t="s">
        <v>6</v>
      </c>
      <c r="O319" s="4">
        <v>2</v>
      </c>
      <c r="P319" s="4"/>
      <c r="Q319" s="4"/>
      <c r="R319" s="4"/>
      <c r="S319" s="4"/>
      <c r="T319" s="4"/>
      <c r="U319" s="4"/>
      <c r="V319" s="4"/>
      <c r="W319" s="4">
        <v>42159.96</v>
      </c>
      <c r="X319" s="4">
        <v>1</v>
      </c>
      <c r="Y319" s="4">
        <v>42159.96</v>
      </c>
      <c r="Z319" s="4"/>
      <c r="AA319" s="4"/>
      <c r="AB319" s="4"/>
    </row>
    <row r="320" spans="1:206" x14ac:dyDescent="0.2">
      <c r="A320" s="4">
        <v>50</v>
      </c>
      <c r="B320" s="4">
        <v>0</v>
      </c>
      <c r="C320" s="4">
        <v>0</v>
      </c>
      <c r="D320" s="4">
        <v>1</v>
      </c>
      <c r="E320" s="4">
        <v>227</v>
      </c>
      <c r="F320" s="4">
        <f>ROUND(Source!AX313,O320)</f>
        <v>0</v>
      </c>
      <c r="G320" s="4" t="s">
        <v>32</v>
      </c>
      <c r="H320" s="4" t="s">
        <v>33</v>
      </c>
      <c r="I320" s="4"/>
      <c r="J320" s="4"/>
      <c r="K320" s="4">
        <v>227</v>
      </c>
      <c r="L320" s="4">
        <v>6</v>
      </c>
      <c r="M320" s="4">
        <v>3</v>
      </c>
      <c r="N320" s="4" t="s">
        <v>6</v>
      </c>
      <c r="O320" s="4">
        <v>2</v>
      </c>
      <c r="P320" s="4"/>
      <c r="Q320" s="4"/>
      <c r="R320" s="4"/>
      <c r="S320" s="4"/>
      <c r="T320" s="4"/>
      <c r="U320" s="4"/>
      <c r="V320" s="4"/>
      <c r="W320" s="4">
        <v>0</v>
      </c>
      <c r="X320" s="4">
        <v>1</v>
      </c>
      <c r="Y320" s="4">
        <v>0</v>
      </c>
      <c r="Z320" s="4"/>
      <c r="AA320" s="4"/>
      <c r="AB320" s="4"/>
    </row>
    <row r="321" spans="1:28" x14ac:dyDescent="0.2">
      <c r="A321" s="4">
        <v>50</v>
      </c>
      <c r="B321" s="4">
        <v>0</v>
      </c>
      <c r="C321" s="4">
        <v>0</v>
      </c>
      <c r="D321" s="4">
        <v>1</v>
      </c>
      <c r="E321" s="4">
        <v>228</v>
      </c>
      <c r="F321" s="4">
        <f>ROUND(Source!AY313,O321)</f>
        <v>42159.96</v>
      </c>
      <c r="G321" s="4" t="s">
        <v>34</v>
      </c>
      <c r="H321" s="4" t="s">
        <v>35</v>
      </c>
      <c r="I321" s="4"/>
      <c r="J321" s="4"/>
      <c r="K321" s="4">
        <v>228</v>
      </c>
      <c r="L321" s="4">
        <v>7</v>
      </c>
      <c r="M321" s="4">
        <v>3</v>
      </c>
      <c r="N321" s="4" t="s">
        <v>6</v>
      </c>
      <c r="O321" s="4">
        <v>2</v>
      </c>
      <c r="P321" s="4"/>
      <c r="Q321" s="4"/>
      <c r="R321" s="4"/>
      <c r="S321" s="4"/>
      <c r="T321" s="4"/>
      <c r="U321" s="4"/>
      <c r="V321" s="4"/>
      <c r="W321" s="4">
        <v>42159.96</v>
      </c>
      <c r="X321" s="4">
        <v>1</v>
      </c>
      <c r="Y321" s="4">
        <v>42159.96</v>
      </c>
      <c r="Z321" s="4"/>
      <c r="AA321" s="4"/>
      <c r="AB321" s="4"/>
    </row>
    <row r="322" spans="1:28" x14ac:dyDescent="0.2">
      <c r="A322" s="4">
        <v>50</v>
      </c>
      <c r="B322" s="4">
        <v>0</v>
      </c>
      <c r="C322" s="4">
        <v>0</v>
      </c>
      <c r="D322" s="4">
        <v>1</v>
      </c>
      <c r="E322" s="4">
        <v>216</v>
      </c>
      <c r="F322" s="4">
        <f>ROUND(Source!AP313,O322)</f>
        <v>0</v>
      </c>
      <c r="G322" s="4" t="s">
        <v>36</v>
      </c>
      <c r="H322" s="4" t="s">
        <v>37</v>
      </c>
      <c r="I322" s="4"/>
      <c r="J322" s="4"/>
      <c r="K322" s="4">
        <v>216</v>
      </c>
      <c r="L322" s="4">
        <v>8</v>
      </c>
      <c r="M322" s="4">
        <v>3</v>
      </c>
      <c r="N322" s="4" t="s">
        <v>6</v>
      </c>
      <c r="O322" s="4">
        <v>2</v>
      </c>
      <c r="P322" s="4"/>
      <c r="Q322" s="4"/>
      <c r="R322" s="4"/>
      <c r="S322" s="4"/>
      <c r="T322" s="4"/>
      <c r="U322" s="4"/>
      <c r="V322" s="4"/>
      <c r="W322" s="4">
        <v>0</v>
      </c>
      <c r="X322" s="4">
        <v>1</v>
      </c>
      <c r="Y322" s="4">
        <v>0</v>
      </c>
      <c r="Z322" s="4"/>
      <c r="AA322" s="4"/>
      <c r="AB322" s="4"/>
    </row>
    <row r="323" spans="1:28" x14ac:dyDescent="0.2">
      <c r="A323" s="4">
        <v>50</v>
      </c>
      <c r="B323" s="4">
        <v>0</v>
      </c>
      <c r="C323" s="4">
        <v>0</v>
      </c>
      <c r="D323" s="4">
        <v>1</v>
      </c>
      <c r="E323" s="4">
        <v>223</v>
      </c>
      <c r="F323" s="4">
        <f>ROUND(Source!AQ313,O323)</f>
        <v>0</v>
      </c>
      <c r="G323" s="4" t="s">
        <v>38</v>
      </c>
      <c r="H323" s="4" t="s">
        <v>39</v>
      </c>
      <c r="I323" s="4"/>
      <c r="J323" s="4"/>
      <c r="K323" s="4">
        <v>223</v>
      </c>
      <c r="L323" s="4">
        <v>9</v>
      </c>
      <c r="M323" s="4">
        <v>3</v>
      </c>
      <c r="N323" s="4" t="s">
        <v>6</v>
      </c>
      <c r="O323" s="4">
        <v>2</v>
      </c>
      <c r="P323" s="4"/>
      <c r="Q323" s="4"/>
      <c r="R323" s="4"/>
      <c r="S323" s="4"/>
      <c r="T323" s="4"/>
      <c r="U323" s="4"/>
      <c r="V323" s="4"/>
      <c r="W323" s="4">
        <v>0</v>
      </c>
      <c r="X323" s="4">
        <v>1</v>
      </c>
      <c r="Y323" s="4">
        <v>0</v>
      </c>
      <c r="Z323" s="4"/>
      <c r="AA323" s="4"/>
      <c r="AB323" s="4"/>
    </row>
    <row r="324" spans="1:28" x14ac:dyDescent="0.2">
      <c r="A324" s="4">
        <v>50</v>
      </c>
      <c r="B324" s="4">
        <v>0</v>
      </c>
      <c r="C324" s="4">
        <v>0</v>
      </c>
      <c r="D324" s="4">
        <v>1</v>
      </c>
      <c r="E324" s="4">
        <v>229</v>
      </c>
      <c r="F324" s="4">
        <f>ROUND(Source!AZ313,O324)</f>
        <v>0</v>
      </c>
      <c r="G324" s="4" t="s">
        <v>40</v>
      </c>
      <c r="H324" s="4" t="s">
        <v>41</v>
      </c>
      <c r="I324" s="4"/>
      <c r="J324" s="4"/>
      <c r="K324" s="4">
        <v>229</v>
      </c>
      <c r="L324" s="4">
        <v>10</v>
      </c>
      <c r="M324" s="4">
        <v>3</v>
      </c>
      <c r="N324" s="4" t="s">
        <v>6</v>
      </c>
      <c r="O324" s="4">
        <v>2</v>
      </c>
      <c r="P324" s="4"/>
      <c r="Q324" s="4"/>
      <c r="R324" s="4"/>
      <c r="S324" s="4"/>
      <c r="T324" s="4"/>
      <c r="U324" s="4"/>
      <c r="V324" s="4"/>
      <c r="W324" s="4">
        <v>0</v>
      </c>
      <c r="X324" s="4">
        <v>1</v>
      </c>
      <c r="Y324" s="4">
        <v>0</v>
      </c>
      <c r="Z324" s="4"/>
      <c r="AA324" s="4"/>
      <c r="AB324" s="4"/>
    </row>
    <row r="325" spans="1:28" x14ac:dyDescent="0.2">
      <c r="A325" s="4">
        <v>50</v>
      </c>
      <c r="B325" s="4">
        <v>0</v>
      </c>
      <c r="C325" s="4">
        <v>0</v>
      </c>
      <c r="D325" s="4">
        <v>1</v>
      </c>
      <c r="E325" s="4">
        <v>203</v>
      </c>
      <c r="F325" s="4">
        <f>ROUND(Source!Q313,O325)</f>
        <v>130.9</v>
      </c>
      <c r="G325" s="4" t="s">
        <v>42</v>
      </c>
      <c r="H325" s="4" t="s">
        <v>43</v>
      </c>
      <c r="I325" s="4"/>
      <c r="J325" s="4"/>
      <c r="K325" s="4">
        <v>203</v>
      </c>
      <c r="L325" s="4">
        <v>11</v>
      </c>
      <c r="M325" s="4">
        <v>3</v>
      </c>
      <c r="N325" s="4" t="s">
        <v>6</v>
      </c>
      <c r="O325" s="4">
        <v>2</v>
      </c>
      <c r="P325" s="4"/>
      <c r="Q325" s="4"/>
      <c r="R325" s="4"/>
      <c r="S325" s="4"/>
      <c r="T325" s="4"/>
      <c r="U325" s="4"/>
      <c r="V325" s="4"/>
      <c r="W325" s="4">
        <v>130.89999999999998</v>
      </c>
      <c r="X325" s="4">
        <v>1</v>
      </c>
      <c r="Y325" s="4">
        <v>130.89999999999998</v>
      </c>
      <c r="Z325" s="4"/>
      <c r="AA325" s="4"/>
      <c r="AB325" s="4"/>
    </row>
    <row r="326" spans="1:28" x14ac:dyDescent="0.2">
      <c r="A326" s="4">
        <v>50</v>
      </c>
      <c r="B326" s="4">
        <v>0</v>
      </c>
      <c r="C326" s="4">
        <v>0</v>
      </c>
      <c r="D326" s="4">
        <v>1</v>
      </c>
      <c r="E326" s="4">
        <v>231</v>
      </c>
      <c r="F326" s="4">
        <f>ROUND(Source!BB313,O326)</f>
        <v>0</v>
      </c>
      <c r="G326" s="4" t="s">
        <v>44</v>
      </c>
      <c r="H326" s="4" t="s">
        <v>45</v>
      </c>
      <c r="I326" s="4"/>
      <c r="J326" s="4"/>
      <c r="K326" s="4">
        <v>231</v>
      </c>
      <c r="L326" s="4">
        <v>12</v>
      </c>
      <c r="M326" s="4">
        <v>3</v>
      </c>
      <c r="N326" s="4" t="s">
        <v>6</v>
      </c>
      <c r="O326" s="4">
        <v>2</v>
      </c>
      <c r="P326" s="4"/>
      <c r="Q326" s="4"/>
      <c r="R326" s="4"/>
      <c r="S326" s="4"/>
      <c r="T326" s="4"/>
      <c r="U326" s="4"/>
      <c r="V326" s="4"/>
      <c r="W326" s="4">
        <v>0</v>
      </c>
      <c r="X326" s="4">
        <v>1</v>
      </c>
      <c r="Y326" s="4">
        <v>0</v>
      </c>
      <c r="Z326" s="4"/>
      <c r="AA326" s="4"/>
      <c r="AB326" s="4"/>
    </row>
    <row r="327" spans="1:28" x14ac:dyDescent="0.2">
      <c r="A327" s="4">
        <v>50</v>
      </c>
      <c r="B327" s="4">
        <v>0</v>
      </c>
      <c r="C327" s="4">
        <v>0</v>
      </c>
      <c r="D327" s="4">
        <v>1</v>
      </c>
      <c r="E327" s="4">
        <v>204</v>
      </c>
      <c r="F327" s="4">
        <f>ROUND(Source!R313,O327)</f>
        <v>10.39</v>
      </c>
      <c r="G327" s="4" t="s">
        <v>46</v>
      </c>
      <c r="H327" s="4" t="s">
        <v>47</v>
      </c>
      <c r="I327" s="4"/>
      <c r="J327" s="4"/>
      <c r="K327" s="4">
        <v>204</v>
      </c>
      <c r="L327" s="4">
        <v>13</v>
      </c>
      <c r="M327" s="4">
        <v>3</v>
      </c>
      <c r="N327" s="4" t="s">
        <v>6</v>
      </c>
      <c r="O327" s="4">
        <v>2</v>
      </c>
      <c r="P327" s="4"/>
      <c r="Q327" s="4"/>
      <c r="R327" s="4"/>
      <c r="S327" s="4"/>
      <c r="T327" s="4"/>
      <c r="U327" s="4"/>
      <c r="V327" s="4"/>
      <c r="W327" s="4">
        <v>10.389999999999999</v>
      </c>
      <c r="X327" s="4">
        <v>1</v>
      </c>
      <c r="Y327" s="4">
        <v>10.389999999999999</v>
      </c>
      <c r="Z327" s="4"/>
      <c r="AA327" s="4"/>
      <c r="AB327" s="4"/>
    </row>
    <row r="328" spans="1:28" x14ac:dyDescent="0.2">
      <c r="A328" s="4">
        <v>50</v>
      </c>
      <c r="B328" s="4">
        <v>0</v>
      </c>
      <c r="C328" s="4">
        <v>0</v>
      </c>
      <c r="D328" s="4">
        <v>1</v>
      </c>
      <c r="E328" s="4">
        <v>205</v>
      </c>
      <c r="F328" s="4">
        <f>ROUND(Source!S313,O328)</f>
        <v>7015.45</v>
      </c>
      <c r="G328" s="4" t="s">
        <v>48</v>
      </c>
      <c r="H328" s="4" t="s">
        <v>49</v>
      </c>
      <c r="I328" s="4"/>
      <c r="J328" s="4"/>
      <c r="K328" s="4">
        <v>205</v>
      </c>
      <c r="L328" s="4">
        <v>14</v>
      </c>
      <c r="M328" s="4">
        <v>3</v>
      </c>
      <c r="N328" s="4" t="s">
        <v>6</v>
      </c>
      <c r="O328" s="4">
        <v>2</v>
      </c>
      <c r="P328" s="4"/>
      <c r="Q328" s="4"/>
      <c r="R328" s="4"/>
      <c r="S328" s="4"/>
      <c r="T328" s="4"/>
      <c r="U328" s="4"/>
      <c r="V328" s="4"/>
      <c r="W328" s="4">
        <v>7015.4500000000007</v>
      </c>
      <c r="X328" s="4">
        <v>1</v>
      </c>
      <c r="Y328" s="4">
        <v>7015.4500000000007</v>
      </c>
      <c r="Z328" s="4"/>
      <c r="AA328" s="4"/>
      <c r="AB328" s="4"/>
    </row>
    <row r="329" spans="1:28" x14ac:dyDescent="0.2">
      <c r="A329" s="4">
        <v>50</v>
      </c>
      <c r="B329" s="4">
        <v>0</v>
      </c>
      <c r="C329" s="4">
        <v>0</v>
      </c>
      <c r="D329" s="4">
        <v>1</v>
      </c>
      <c r="E329" s="4">
        <v>232</v>
      </c>
      <c r="F329" s="4">
        <f>ROUND(Source!BC313,O329)</f>
        <v>0</v>
      </c>
      <c r="G329" s="4" t="s">
        <v>50</v>
      </c>
      <c r="H329" s="4" t="s">
        <v>51</v>
      </c>
      <c r="I329" s="4"/>
      <c r="J329" s="4"/>
      <c r="K329" s="4">
        <v>232</v>
      </c>
      <c r="L329" s="4">
        <v>15</v>
      </c>
      <c r="M329" s="4">
        <v>3</v>
      </c>
      <c r="N329" s="4" t="s">
        <v>6</v>
      </c>
      <c r="O329" s="4">
        <v>2</v>
      </c>
      <c r="P329" s="4"/>
      <c r="Q329" s="4"/>
      <c r="R329" s="4"/>
      <c r="S329" s="4"/>
      <c r="T329" s="4"/>
      <c r="U329" s="4"/>
      <c r="V329" s="4"/>
      <c r="W329" s="4">
        <v>0</v>
      </c>
      <c r="X329" s="4">
        <v>1</v>
      </c>
      <c r="Y329" s="4">
        <v>0</v>
      </c>
      <c r="Z329" s="4"/>
      <c r="AA329" s="4"/>
      <c r="AB329" s="4"/>
    </row>
    <row r="330" spans="1:28" x14ac:dyDescent="0.2">
      <c r="A330" s="4">
        <v>50</v>
      </c>
      <c r="B330" s="4">
        <v>0</v>
      </c>
      <c r="C330" s="4">
        <v>0</v>
      </c>
      <c r="D330" s="4">
        <v>1</v>
      </c>
      <c r="E330" s="4">
        <v>214</v>
      </c>
      <c r="F330" s="4">
        <f>ROUND(Source!AS313,O330)</f>
        <v>3029.44</v>
      </c>
      <c r="G330" s="4" t="s">
        <v>52</v>
      </c>
      <c r="H330" s="4" t="s">
        <v>53</v>
      </c>
      <c r="I330" s="4"/>
      <c r="J330" s="4"/>
      <c r="K330" s="4">
        <v>214</v>
      </c>
      <c r="L330" s="4">
        <v>16</v>
      </c>
      <c r="M330" s="4">
        <v>3</v>
      </c>
      <c r="N330" s="4" t="s">
        <v>6</v>
      </c>
      <c r="O330" s="4">
        <v>2</v>
      </c>
      <c r="P330" s="4"/>
      <c r="Q330" s="4"/>
      <c r="R330" s="4"/>
      <c r="S330" s="4"/>
      <c r="T330" s="4"/>
      <c r="U330" s="4"/>
      <c r="V330" s="4"/>
      <c r="W330" s="4">
        <v>3029.44</v>
      </c>
      <c r="X330" s="4">
        <v>1</v>
      </c>
      <c r="Y330" s="4">
        <v>3029.44</v>
      </c>
      <c r="Z330" s="4"/>
      <c r="AA330" s="4"/>
      <c r="AB330" s="4"/>
    </row>
    <row r="331" spans="1:28" x14ac:dyDescent="0.2">
      <c r="A331" s="4">
        <v>50</v>
      </c>
      <c r="B331" s="4">
        <v>0</v>
      </c>
      <c r="C331" s="4">
        <v>0</v>
      </c>
      <c r="D331" s="4">
        <v>1</v>
      </c>
      <c r="E331" s="4">
        <v>215</v>
      </c>
      <c r="F331" s="4">
        <f>ROUND(Source!AT313,O331)</f>
        <v>56195.76</v>
      </c>
      <c r="G331" s="4" t="s">
        <v>54</v>
      </c>
      <c r="H331" s="4" t="s">
        <v>55</v>
      </c>
      <c r="I331" s="4"/>
      <c r="J331" s="4"/>
      <c r="K331" s="4">
        <v>215</v>
      </c>
      <c r="L331" s="4">
        <v>17</v>
      </c>
      <c r="M331" s="4">
        <v>3</v>
      </c>
      <c r="N331" s="4" t="s">
        <v>6</v>
      </c>
      <c r="O331" s="4">
        <v>2</v>
      </c>
      <c r="P331" s="4"/>
      <c r="Q331" s="4"/>
      <c r="R331" s="4"/>
      <c r="S331" s="4"/>
      <c r="T331" s="4"/>
      <c r="U331" s="4"/>
      <c r="V331" s="4"/>
      <c r="W331" s="4">
        <v>56195.76</v>
      </c>
      <c r="X331" s="4">
        <v>1</v>
      </c>
      <c r="Y331" s="4">
        <v>56195.76</v>
      </c>
      <c r="Z331" s="4"/>
      <c r="AA331" s="4"/>
      <c r="AB331" s="4"/>
    </row>
    <row r="332" spans="1:28" x14ac:dyDescent="0.2">
      <c r="A332" s="4">
        <v>50</v>
      </c>
      <c r="B332" s="4">
        <v>0</v>
      </c>
      <c r="C332" s="4">
        <v>0</v>
      </c>
      <c r="D332" s="4">
        <v>1</v>
      </c>
      <c r="E332" s="4">
        <v>217</v>
      </c>
      <c r="F332" s="4">
        <f>ROUND(Source!AU313,O332)</f>
        <v>0</v>
      </c>
      <c r="G332" s="4" t="s">
        <v>56</v>
      </c>
      <c r="H332" s="4" t="s">
        <v>57</v>
      </c>
      <c r="I332" s="4"/>
      <c r="J332" s="4"/>
      <c r="K332" s="4">
        <v>217</v>
      </c>
      <c r="L332" s="4">
        <v>18</v>
      </c>
      <c r="M332" s="4">
        <v>3</v>
      </c>
      <c r="N332" s="4" t="s">
        <v>6</v>
      </c>
      <c r="O332" s="4">
        <v>2</v>
      </c>
      <c r="P332" s="4"/>
      <c r="Q332" s="4"/>
      <c r="R332" s="4"/>
      <c r="S332" s="4"/>
      <c r="T332" s="4"/>
      <c r="U332" s="4"/>
      <c r="V332" s="4"/>
      <c r="W332" s="4">
        <v>0</v>
      </c>
      <c r="X332" s="4">
        <v>1</v>
      </c>
      <c r="Y332" s="4">
        <v>0</v>
      </c>
      <c r="Z332" s="4"/>
      <c r="AA332" s="4"/>
      <c r="AB332" s="4"/>
    </row>
    <row r="333" spans="1:28" x14ac:dyDescent="0.2">
      <c r="A333" s="4">
        <v>50</v>
      </c>
      <c r="B333" s="4">
        <v>0</v>
      </c>
      <c r="C333" s="4">
        <v>0</v>
      </c>
      <c r="D333" s="4">
        <v>1</v>
      </c>
      <c r="E333" s="4">
        <v>230</v>
      </c>
      <c r="F333" s="4">
        <f>ROUND(Source!BA313,O333)</f>
        <v>0</v>
      </c>
      <c r="G333" s="4" t="s">
        <v>58</v>
      </c>
      <c r="H333" s="4" t="s">
        <v>59</v>
      </c>
      <c r="I333" s="4"/>
      <c r="J333" s="4"/>
      <c r="K333" s="4">
        <v>230</v>
      </c>
      <c r="L333" s="4">
        <v>19</v>
      </c>
      <c r="M333" s="4">
        <v>3</v>
      </c>
      <c r="N333" s="4" t="s">
        <v>6</v>
      </c>
      <c r="O333" s="4">
        <v>2</v>
      </c>
      <c r="P333" s="4"/>
      <c r="Q333" s="4"/>
      <c r="R333" s="4"/>
      <c r="S333" s="4"/>
      <c r="T333" s="4"/>
      <c r="U333" s="4"/>
      <c r="V333" s="4"/>
      <c r="W333" s="4">
        <v>0</v>
      </c>
      <c r="X333" s="4">
        <v>1</v>
      </c>
      <c r="Y333" s="4">
        <v>0</v>
      </c>
      <c r="Z333" s="4"/>
      <c r="AA333" s="4"/>
      <c r="AB333" s="4"/>
    </row>
    <row r="334" spans="1:28" x14ac:dyDescent="0.2">
      <c r="A334" s="4">
        <v>50</v>
      </c>
      <c r="B334" s="4">
        <v>0</v>
      </c>
      <c r="C334" s="4">
        <v>0</v>
      </c>
      <c r="D334" s="4">
        <v>1</v>
      </c>
      <c r="E334" s="4">
        <v>206</v>
      </c>
      <c r="F334" s="4">
        <f>ROUND(Source!T313,O334)</f>
        <v>0</v>
      </c>
      <c r="G334" s="4" t="s">
        <v>60</v>
      </c>
      <c r="H334" s="4" t="s">
        <v>61</v>
      </c>
      <c r="I334" s="4"/>
      <c r="J334" s="4"/>
      <c r="K334" s="4">
        <v>206</v>
      </c>
      <c r="L334" s="4">
        <v>20</v>
      </c>
      <c r="M334" s="4">
        <v>3</v>
      </c>
      <c r="N334" s="4" t="s">
        <v>6</v>
      </c>
      <c r="O334" s="4">
        <v>2</v>
      </c>
      <c r="P334" s="4"/>
      <c r="Q334" s="4"/>
      <c r="R334" s="4"/>
      <c r="S334" s="4"/>
      <c r="T334" s="4"/>
      <c r="U334" s="4"/>
      <c r="V334" s="4"/>
      <c r="W334" s="4">
        <v>0</v>
      </c>
      <c r="X334" s="4">
        <v>1</v>
      </c>
      <c r="Y334" s="4">
        <v>0</v>
      </c>
      <c r="Z334" s="4"/>
      <c r="AA334" s="4"/>
      <c r="AB334" s="4"/>
    </row>
    <row r="335" spans="1:28" x14ac:dyDescent="0.2">
      <c r="A335" s="4">
        <v>50</v>
      </c>
      <c r="B335" s="4">
        <v>0</v>
      </c>
      <c r="C335" s="4">
        <v>0</v>
      </c>
      <c r="D335" s="4">
        <v>1</v>
      </c>
      <c r="E335" s="4">
        <v>207</v>
      </c>
      <c r="F335" s="4">
        <f>ROUND(Source!U313,O335)</f>
        <v>21.243079999999999</v>
      </c>
      <c r="G335" s="4" t="s">
        <v>62</v>
      </c>
      <c r="H335" s="4" t="s">
        <v>63</v>
      </c>
      <c r="I335" s="4"/>
      <c r="J335" s="4"/>
      <c r="K335" s="4">
        <v>207</v>
      </c>
      <c r="L335" s="4">
        <v>21</v>
      </c>
      <c r="M335" s="4">
        <v>3</v>
      </c>
      <c r="N335" s="4" t="s">
        <v>6</v>
      </c>
      <c r="O335" s="4">
        <v>7</v>
      </c>
      <c r="P335" s="4"/>
      <c r="Q335" s="4"/>
      <c r="R335" s="4"/>
      <c r="S335" s="4"/>
      <c r="T335" s="4"/>
      <c r="U335" s="4"/>
      <c r="V335" s="4"/>
      <c r="W335" s="4">
        <v>21.243079999999999</v>
      </c>
      <c r="X335" s="4">
        <v>1</v>
      </c>
      <c r="Y335" s="4">
        <v>21.243079999999999</v>
      </c>
      <c r="Z335" s="4"/>
      <c r="AA335" s="4"/>
      <c r="AB335" s="4"/>
    </row>
    <row r="336" spans="1:28" x14ac:dyDescent="0.2">
      <c r="A336" s="4">
        <v>50</v>
      </c>
      <c r="B336" s="4">
        <v>0</v>
      </c>
      <c r="C336" s="4">
        <v>0</v>
      </c>
      <c r="D336" s="4">
        <v>1</v>
      </c>
      <c r="E336" s="4">
        <v>208</v>
      </c>
      <c r="F336" s="4">
        <f>ROUND(Source!V313,O336)</f>
        <v>3.0200000000000001E-2</v>
      </c>
      <c r="G336" s="4" t="s">
        <v>64</v>
      </c>
      <c r="H336" s="4" t="s">
        <v>65</v>
      </c>
      <c r="I336" s="4"/>
      <c r="J336" s="4"/>
      <c r="K336" s="4">
        <v>208</v>
      </c>
      <c r="L336" s="4">
        <v>22</v>
      </c>
      <c r="M336" s="4">
        <v>3</v>
      </c>
      <c r="N336" s="4" t="s">
        <v>6</v>
      </c>
      <c r="O336" s="4">
        <v>7</v>
      </c>
      <c r="P336" s="4"/>
      <c r="Q336" s="4"/>
      <c r="R336" s="4"/>
      <c r="S336" s="4"/>
      <c r="T336" s="4"/>
      <c r="U336" s="4"/>
      <c r="V336" s="4"/>
      <c r="W336" s="4">
        <v>3.0200000000000001E-2</v>
      </c>
      <c r="X336" s="4">
        <v>1</v>
      </c>
      <c r="Y336" s="4">
        <v>3.0200000000000001E-2</v>
      </c>
      <c r="Z336" s="4"/>
      <c r="AA336" s="4"/>
      <c r="AB336" s="4"/>
    </row>
    <row r="337" spans="1:28" x14ac:dyDescent="0.2">
      <c r="A337" s="4">
        <v>50</v>
      </c>
      <c r="B337" s="4">
        <v>0</v>
      </c>
      <c r="C337" s="4">
        <v>0</v>
      </c>
      <c r="D337" s="4">
        <v>1</v>
      </c>
      <c r="E337" s="4">
        <v>209</v>
      </c>
      <c r="F337" s="4">
        <f>ROUND(Source!W313,O337)</f>
        <v>0</v>
      </c>
      <c r="G337" s="4" t="s">
        <v>66</v>
      </c>
      <c r="H337" s="4" t="s">
        <v>67</v>
      </c>
      <c r="I337" s="4"/>
      <c r="J337" s="4"/>
      <c r="K337" s="4">
        <v>209</v>
      </c>
      <c r="L337" s="4">
        <v>23</v>
      </c>
      <c r="M337" s="4">
        <v>3</v>
      </c>
      <c r="N337" s="4" t="s">
        <v>6</v>
      </c>
      <c r="O337" s="4">
        <v>2</v>
      </c>
      <c r="P337" s="4"/>
      <c r="Q337" s="4"/>
      <c r="R337" s="4"/>
      <c r="S337" s="4"/>
      <c r="T337" s="4"/>
      <c r="U337" s="4"/>
      <c r="V337" s="4"/>
      <c r="W337" s="4">
        <v>0</v>
      </c>
      <c r="X337" s="4">
        <v>1</v>
      </c>
      <c r="Y337" s="4">
        <v>0</v>
      </c>
      <c r="Z337" s="4"/>
      <c r="AA337" s="4"/>
      <c r="AB337" s="4"/>
    </row>
    <row r="338" spans="1:28" x14ac:dyDescent="0.2">
      <c r="A338" s="4">
        <v>50</v>
      </c>
      <c r="B338" s="4">
        <v>0</v>
      </c>
      <c r="C338" s="4">
        <v>0</v>
      </c>
      <c r="D338" s="4">
        <v>1</v>
      </c>
      <c r="E338" s="4">
        <v>233</v>
      </c>
      <c r="F338" s="4">
        <f>ROUND(Source!BD313,O338)</f>
        <v>0</v>
      </c>
      <c r="G338" s="4" t="s">
        <v>68</v>
      </c>
      <c r="H338" s="4" t="s">
        <v>69</v>
      </c>
      <c r="I338" s="4"/>
      <c r="J338" s="4"/>
      <c r="K338" s="4">
        <v>233</v>
      </c>
      <c r="L338" s="4">
        <v>24</v>
      </c>
      <c r="M338" s="4">
        <v>3</v>
      </c>
      <c r="N338" s="4" t="s">
        <v>6</v>
      </c>
      <c r="O338" s="4">
        <v>2</v>
      </c>
      <c r="P338" s="4"/>
      <c r="Q338" s="4"/>
      <c r="R338" s="4"/>
      <c r="S338" s="4"/>
      <c r="T338" s="4"/>
      <c r="U338" s="4"/>
      <c r="V338" s="4"/>
      <c r="W338" s="4">
        <v>0</v>
      </c>
      <c r="X338" s="4">
        <v>1</v>
      </c>
      <c r="Y338" s="4">
        <v>0</v>
      </c>
      <c r="Z338" s="4"/>
      <c r="AA338" s="4"/>
      <c r="AB338" s="4"/>
    </row>
    <row r="339" spans="1:28" x14ac:dyDescent="0.2">
      <c r="A339" s="4">
        <v>50</v>
      </c>
      <c r="B339" s="4">
        <v>0</v>
      </c>
      <c r="C339" s="4">
        <v>0</v>
      </c>
      <c r="D339" s="4">
        <v>1</v>
      </c>
      <c r="E339" s="4">
        <v>210</v>
      </c>
      <c r="F339" s="4">
        <f>ROUND(Source!X313,O339)</f>
        <v>6511.19</v>
      </c>
      <c r="G339" s="4" t="s">
        <v>70</v>
      </c>
      <c r="H339" s="4" t="s">
        <v>71</v>
      </c>
      <c r="I339" s="4"/>
      <c r="J339" s="4"/>
      <c r="K339" s="4">
        <v>210</v>
      </c>
      <c r="L339" s="4">
        <v>25</v>
      </c>
      <c r="M339" s="4">
        <v>3</v>
      </c>
      <c r="N339" s="4" t="s">
        <v>6</v>
      </c>
      <c r="O339" s="4">
        <v>2</v>
      </c>
      <c r="P339" s="4"/>
      <c r="Q339" s="4"/>
      <c r="R339" s="4"/>
      <c r="S339" s="4"/>
      <c r="T339" s="4"/>
      <c r="U339" s="4"/>
      <c r="V339" s="4"/>
      <c r="W339" s="4">
        <v>6511.19</v>
      </c>
      <c r="X339" s="4">
        <v>1</v>
      </c>
      <c r="Y339" s="4">
        <v>6511.19</v>
      </c>
      <c r="Z339" s="4"/>
      <c r="AA339" s="4"/>
      <c r="AB339" s="4"/>
    </row>
    <row r="340" spans="1:28" x14ac:dyDescent="0.2">
      <c r="A340" s="4">
        <v>50</v>
      </c>
      <c r="B340" s="4">
        <v>0</v>
      </c>
      <c r="C340" s="4">
        <v>0</v>
      </c>
      <c r="D340" s="4">
        <v>1</v>
      </c>
      <c r="E340" s="4">
        <v>211</v>
      </c>
      <c r="F340" s="4">
        <f>ROUND(Source!Y313,O340)</f>
        <v>3397.31</v>
      </c>
      <c r="G340" s="4" t="s">
        <v>72</v>
      </c>
      <c r="H340" s="4" t="s">
        <v>73</v>
      </c>
      <c r="I340" s="4"/>
      <c r="J340" s="4"/>
      <c r="K340" s="4">
        <v>211</v>
      </c>
      <c r="L340" s="4">
        <v>26</v>
      </c>
      <c r="M340" s="4">
        <v>3</v>
      </c>
      <c r="N340" s="4" t="s">
        <v>6</v>
      </c>
      <c r="O340" s="4">
        <v>2</v>
      </c>
      <c r="P340" s="4"/>
      <c r="Q340" s="4"/>
      <c r="R340" s="4"/>
      <c r="S340" s="4"/>
      <c r="T340" s="4"/>
      <c r="U340" s="4"/>
      <c r="V340" s="4"/>
      <c r="W340" s="4">
        <v>3397.31</v>
      </c>
      <c r="X340" s="4">
        <v>1</v>
      </c>
      <c r="Y340" s="4">
        <v>3397.31</v>
      </c>
      <c r="Z340" s="4"/>
      <c r="AA340" s="4"/>
      <c r="AB340" s="4"/>
    </row>
    <row r="341" spans="1:28" x14ac:dyDescent="0.2">
      <c r="A341" s="4">
        <v>50</v>
      </c>
      <c r="B341" s="4">
        <v>0</v>
      </c>
      <c r="C341" s="4">
        <v>0</v>
      </c>
      <c r="D341" s="4">
        <v>1</v>
      </c>
      <c r="E341" s="4">
        <v>224</v>
      </c>
      <c r="F341" s="4">
        <f>ROUND(Source!AR313,O341)</f>
        <v>59225.2</v>
      </c>
      <c r="G341" s="4" t="s">
        <v>74</v>
      </c>
      <c r="H341" s="4" t="s">
        <v>75</v>
      </c>
      <c r="I341" s="4"/>
      <c r="J341" s="4"/>
      <c r="K341" s="4">
        <v>224</v>
      </c>
      <c r="L341" s="4">
        <v>27</v>
      </c>
      <c r="M341" s="4">
        <v>3</v>
      </c>
      <c r="N341" s="4" t="s">
        <v>6</v>
      </c>
      <c r="O341" s="4">
        <v>2</v>
      </c>
      <c r="P341" s="4"/>
      <c r="Q341" s="4"/>
      <c r="R341" s="4"/>
      <c r="S341" s="4"/>
      <c r="T341" s="4"/>
      <c r="U341" s="4"/>
      <c r="V341" s="4"/>
      <c r="W341" s="4">
        <v>59225.200000000004</v>
      </c>
      <c r="X341" s="4">
        <v>1</v>
      </c>
      <c r="Y341" s="4">
        <v>59225.200000000004</v>
      </c>
      <c r="Z341" s="4"/>
      <c r="AA341" s="4"/>
      <c r="AB341" s="4"/>
    </row>
    <row r="344" spans="1:28" x14ac:dyDescent="0.2">
      <c r="A344">
        <v>70</v>
      </c>
      <c r="B344">
        <v>1</v>
      </c>
      <c r="D344">
        <v>1</v>
      </c>
      <c r="E344" t="s">
        <v>181</v>
      </c>
      <c r="F344" t="s">
        <v>182</v>
      </c>
      <c r="G344">
        <v>0</v>
      </c>
      <c r="H344">
        <v>0</v>
      </c>
      <c r="I344" t="s">
        <v>6</v>
      </c>
      <c r="J344">
        <v>1</v>
      </c>
      <c r="K344">
        <v>0</v>
      </c>
      <c r="L344" t="s">
        <v>6</v>
      </c>
      <c r="M344" t="s">
        <v>6</v>
      </c>
      <c r="N344">
        <v>0</v>
      </c>
      <c r="P344" t="s">
        <v>183</v>
      </c>
    </row>
    <row r="345" spans="1:28" x14ac:dyDescent="0.2">
      <c r="A345">
        <v>70</v>
      </c>
      <c r="B345">
        <v>1</v>
      </c>
      <c r="D345">
        <v>2</v>
      </c>
      <c r="E345" t="s">
        <v>184</v>
      </c>
      <c r="F345" t="s">
        <v>185</v>
      </c>
      <c r="G345">
        <v>1</v>
      </c>
      <c r="H345">
        <v>0</v>
      </c>
      <c r="I345" t="s">
        <v>6</v>
      </c>
      <c r="J345">
        <v>1</v>
      </c>
      <c r="K345">
        <v>0</v>
      </c>
      <c r="L345" t="s">
        <v>6</v>
      </c>
      <c r="M345" t="s">
        <v>6</v>
      </c>
      <c r="N345">
        <v>0</v>
      </c>
      <c r="P345" t="s">
        <v>186</v>
      </c>
    </row>
    <row r="346" spans="1:28" x14ac:dyDescent="0.2">
      <c r="A346">
        <v>70</v>
      </c>
      <c r="B346">
        <v>1</v>
      </c>
      <c r="D346">
        <v>3</v>
      </c>
      <c r="E346" t="s">
        <v>187</v>
      </c>
      <c r="F346" t="s">
        <v>188</v>
      </c>
      <c r="G346">
        <v>0</v>
      </c>
      <c r="H346">
        <v>0</v>
      </c>
      <c r="I346" t="s">
        <v>6</v>
      </c>
      <c r="J346">
        <v>1</v>
      </c>
      <c r="K346">
        <v>0</v>
      </c>
      <c r="L346" t="s">
        <v>6</v>
      </c>
      <c r="M346" t="s">
        <v>6</v>
      </c>
      <c r="N346">
        <v>0</v>
      </c>
      <c r="P346" t="s">
        <v>189</v>
      </c>
    </row>
    <row r="347" spans="1:28" x14ac:dyDescent="0.2">
      <c r="A347">
        <v>70</v>
      </c>
      <c r="B347">
        <v>1</v>
      </c>
      <c r="D347">
        <v>4</v>
      </c>
      <c r="E347" t="s">
        <v>190</v>
      </c>
      <c r="F347" t="s">
        <v>191</v>
      </c>
      <c r="G347">
        <v>1</v>
      </c>
      <c r="H347">
        <v>0</v>
      </c>
      <c r="I347" t="s">
        <v>6</v>
      </c>
      <c r="J347">
        <v>2</v>
      </c>
      <c r="K347">
        <v>0</v>
      </c>
      <c r="L347" t="s">
        <v>6</v>
      </c>
      <c r="M347" t="s">
        <v>6</v>
      </c>
      <c r="N347">
        <v>0</v>
      </c>
      <c r="P347" t="s">
        <v>6</v>
      </c>
    </row>
    <row r="348" spans="1:28" x14ac:dyDescent="0.2">
      <c r="A348">
        <v>70</v>
      </c>
      <c r="B348">
        <v>1</v>
      </c>
      <c r="D348">
        <v>5</v>
      </c>
      <c r="E348" t="s">
        <v>192</v>
      </c>
      <c r="F348" t="s">
        <v>193</v>
      </c>
      <c r="G348">
        <v>0</v>
      </c>
      <c r="H348">
        <v>0</v>
      </c>
      <c r="I348" t="s">
        <v>6</v>
      </c>
      <c r="J348">
        <v>2</v>
      </c>
      <c r="K348">
        <v>0</v>
      </c>
      <c r="L348" t="s">
        <v>6</v>
      </c>
      <c r="M348" t="s">
        <v>6</v>
      </c>
      <c r="N348">
        <v>0</v>
      </c>
      <c r="P348" t="s">
        <v>6</v>
      </c>
    </row>
    <row r="349" spans="1:28" x14ac:dyDescent="0.2">
      <c r="A349">
        <v>70</v>
      </c>
      <c r="B349">
        <v>1</v>
      </c>
      <c r="D349">
        <v>6</v>
      </c>
      <c r="E349" t="s">
        <v>194</v>
      </c>
      <c r="F349" t="s">
        <v>195</v>
      </c>
      <c r="G349">
        <v>0</v>
      </c>
      <c r="H349">
        <v>0</v>
      </c>
      <c r="I349" t="s">
        <v>6</v>
      </c>
      <c r="J349">
        <v>2</v>
      </c>
      <c r="K349">
        <v>0</v>
      </c>
      <c r="L349" t="s">
        <v>6</v>
      </c>
      <c r="M349" t="s">
        <v>6</v>
      </c>
      <c r="N349">
        <v>0</v>
      </c>
      <c r="P349" t="s">
        <v>6</v>
      </c>
    </row>
    <row r="350" spans="1:28" x14ac:dyDescent="0.2">
      <c r="A350">
        <v>70</v>
      </c>
      <c r="B350">
        <v>1</v>
      </c>
      <c r="D350">
        <v>7</v>
      </c>
      <c r="E350" t="s">
        <v>196</v>
      </c>
      <c r="F350" t="s">
        <v>197</v>
      </c>
      <c r="G350">
        <v>0</v>
      </c>
      <c r="H350">
        <v>0</v>
      </c>
      <c r="I350" t="s">
        <v>198</v>
      </c>
      <c r="J350">
        <v>0</v>
      </c>
      <c r="K350">
        <v>0</v>
      </c>
      <c r="L350" t="s">
        <v>6</v>
      </c>
      <c r="M350" t="s">
        <v>6</v>
      </c>
      <c r="N350">
        <v>0</v>
      </c>
      <c r="P350" t="s">
        <v>199</v>
      </c>
    </row>
    <row r="351" spans="1:28" x14ac:dyDescent="0.2">
      <c r="A351">
        <v>70</v>
      </c>
      <c r="B351">
        <v>1</v>
      </c>
      <c r="D351">
        <v>8</v>
      </c>
      <c r="E351" t="s">
        <v>200</v>
      </c>
      <c r="F351" t="s">
        <v>201</v>
      </c>
      <c r="G351">
        <v>1</v>
      </c>
      <c r="H351">
        <v>0</v>
      </c>
      <c r="I351" t="s">
        <v>6</v>
      </c>
      <c r="J351">
        <v>5</v>
      </c>
      <c r="K351">
        <v>0</v>
      </c>
      <c r="L351" t="s">
        <v>6</v>
      </c>
      <c r="M351" t="s">
        <v>6</v>
      </c>
      <c r="N351">
        <v>0</v>
      </c>
      <c r="P351" t="s">
        <v>6</v>
      </c>
    </row>
    <row r="352" spans="1:28" x14ac:dyDescent="0.2">
      <c r="A352">
        <v>70</v>
      </c>
      <c r="B352">
        <v>1</v>
      </c>
      <c r="D352">
        <v>9</v>
      </c>
      <c r="E352" t="s">
        <v>202</v>
      </c>
      <c r="F352" t="s">
        <v>203</v>
      </c>
      <c r="G352">
        <v>0</v>
      </c>
      <c r="H352">
        <v>0</v>
      </c>
      <c r="I352" t="s">
        <v>6</v>
      </c>
      <c r="J352">
        <v>5</v>
      </c>
      <c r="K352">
        <v>0</v>
      </c>
      <c r="L352" t="s">
        <v>6</v>
      </c>
      <c r="M352" t="s">
        <v>6</v>
      </c>
      <c r="N352">
        <v>0</v>
      </c>
      <c r="P352" t="s">
        <v>204</v>
      </c>
    </row>
    <row r="353" spans="1:16" x14ac:dyDescent="0.2">
      <c r="A353">
        <v>70</v>
      </c>
      <c r="B353">
        <v>1</v>
      </c>
      <c r="D353">
        <v>10</v>
      </c>
      <c r="E353" t="s">
        <v>205</v>
      </c>
      <c r="F353" t="s">
        <v>206</v>
      </c>
      <c r="G353">
        <v>0</v>
      </c>
      <c r="H353">
        <v>0</v>
      </c>
      <c r="I353" t="s">
        <v>207</v>
      </c>
      <c r="J353">
        <v>5</v>
      </c>
      <c r="K353">
        <v>0</v>
      </c>
      <c r="L353" t="s">
        <v>6</v>
      </c>
      <c r="M353" t="s">
        <v>6</v>
      </c>
      <c r="N353">
        <v>0</v>
      </c>
      <c r="P353" t="s">
        <v>208</v>
      </c>
    </row>
    <row r="354" spans="1:16" x14ac:dyDescent="0.2">
      <c r="A354">
        <v>70</v>
      </c>
      <c r="B354">
        <v>1</v>
      </c>
      <c r="D354">
        <v>11</v>
      </c>
      <c r="E354" t="s">
        <v>209</v>
      </c>
      <c r="F354" t="s">
        <v>210</v>
      </c>
      <c r="G354">
        <v>0</v>
      </c>
      <c r="H354">
        <v>0</v>
      </c>
      <c r="I354" t="s">
        <v>211</v>
      </c>
      <c r="J354">
        <v>0</v>
      </c>
      <c r="K354">
        <v>0</v>
      </c>
      <c r="L354" t="s">
        <v>6</v>
      </c>
      <c r="M354" t="s">
        <v>6</v>
      </c>
      <c r="N354">
        <v>0</v>
      </c>
      <c r="P354" t="s">
        <v>212</v>
      </c>
    </row>
    <row r="355" spans="1:16" x14ac:dyDescent="0.2">
      <c r="A355">
        <v>70</v>
      </c>
      <c r="B355">
        <v>1</v>
      </c>
      <c r="D355">
        <v>12</v>
      </c>
      <c r="E355" t="s">
        <v>213</v>
      </c>
      <c r="F355" t="s">
        <v>214</v>
      </c>
      <c r="G355">
        <v>0</v>
      </c>
      <c r="H355">
        <v>0</v>
      </c>
      <c r="I355" t="s">
        <v>215</v>
      </c>
      <c r="J355">
        <v>0</v>
      </c>
      <c r="K355">
        <v>0</v>
      </c>
      <c r="L355" t="s">
        <v>6</v>
      </c>
      <c r="M355" t="s">
        <v>6</v>
      </c>
      <c r="N355">
        <v>0</v>
      </c>
      <c r="P355" t="s">
        <v>216</v>
      </c>
    </row>
    <row r="356" spans="1:16" x14ac:dyDescent="0.2">
      <c r="A356">
        <v>70</v>
      </c>
      <c r="B356">
        <v>1</v>
      </c>
      <c r="D356">
        <v>13</v>
      </c>
      <c r="E356" t="s">
        <v>217</v>
      </c>
      <c r="F356" t="s">
        <v>218</v>
      </c>
      <c r="G356">
        <v>0</v>
      </c>
      <c r="H356">
        <v>0</v>
      </c>
      <c r="I356" t="s">
        <v>219</v>
      </c>
      <c r="J356">
        <v>0</v>
      </c>
      <c r="K356">
        <v>0</v>
      </c>
      <c r="L356" t="s">
        <v>6</v>
      </c>
      <c r="M356" t="s">
        <v>6</v>
      </c>
      <c r="N356">
        <v>0</v>
      </c>
      <c r="P356" t="s">
        <v>220</v>
      </c>
    </row>
    <row r="357" spans="1:16" x14ac:dyDescent="0.2">
      <c r="A357">
        <v>70</v>
      </c>
      <c r="B357">
        <v>1</v>
      </c>
      <c r="D357">
        <v>14</v>
      </c>
      <c r="E357" t="s">
        <v>221</v>
      </c>
      <c r="F357" t="s">
        <v>222</v>
      </c>
      <c r="G357">
        <v>0</v>
      </c>
      <c r="H357">
        <v>0</v>
      </c>
      <c r="I357" t="s">
        <v>6</v>
      </c>
      <c r="J357">
        <v>0</v>
      </c>
      <c r="K357">
        <v>0</v>
      </c>
      <c r="L357" t="s">
        <v>6</v>
      </c>
      <c r="M357" t="s">
        <v>6</v>
      </c>
      <c r="N357">
        <v>0</v>
      </c>
      <c r="P357" t="s">
        <v>6</v>
      </c>
    </row>
    <row r="358" spans="1:16" x14ac:dyDescent="0.2">
      <c r="A358">
        <v>70</v>
      </c>
      <c r="B358">
        <v>1</v>
      </c>
      <c r="D358">
        <v>15</v>
      </c>
      <c r="E358" t="s">
        <v>223</v>
      </c>
      <c r="F358" t="s">
        <v>224</v>
      </c>
      <c r="G358">
        <v>0</v>
      </c>
      <c r="H358">
        <v>0</v>
      </c>
      <c r="I358" t="s">
        <v>6</v>
      </c>
      <c r="J358">
        <v>0</v>
      </c>
      <c r="K358">
        <v>0</v>
      </c>
      <c r="L358" t="s">
        <v>6</v>
      </c>
      <c r="M358" t="s">
        <v>6</v>
      </c>
      <c r="N358">
        <v>0</v>
      </c>
      <c r="P358" t="s">
        <v>225</v>
      </c>
    </row>
    <row r="359" spans="1:16" x14ac:dyDescent="0.2">
      <c r="A359">
        <v>70</v>
      </c>
      <c r="B359">
        <v>1</v>
      </c>
      <c r="D359">
        <v>16</v>
      </c>
      <c r="E359" t="s">
        <v>226</v>
      </c>
      <c r="F359" t="s">
        <v>227</v>
      </c>
      <c r="G359">
        <v>0</v>
      </c>
      <c r="H359">
        <v>0</v>
      </c>
      <c r="I359" t="s">
        <v>6</v>
      </c>
      <c r="J359">
        <v>3</v>
      </c>
      <c r="K359">
        <v>0</v>
      </c>
      <c r="L359" t="s">
        <v>6</v>
      </c>
      <c r="M359" t="s">
        <v>6</v>
      </c>
      <c r="N359">
        <v>0</v>
      </c>
      <c r="P359" t="s">
        <v>6</v>
      </c>
    </row>
    <row r="360" spans="1:16" x14ac:dyDescent="0.2">
      <c r="A360">
        <v>70</v>
      </c>
      <c r="B360">
        <v>1</v>
      </c>
      <c r="D360">
        <v>17</v>
      </c>
      <c r="E360" t="s">
        <v>228</v>
      </c>
      <c r="F360" t="s">
        <v>229</v>
      </c>
      <c r="G360">
        <v>1</v>
      </c>
      <c r="H360">
        <v>0</v>
      </c>
      <c r="I360" t="s">
        <v>6</v>
      </c>
      <c r="J360">
        <v>3</v>
      </c>
      <c r="K360">
        <v>0</v>
      </c>
      <c r="L360" t="s">
        <v>6</v>
      </c>
      <c r="M360" t="s">
        <v>6</v>
      </c>
      <c r="N360">
        <v>0</v>
      </c>
      <c r="P360" t="s">
        <v>6</v>
      </c>
    </row>
    <row r="361" spans="1:16" x14ac:dyDescent="0.2">
      <c r="A361">
        <v>70</v>
      </c>
      <c r="B361">
        <v>1</v>
      </c>
      <c r="D361">
        <v>1</v>
      </c>
      <c r="E361" t="s">
        <v>230</v>
      </c>
      <c r="F361" t="s">
        <v>231</v>
      </c>
      <c r="G361">
        <v>0.9</v>
      </c>
      <c r="H361">
        <v>1</v>
      </c>
      <c r="I361" t="s">
        <v>232</v>
      </c>
      <c r="J361">
        <v>0</v>
      </c>
      <c r="K361">
        <v>0</v>
      </c>
      <c r="L361" t="s">
        <v>6</v>
      </c>
      <c r="M361" t="s">
        <v>6</v>
      </c>
      <c r="N361">
        <v>0</v>
      </c>
      <c r="P361" t="s">
        <v>233</v>
      </c>
    </row>
    <row r="362" spans="1:16" x14ac:dyDescent="0.2">
      <c r="A362">
        <v>70</v>
      </c>
      <c r="B362">
        <v>1</v>
      </c>
      <c r="D362">
        <v>2</v>
      </c>
      <c r="E362" t="s">
        <v>234</v>
      </c>
      <c r="F362" t="s">
        <v>235</v>
      </c>
      <c r="G362">
        <v>0.85</v>
      </c>
      <c r="H362">
        <v>1</v>
      </c>
      <c r="I362" t="s">
        <v>236</v>
      </c>
      <c r="J362">
        <v>0</v>
      </c>
      <c r="K362">
        <v>0</v>
      </c>
      <c r="L362" t="s">
        <v>6</v>
      </c>
      <c r="M362" t="s">
        <v>6</v>
      </c>
      <c r="N362">
        <v>0</v>
      </c>
      <c r="P362" t="s">
        <v>237</v>
      </c>
    </row>
    <row r="363" spans="1:16" x14ac:dyDescent="0.2">
      <c r="A363">
        <v>70</v>
      </c>
      <c r="B363">
        <v>1</v>
      </c>
      <c r="D363">
        <v>3</v>
      </c>
      <c r="E363" t="s">
        <v>238</v>
      </c>
      <c r="F363" t="s">
        <v>239</v>
      </c>
      <c r="G363">
        <v>1.03</v>
      </c>
      <c r="H363">
        <v>0</v>
      </c>
      <c r="I363" t="s">
        <v>6</v>
      </c>
      <c r="J363">
        <v>0</v>
      </c>
      <c r="K363">
        <v>0</v>
      </c>
      <c r="L363" t="s">
        <v>6</v>
      </c>
      <c r="M363" t="s">
        <v>6</v>
      </c>
      <c r="N363">
        <v>0</v>
      </c>
      <c r="P363" t="s">
        <v>240</v>
      </c>
    </row>
    <row r="364" spans="1:16" x14ac:dyDescent="0.2">
      <c r="A364">
        <v>70</v>
      </c>
      <c r="B364">
        <v>1</v>
      </c>
      <c r="D364">
        <v>4</v>
      </c>
      <c r="E364" t="s">
        <v>241</v>
      </c>
      <c r="F364" t="s">
        <v>242</v>
      </c>
      <c r="G364">
        <v>1.1499999999999999</v>
      </c>
      <c r="H364">
        <v>0</v>
      </c>
      <c r="I364" t="s">
        <v>6</v>
      </c>
      <c r="J364">
        <v>0</v>
      </c>
      <c r="K364">
        <v>0</v>
      </c>
      <c r="L364" t="s">
        <v>6</v>
      </c>
      <c r="M364" t="s">
        <v>6</v>
      </c>
      <c r="N364">
        <v>0</v>
      </c>
      <c r="P364" t="s">
        <v>243</v>
      </c>
    </row>
    <row r="365" spans="1:16" x14ac:dyDescent="0.2">
      <c r="A365">
        <v>70</v>
      </c>
      <c r="B365">
        <v>1</v>
      </c>
      <c r="D365">
        <v>5</v>
      </c>
      <c r="E365" t="s">
        <v>244</v>
      </c>
      <c r="F365" t="s">
        <v>245</v>
      </c>
      <c r="G365">
        <v>7</v>
      </c>
      <c r="H365">
        <v>0</v>
      </c>
      <c r="I365" t="s">
        <v>6</v>
      </c>
      <c r="J365">
        <v>0</v>
      </c>
      <c r="K365">
        <v>0</v>
      </c>
      <c r="L365" t="s">
        <v>6</v>
      </c>
      <c r="M365" t="s">
        <v>6</v>
      </c>
      <c r="N365">
        <v>0</v>
      </c>
      <c r="P365" t="s">
        <v>6</v>
      </c>
    </row>
    <row r="366" spans="1:16" x14ac:dyDescent="0.2">
      <c r="A366">
        <v>70</v>
      </c>
      <c r="B366">
        <v>1</v>
      </c>
      <c r="D366">
        <v>6</v>
      </c>
      <c r="E366" t="s">
        <v>246</v>
      </c>
      <c r="F366" t="s">
        <v>6</v>
      </c>
      <c r="G366">
        <v>2</v>
      </c>
      <c r="H366">
        <v>0</v>
      </c>
      <c r="I366" t="s">
        <v>6</v>
      </c>
      <c r="J366">
        <v>0</v>
      </c>
      <c r="K366">
        <v>0</v>
      </c>
      <c r="L366" t="s">
        <v>6</v>
      </c>
      <c r="M366" t="s">
        <v>6</v>
      </c>
      <c r="N366">
        <v>0</v>
      </c>
      <c r="P366" t="s">
        <v>6</v>
      </c>
    </row>
    <row r="368" spans="1:16" x14ac:dyDescent="0.2">
      <c r="A368">
        <v>-1</v>
      </c>
    </row>
    <row r="370" spans="1:50" x14ac:dyDescent="0.2">
      <c r="A370" s="3">
        <v>75</v>
      </c>
      <c r="B370" s="3" t="s">
        <v>247</v>
      </c>
      <c r="C370" s="3">
        <v>2025</v>
      </c>
      <c r="D370" s="3">
        <v>2</v>
      </c>
      <c r="E370" s="3">
        <v>0</v>
      </c>
      <c r="F370" s="3">
        <v>0</v>
      </c>
      <c r="G370" s="3">
        <v>0</v>
      </c>
      <c r="H370" s="3">
        <v>1</v>
      </c>
      <c r="I370" s="3">
        <v>0</v>
      </c>
      <c r="J370" s="3">
        <v>3</v>
      </c>
      <c r="K370" s="3">
        <v>0</v>
      </c>
      <c r="L370" s="3">
        <v>0</v>
      </c>
      <c r="M370" s="3">
        <v>0</v>
      </c>
      <c r="N370" s="3">
        <v>74850150</v>
      </c>
      <c r="O370" s="3">
        <v>1</v>
      </c>
    </row>
    <row r="371" spans="1:50" x14ac:dyDescent="0.2">
      <c r="A371" s="7">
        <v>1</v>
      </c>
      <c r="B371" s="7" t="s">
        <v>248</v>
      </c>
      <c r="C371" s="7" t="s">
        <v>249</v>
      </c>
      <c r="D371" s="7">
        <v>2025</v>
      </c>
      <c r="E371" s="7">
        <v>6</v>
      </c>
      <c r="F371" s="7">
        <v>1</v>
      </c>
      <c r="G371" s="7">
        <v>1</v>
      </c>
      <c r="H371" s="7">
        <v>0</v>
      </c>
      <c r="I371" s="7">
        <v>2</v>
      </c>
      <c r="J371" s="7">
        <v>1</v>
      </c>
      <c r="K371" s="7">
        <v>1</v>
      </c>
      <c r="L371" s="7">
        <v>1</v>
      </c>
      <c r="M371" s="7">
        <v>1</v>
      </c>
      <c r="N371" s="7">
        <v>1</v>
      </c>
      <c r="O371" s="7">
        <v>1</v>
      </c>
      <c r="P371" s="7">
        <v>1</v>
      </c>
      <c r="Q371" s="7">
        <v>1</v>
      </c>
      <c r="R371" s="7" t="s">
        <v>6</v>
      </c>
      <c r="S371" s="7" t="s">
        <v>6</v>
      </c>
      <c r="T371" s="7" t="s">
        <v>6</v>
      </c>
      <c r="U371" s="7" t="s">
        <v>6</v>
      </c>
      <c r="V371" s="7" t="s">
        <v>6</v>
      </c>
      <c r="W371" s="7" t="s">
        <v>6</v>
      </c>
      <c r="X371" s="7" t="s">
        <v>6</v>
      </c>
      <c r="Y371" s="7" t="s">
        <v>6</v>
      </c>
      <c r="Z371" s="7" t="s">
        <v>6</v>
      </c>
      <c r="AA371" s="7" t="s">
        <v>6</v>
      </c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>
        <v>74850152</v>
      </c>
      <c r="AO371" s="7" t="s">
        <v>250</v>
      </c>
      <c r="AP371" s="7" t="s">
        <v>251</v>
      </c>
      <c r="AQ371" s="7">
        <v>45800</v>
      </c>
      <c r="AR371" s="7">
        <v>381</v>
      </c>
      <c r="AS371" s="7" t="s">
        <v>252</v>
      </c>
      <c r="AT371" s="7" t="s">
        <v>253</v>
      </c>
      <c r="AU371" s="7" t="s">
        <v>251</v>
      </c>
      <c r="AV371" s="7">
        <v>45722</v>
      </c>
      <c r="AW371" s="7">
        <v>133</v>
      </c>
      <c r="AX371" s="7" t="s">
        <v>254</v>
      </c>
    </row>
    <row r="372" spans="1:50" x14ac:dyDescent="0.2">
      <c r="A372" s="7">
        <v>2</v>
      </c>
      <c r="B372" s="7" t="s">
        <v>255</v>
      </c>
      <c r="C372" s="7" t="s">
        <v>256</v>
      </c>
      <c r="D372" s="7">
        <v>0</v>
      </c>
      <c r="E372" s="7">
        <v>0</v>
      </c>
      <c r="F372" s="7">
        <v>0</v>
      </c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>
        <v>74850151</v>
      </c>
    </row>
    <row r="376" spans="1:50" x14ac:dyDescent="0.2">
      <c r="A376">
        <v>65</v>
      </c>
      <c r="C376">
        <v>1</v>
      </c>
      <c r="D376">
        <v>0</v>
      </c>
      <c r="E376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3"/>
  <sheetViews>
    <sheetView workbookViewId="0"/>
  </sheetViews>
  <sheetFormatPr defaultColWidth="9.140625" defaultRowHeight="12.75" x14ac:dyDescent="0.2"/>
  <cols>
    <col min="1" max="256" width="9.140625" style="5" customWidth="1"/>
    <col min="257" max="16384" width="9.140625" style="5"/>
  </cols>
  <sheetData>
    <row r="1" spans="1:133" x14ac:dyDescent="0.2">
      <c r="A1" s="5">
        <v>0</v>
      </c>
      <c r="B1" s="5" t="s">
        <v>0</v>
      </c>
      <c r="D1" s="5" t="s">
        <v>257</v>
      </c>
      <c r="F1" s="5">
        <v>0</v>
      </c>
      <c r="G1" s="5">
        <v>0</v>
      </c>
      <c r="H1" s="5">
        <v>0</v>
      </c>
      <c r="I1" s="5" t="s">
        <v>2</v>
      </c>
      <c r="J1" s="5" t="s">
        <v>3</v>
      </c>
      <c r="K1" s="5">
        <v>1</v>
      </c>
      <c r="L1" s="5">
        <v>42245</v>
      </c>
      <c r="M1" s="5">
        <v>10</v>
      </c>
      <c r="N1" s="5">
        <v>12</v>
      </c>
      <c r="O1" s="5">
        <v>1</v>
      </c>
      <c r="P1" s="5">
        <v>0</v>
      </c>
      <c r="Q1" s="5">
        <v>4</v>
      </c>
    </row>
    <row r="12" spans="1:133" x14ac:dyDescent="0.2">
      <c r="A12" s="8">
        <v>1</v>
      </c>
      <c r="B12" s="8">
        <v>51</v>
      </c>
      <c r="C12" s="8">
        <v>0</v>
      </c>
      <c r="D12" s="8"/>
      <c r="E12" s="8">
        <v>0</v>
      </c>
      <c r="F12" s="8" t="s">
        <v>4</v>
      </c>
      <c r="G12" s="8" t="s">
        <v>5</v>
      </c>
      <c r="H12" s="8" t="s">
        <v>6</v>
      </c>
      <c r="I12" s="8">
        <v>0</v>
      </c>
      <c r="J12" s="8" t="s">
        <v>6</v>
      </c>
      <c r="K12" s="8">
        <v>0</v>
      </c>
      <c r="L12" s="8">
        <v>0</v>
      </c>
      <c r="M12" s="8">
        <v>131595</v>
      </c>
      <c r="N12" s="8"/>
      <c r="O12" s="8">
        <v>0</v>
      </c>
      <c r="P12" s="8">
        <v>0</v>
      </c>
      <c r="Q12" s="8">
        <v>7</v>
      </c>
      <c r="R12" s="8">
        <v>0</v>
      </c>
      <c r="S12" s="8"/>
      <c r="T12" s="8">
        <v>4</v>
      </c>
      <c r="U12" s="8" t="s">
        <v>6</v>
      </c>
      <c r="V12" s="8">
        <v>0</v>
      </c>
      <c r="W12" s="8" t="s">
        <v>6</v>
      </c>
      <c r="X12" s="8" t="s">
        <v>6</v>
      </c>
      <c r="Y12" s="8" t="s">
        <v>6</v>
      </c>
      <c r="Z12" s="8" t="s">
        <v>6</v>
      </c>
      <c r="AA12" s="8" t="s">
        <v>6</v>
      </c>
      <c r="AB12" s="8" t="s">
        <v>7</v>
      </c>
      <c r="AC12" s="8" t="s">
        <v>6</v>
      </c>
      <c r="AD12" s="8" t="s">
        <v>8</v>
      </c>
      <c r="AE12" s="8" t="s">
        <v>6</v>
      </c>
      <c r="AF12" s="8" t="s">
        <v>6</v>
      </c>
      <c r="AG12" s="8" t="s">
        <v>6</v>
      </c>
      <c r="AH12" s="8" t="s">
        <v>6</v>
      </c>
      <c r="AI12" s="8" t="s">
        <v>6</v>
      </c>
      <c r="AJ12" s="8" t="s">
        <v>6</v>
      </c>
      <c r="AK12" s="8"/>
      <c r="AL12" s="8" t="s">
        <v>6</v>
      </c>
      <c r="AM12" s="8" t="s">
        <v>6</v>
      </c>
      <c r="AN12" s="8" t="s">
        <v>6</v>
      </c>
      <c r="AO12" s="8"/>
      <c r="AP12" s="8" t="s">
        <v>6</v>
      </c>
      <c r="AQ12" s="8" t="s">
        <v>6</v>
      </c>
      <c r="AR12" s="8" t="s">
        <v>6</v>
      </c>
      <c r="AS12" s="8"/>
      <c r="AT12" s="8"/>
      <c r="AU12" s="8"/>
      <c r="AV12" s="8"/>
      <c r="AW12" s="8"/>
      <c r="AX12" s="8" t="s">
        <v>6</v>
      </c>
      <c r="AY12" s="8" t="s">
        <v>6</v>
      </c>
      <c r="AZ12" s="8" t="s">
        <v>6</v>
      </c>
      <c r="BA12" s="8"/>
      <c r="BB12" s="8">
        <v>2</v>
      </c>
      <c r="BC12" s="8"/>
      <c r="BD12" s="8"/>
      <c r="BE12" s="8"/>
      <c r="BF12" s="8"/>
      <c r="BG12" s="8"/>
      <c r="BH12" s="8" t="s">
        <v>9</v>
      </c>
      <c r="BI12" s="8" t="s">
        <v>10</v>
      </c>
      <c r="BJ12" s="8">
        <v>1</v>
      </c>
      <c r="BK12" s="8">
        <v>1</v>
      </c>
      <c r="BL12" s="8">
        <v>0</v>
      </c>
      <c r="BM12" s="8">
        <v>0</v>
      </c>
      <c r="BN12" s="8">
        <v>0</v>
      </c>
      <c r="BO12" s="8">
        <v>0</v>
      </c>
      <c r="BP12" s="8">
        <v>6</v>
      </c>
      <c r="BQ12" s="8">
        <v>2</v>
      </c>
      <c r="BR12" s="8">
        <v>1</v>
      </c>
      <c r="BS12" s="8">
        <v>1</v>
      </c>
      <c r="BT12" s="8">
        <v>0</v>
      </c>
      <c r="BU12" s="8">
        <v>0</v>
      </c>
      <c r="BV12" s="8">
        <v>1</v>
      </c>
      <c r="BW12" s="8">
        <v>0</v>
      </c>
      <c r="BX12" s="8">
        <v>0</v>
      </c>
      <c r="BY12" s="8" t="s">
        <v>11</v>
      </c>
      <c r="BZ12" s="8" t="s">
        <v>12</v>
      </c>
      <c r="CA12" s="8" t="s">
        <v>13</v>
      </c>
      <c r="CB12" s="8" t="s">
        <v>13</v>
      </c>
      <c r="CC12" s="8" t="s">
        <v>13</v>
      </c>
      <c r="CD12" s="8" t="s">
        <v>13</v>
      </c>
      <c r="CE12" s="8" t="s">
        <v>14</v>
      </c>
      <c r="CF12" s="8">
        <v>0</v>
      </c>
      <c r="CG12" s="8">
        <v>0</v>
      </c>
      <c r="CH12" s="8">
        <v>489201672</v>
      </c>
      <c r="CI12" s="8" t="s">
        <v>6</v>
      </c>
      <c r="CJ12" s="8" t="s">
        <v>6</v>
      </c>
      <c r="CK12" s="8">
        <v>14</v>
      </c>
      <c r="CL12" s="8"/>
      <c r="CM12" s="8"/>
      <c r="CN12" s="8"/>
      <c r="CO12" s="8"/>
      <c r="CP12" s="8"/>
      <c r="CQ12" s="8" t="s">
        <v>15</v>
      </c>
      <c r="CR12" s="8" t="s">
        <v>16</v>
      </c>
      <c r="CS12" s="8">
        <v>45796</v>
      </c>
      <c r="CT12" s="8">
        <v>533</v>
      </c>
      <c r="CU12" s="8">
        <v>14</v>
      </c>
      <c r="CV12" s="8" t="s">
        <v>322</v>
      </c>
      <c r="CW12" s="8"/>
      <c r="CX12" s="8"/>
      <c r="CY12" s="8">
        <v>0</v>
      </c>
      <c r="CZ12" s="8" t="s">
        <v>6</v>
      </c>
      <c r="DA12" s="8" t="s">
        <v>6</v>
      </c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>
        <v>0</v>
      </c>
    </row>
    <row r="14" spans="1:133" x14ac:dyDescent="0.2">
      <c r="A14" s="8">
        <v>22</v>
      </c>
      <c r="B14" s="8">
        <v>1</v>
      </c>
      <c r="C14" s="8">
        <v>0</v>
      </c>
      <c r="D14" s="8">
        <v>74850150</v>
      </c>
      <c r="E14" s="8">
        <v>0</v>
      </c>
      <c r="F14" s="8">
        <v>2</v>
      </c>
      <c r="G14" s="8">
        <v>1</v>
      </c>
      <c r="H14" s="8"/>
      <c r="I14" s="8"/>
      <c r="J14" s="8"/>
      <c r="K14" s="8"/>
      <c r="L14" s="8"/>
      <c r="M14" s="8"/>
      <c r="N14" s="8"/>
      <c r="O14" s="8"/>
    </row>
    <row r="16" spans="1:133" x14ac:dyDescent="0.2">
      <c r="A16" s="9">
        <v>3</v>
      </c>
      <c r="B16" s="9">
        <v>1</v>
      </c>
      <c r="C16" s="9" t="s">
        <v>17</v>
      </c>
      <c r="D16" s="9" t="s">
        <v>18</v>
      </c>
      <c r="E16" s="10">
        <f>ROUND((Source!F298)/1000,2)</f>
        <v>3.03</v>
      </c>
      <c r="F16" s="10">
        <f>ROUND((Source!F299)/1000,2)</f>
        <v>56.2</v>
      </c>
      <c r="G16" s="10">
        <f>ROUND((Source!F290)/1000,2)</f>
        <v>0</v>
      </c>
      <c r="H16" s="10">
        <f>ROUND((Source!F300)/1000+(Source!F301)/1000,2)</f>
        <v>0</v>
      </c>
      <c r="I16" s="10">
        <f>E16+F16+G16+H16</f>
        <v>59.230000000000004</v>
      </c>
      <c r="J16" s="10">
        <f>ROUND((Source!F296+Source!F295)/1000,2)</f>
        <v>7.03</v>
      </c>
      <c r="K16" s="10">
        <v>91.48</v>
      </c>
      <c r="L16" s="10">
        <v>0</v>
      </c>
      <c r="M16" s="10">
        <v>0</v>
      </c>
      <c r="N16" s="10">
        <f>I16+L16+M16</f>
        <v>59.230000000000004</v>
      </c>
      <c r="AI16" s="9">
        <v>0</v>
      </c>
      <c r="AJ16" s="9">
        <v>0</v>
      </c>
      <c r="AK16" s="9" t="s">
        <v>19</v>
      </c>
      <c r="AL16" s="9" t="s">
        <v>6</v>
      </c>
      <c r="AM16" s="9" t="s">
        <v>6</v>
      </c>
      <c r="AN16" s="9">
        <v>0</v>
      </c>
      <c r="AO16" s="9" t="s">
        <v>6</v>
      </c>
      <c r="AP16" s="9" t="s">
        <v>6</v>
      </c>
      <c r="AT16" s="10">
        <v>49316.7</v>
      </c>
      <c r="AU16" s="10">
        <v>42159.96</v>
      </c>
      <c r="AV16" s="10">
        <v>0</v>
      </c>
      <c r="AW16" s="10">
        <v>0</v>
      </c>
      <c r="AX16" s="10">
        <v>0</v>
      </c>
      <c r="AY16" s="10">
        <v>130.89999999999998</v>
      </c>
      <c r="AZ16" s="10">
        <v>10.389999999999999</v>
      </c>
      <c r="BA16" s="10">
        <v>7015.4500000000007</v>
      </c>
      <c r="BB16" s="10">
        <v>3029.44</v>
      </c>
      <c r="BC16" s="10">
        <v>56195.76</v>
      </c>
      <c r="BD16" s="10">
        <v>0</v>
      </c>
      <c r="BE16" s="10">
        <v>0</v>
      </c>
      <c r="BF16" s="10">
        <v>21.243079999999999</v>
      </c>
      <c r="BG16" s="10">
        <v>3.0200000000000001E-2</v>
      </c>
      <c r="BH16" s="10">
        <v>0</v>
      </c>
      <c r="BI16" s="10">
        <v>6511.19</v>
      </c>
      <c r="BJ16" s="10">
        <v>3397.31</v>
      </c>
      <c r="BK16" s="10">
        <v>59225.200000000004</v>
      </c>
    </row>
    <row r="18" spans="1:16" x14ac:dyDescent="0.2">
      <c r="A18" s="5">
        <v>51</v>
      </c>
      <c r="E18" s="5">
        <v>3.03</v>
      </c>
      <c r="F18" s="5">
        <v>56.2</v>
      </c>
      <c r="G18" s="5">
        <v>0</v>
      </c>
      <c r="H18" s="5">
        <v>0</v>
      </c>
      <c r="I18" s="5">
        <v>59.23</v>
      </c>
      <c r="J18" s="5">
        <v>7.03</v>
      </c>
      <c r="K18" s="5">
        <v>91.48</v>
      </c>
      <c r="L18" s="5">
        <v>0</v>
      </c>
      <c r="M18" s="5">
        <v>0</v>
      </c>
      <c r="N18" s="5">
        <v>59.23</v>
      </c>
    </row>
    <row r="20" spans="1:16" x14ac:dyDescent="0.2">
      <c r="A20" s="11">
        <v>50</v>
      </c>
      <c r="B20" s="11">
        <v>0</v>
      </c>
      <c r="C20" s="11">
        <v>0</v>
      </c>
      <c r="D20" s="11">
        <v>1</v>
      </c>
      <c r="E20" s="11">
        <v>201</v>
      </c>
      <c r="F20" s="11">
        <v>49316.7</v>
      </c>
      <c r="G20" s="11" t="s">
        <v>22</v>
      </c>
      <c r="H20" s="11" t="s">
        <v>23</v>
      </c>
      <c r="I20" s="11"/>
      <c r="J20" s="11"/>
      <c r="K20" s="11">
        <v>201</v>
      </c>
      <c r="L20" s="11">
        <v>1</v>
      </c>
      <c r="M20" s="11">
        <v>3</v>
      </c>
      <c r="N20" s="11" t="s">
        <v>6</v>
      </c>
      <c r="O20" s="11">
        <v>0</v>
      </c>
      <c r="P20" s="11"/>
    </row>
    <row r="21" spans="1:16" x14ac:dyDescent="0.2">
      <c r="A21" s="11">
        <v>50</v>
      </c>
      <c r="B21" s="11">
        <v>0</v>
      </c>
      <c r="C21" s="11">
        <v>0</v>
      </c>
      <c r="D21" s="11">
        <v>1</v>
      </c>
      <c r="E21" s="11">
        <v>202</v>
      </c>
      <c r="F21" s="11">
        <v>42159.96</v>
      </c>
      <c r="G21" s="11" t="s">
        <v>24</v>
      </c>
      <c r="H21" s="11" t="s">
        <v>25</v>
      </c>
      <c r="I21" s="11"/>
      <c r="J21" s="11"/>
      <c r="K21" s="11">
        <v>202</v>
      </c>
      <c r="L21" s="11">
        <v>2</v>
      </c>
      <c r="M21" s="11">
        <v>3</v>
      </c>
      <c r="N21" s="11" t="s">
        <v>6</v>
      </c>
      <c r="O21" s="11">
        <v>0</v>
      </c>
      <c r="P21" s="11"/>
    </row>
    <row r="22" spans="1:16" x14ac:dyDescent="0.2">
      <c r="A22" s="11">
        <v>50</v>
      </c>
      <c r="B22" s="11">
        <v>0</v>
      </c>
      <c r="C22" s="11">
        <v>0</v>
      </c>
      <c r="D22" s="11">
        <v>1</v>
      </c>
      <c r="E22" s="11">
        <v>222</v>
      </c>
      <c r="F22" s="11">
        <v>0</v>
      </c>
      <c r="G22" s="11" t="s">
        <v>26</v>
      </c>
      <c r="H22" s="11" t="s">
        <v>27</v>
      </c>
      <c r="I22" s="11"/>
      <c r="J22" s="11"/>
      <c r="K22" s="11">
        <v>222</v>
      </c>
      <c r="L22" s="11">
        <v>3</v>
      </c>
      <c r="M22" s="11">
        <v>3</v>
      </c>
      <c r="N22" s="11" t="s">
        <v>6</v>
      </c>
      <c r="O22" s="11">
        <v>0</v>
      </c>
      <c r="P22" s="11"/>
    </row>
    <row r="23" spans="1:16" x14ac:dyDescent="0.2">
      <c r="A23" s="11">
        <v>50</v>
      </c>
      <c r="B23" s="11">
        <v>0</v>
      </c>
      <c r="C23" s="11">
        <v>0</v>
      </c>
      <c r="D23" s="11">
        <v>1</v>
      </c>
      <c r="E23" s="11">
        <v>225</v>
      </c>
      <c r="F23" s="11">
        <v>42159.96</v>
      </c>
      <c r="G23" s="11" t="s">
        <v>28</v>
      </c>
      <c r="H23" s="11" t="s">
        <v>29</v>
      </c>
      <c r="I23" s="11"/>
      <c r="J23" s="11"/>
      <c r="K23" s="11">
        <v>225</v>
      </c>
      <c r="L23" s="11">
        <v>4</v>
      </c>
      <c r="M23" s="11">
        <v>3</v>
      </c>
      <c r="N23" s="11" t="s">
        <v>6</v>
      </c>
      <c r="O23" s="11">
        <v>0</v>
      </c>
      <c r="P23" s="11"/>
    </row>
    <row r="24" spans="1:16" x14ac:dyDescent="0.2">
      <c r="A24" s="11">
        <v>50</v>
      </c>
      <c r="B24" s="11">
        <v>0</v>
      </c>
      <c r="C24" s="11">
        <v>0</v>
      </c>
      <c r="D24" s="11">
        <v>1</v>
      </c>
      <c r="E24" s="11">
        <v>226</v>
      </c>
      <c r="F24" s="11">
        <v>42159.96</v>
      </c>
      <c r="G24" s="11" t="s">
        <v>30</v>
      </c>
      <c r="H24" s="11" t="s">
        <v>31</v>
      </c>
      <c r="I24" s="11"/>
      <c r="J24" s="11"/>
      <c r="K24" s="11">
        <v>226</v>
      </c>
      <c r="L24" s="11">
        <v>5</v>
      </c>
      <c r="M24" s="11">
        <v>3</v>
      </c>
      <c r="N24" s="11" t="s">
        <v>6</v>
      </c>
      <c r="O24" s="11">
        <v>0</v>
      </c>
      <c r="P24" s="11"/>
    </row>
    <row r="25" spans="1:16" x14ac:dyDescent="0.2">
      <c r="A25" s="11">
        <v>50</v>
      </c>
      <c r="B25" s="11">
        <v>0</v>
      </c>
      <c r="C25" s="11">
        <v>0</v>
      </c>
      <c r="D25" s="11">
        <v>1</v>
      </c>
      <c r="E25" s="11">
        <v>227</v>
      </c>
      <c r="F25" s="11">
        <v>0</v>
      </c>
      <c r="G25" s="11" t="s">
        <v>32</v>
      </c>
      <c r="H25" s="11" t="s">
        <v>33</v>
      </c>
      <c r="I25" s="11"/>
      <c r="J25" s="11"/>
      <c r="K25" s="11">
        <v>227</v>
      </c>
      <c r="L25" s="11">
        <v>6</v>
      </c>
      <c r="M25" s="11">
        <v>3</v>
      </c>
      <c r="N25" s="11" t="s">
        <v>6</v>
      </c>
      <c r="O25" s="11">
        <v>0</v>
      </c>
      <c r="P25" s="11"/>
    </row>
    <row r="26" spans="1:16" x14ac:dyDescent="0.2">
      <c r="A26" s="11">
        <v>50</v>
      </c>
      <c r="B26" s="11">
        <v>0</v>
      </c>
      <c r="C26" s="11">
        <v>0</v>
      </c>
      <c r="D26" s="11">
        <v>1</v>
      </c>
      <c r="E26" s="11">
        <v>228</v>
      </c>
      <c r="F26" s="11">
        <v>42159.96</v>
      </c>
      <c r="G26" s="11" t="s">
        <v>34</v>
      </c>
      <c r="H26" s="11" t="s">
        <v>35</v>
      </c>
      <c r="I26" s="11"/>
      <c r="J26" s="11"/>
      <c r="K26" s="11">
        <v>228</v>
      </c>
      <c r="L26" s="11">
        <v>7</v>
      </c>
      <c r="M26" s="11">
        <v>3</v>
      </c>
      <c r="N26" s="11" t="s">
        <v>6</v>
      </c>
      <c r="O26" s="11">
        <v>0</v>
      </c>
      <c r="P26" s="11"/>
    </row>
    <row r="27" spans="1:16" x14ac:dyDescent="0.2">
      <c r="A27" s="11">
        <v>50</v>
      </c>
      <c r="B27" s="11">
        <v>0</v>
      </c>
      <c r="C27" s="11">
        <v>0</v>
      </c>
      <c r="D27" s="11">
        <v>1</v>
      </c>
      <c r="E27" s="11">
        <v>216</v>
      </c>
      <c r="F27" s="11">
        <v>0</v>
      </c>
      <c r="G27" s="11" t="s">
        <v>36</v>
      </c>
      <c r="H27" s="11" t="s">
        <v>37</v>
      </c>
      <c r="I27" s="11"/>
      <c r="J27" s="11"/>
      <c r="K27" s="11">
        <v>216</v>
      </c>
      <c r="L27" s="11">
        <v>8</v>
      </c>
      <c r="M27" s="11">
        <v>3</v>
      </c>
      <c r="N27" s="11" t="s">
        <v>6</v>
      </c>
      <c r="O27" s="11">
        <v>0</v>
      </c>
      <c r="P27" s="11"/>
    </row>
    <row r="28" spans="1:16" x14ac:dyDescent="0.2">
      <c r="A28" s="11">
        <v>50</v>
      </c>
      <c r="B28" s="11">
        <v>0</v>
      </c>
      <c r="C28" s="11">
        <v>0</v>
      </c>
      <c r="D28" s="11">
        <v>1</v>
      </c>
      <c r="E28" s="11">
        <v>223</v>
      </c>
      <c r="F28" s="11">
        <v>0</v>
      </c>
      <c r="G28" s="11" t="s">
        <v>38</v>
      </c>
      <c r="H28" s="11" t="s">
        <v>39</v>
      </c>
      <c r="I28" s="11"/>
      <c r="J28" s="11"/>
      <c r="K28" s="11">
        <v>223</v>
      </c>
      <c r="L28" s="11">
        <v>9</v>
      </c>
      <c r="M28" s="11">
        <v>3</v>
      </c>
      <c r="N28" s="11" t="s">
        <v>6</v>
      </c>
      <c r="O28" s="11">
        <v>0</v>
      </c>
      <c r="P28" s="11"/>
    </row>
    <row r="29" spans="1:16" x14ac:dyDescent="0.2">
      <c r="A29" s="11">
        <v>50</v>
      </c>
      <c r="B29" s="11">
        <v>0</v>
      </c>
      <c r="C29" s="11">
        <v>0</v>
      </c>
      <c r="D29" s="11">
        <v>1</v>
      </c>
      <c r="E29" s="11">
        <v>229</v>
      </c>
      <c r="F29" s="11">
        <v>0</v>
      </c>
      <c r="G29" s="11" t="s">
        <v>40</v>
      </c>
      <c r="H29" s="11" t="s">
        <v>41</v>
      </c>
      <c r="I29" s="11"/>
      <c r="J29" s="11"/>
      <c r="K29" s="11">
        <v>229</v>
      </c>
      <c r="L29" s="11">
        <v>10</v>
      </c>
      <c r="M29" s="11">
        <v>3</v>
      </c>
      <c r="N29" s="11" t="s">
        <v>6</v>
      </c>
      <c r="O29" s="11">
        <v>0</v>
      </c>
      <c r="P29" s="11"/>
    </row>
    <row r="30" spans="1:16" x14ac:dyDescent="0.2">
      <c r="A30" s="11">
        <v>50</v>
      </c>
      <c r="B30" s="11">
        <v>0</v>
      </c>
      <c r="C30" s="11">
        <v>0</v>
      </c>
      <c r="D30" s="11">
        <v>1</v>
      </c>
      <c r="E30" s="11">
        <v>203</v>
      </c>
      <c r="F30" s="11">
        <v>130.89999999999998</v>
      </c>
      <c r="G30" s="11" t="s">
        <v>42</v>
      </c>
      <c r="H30" s="11" t="s">
        <v>43</v>
      </c>
      <c r="I30" s="11"/>
      <c r="J30" s="11"/>
      <c r="K30" s="11">
        <v>203</v>
      </c>
      <c r="L30" s="11">
        <v>11</v>
      </c>
      <c r="M30" s="11">
        <v>3</v>
      </c>
      <c r="N30" s="11" t="s">
        <v>6</v>
      </c>
      <c r="O30" s="11">
        <v>0</v>
      </c>
      <c r="P30" s="11"/>
    </row>
    <row r="31" spans="1:16" x14ac:dyDescent="0.2">
      <c r="A31" s="11">
        <v>50</v>
      </c>
      <c r="B31" s="11">
        <v>0</v>
      </c>
      <c r="C31" s="11">
        <v>0</v>
      </c>
      <c r="D31" s="11">
        <v>1</v>
      </c>
      <c r="E31" s="11">
        <v>231</v>
      </c>
      <c r="F31" s="11">
        <v>0</v>
      </c>
      <c r="G31" s="11" t="s">
        <v>44</v>
      </c>
      <c r="H31" s="11" t="s">
        <v>45</v>
      </c>
      <c r="I31" s="11"/>
      <c r="J31" s="11"/>
      <c r="K31" s="11">
        <v>231</v>
      </c>
      <c r="L31" s="11">
        <v>12</v>
      </c>
      <c r="M31" s="11">
        <v>3</v>
      </c>
      <c r="N31" s="11" t="s">
        <v>6</v>
      </c>
      <c r="O31" s="11">
        <v>0</v>
      </c>
      <c r="P31" s="11"/>
    </row>
    <row r="32" spans="1:16" x14ac:dyDescent="0.2">
      <c r="A32" s="11">
        <v>50</v>
      </c>
      <c r="B32" s="11">
        <v>0</v>
      </c>
      <c r="C32" s="11">
        <v>0</v>
      </c>
      <c r="D32" s="11">
        <v>1</v>
      </c>
      <c r="E32" s="11">
        <v>204</v>
      </c>
      <c r="F32" s="11">
        <v>10.389999999999999</v>
      </c>
      <c r="G32" s="11" t="s">
        <v>46</v>
      </c>
      <c r="H32" s="11" t="s">
        <v>47</v>
      </c>
      <c r="I32" s="11"/>
      <c r="J32" s="11"/>
      <c r="K32" s="11">
        <v>204</v>
      </c>
      <c r="L32" s="11">
        <v>13</v>
      </c>
      <c r="M32" s="11">
        <v>3</v>
      </c>
      <c r="N32" s="11" t="s">
        <v>6</v>
      </c>
      <c r="O32" s="11">
        <v>0</v>
      </c>
      <c r="P32" s="11"/>
    </row>
    <row r="33" spans="1:16" x14ac:dyDescent="0.2">
      <c r="A33" s="11">
        <v>50</v>
      </c>
      <c r="B33" s="11">
        <v>0</v>
      </c>
      <c r="C33" s="11">
        <v>0</v>
      </c>
      <c r="D33" s="11">
        <v>1</v>
      </c>
      <c r="E33" s="11">
        <v>205</v>
      </c>
      <c r="F33" s="11">
        <v>7015.4500000000007</v>
      </c>
      <c r="G33" s="11" t="s">
        <v>48</v>
      </c>
      <c r="H33" s="11" t="s">
        <v>49</v>
      </c>
      <c r="I33" s="11"/>
      <c r="J33" s="11"/>
      <c r="K33" s="11">
        <v>205</v>
      </c>
      <c r="L33" s="11">
        <v>14</v>
      </c>
      <c r="M33" s="11">
        <v>3</v>
      </c>
      <c r="N33" s="11" t="s">
        <v>6</v>
      </c>
      <c r="O33" s="11">
        <v>0</v>
      </c>
      <c r="P33" s="11"/>
    </row>
    <row r="34" spans="1:16" x14ac:dyDescent="0.2">
      <c r="A34" s="11">
        <v>50</v>
      </c>
      <c r="B34" s="11">
        <v>0</v>
      </c>
      <c r="C34" s="11">
        <v>0</v>
      </c>
      <c r="D34" s="11">
        <v>1</v>
      </c>
      <c r="E34" s="11">
        <v>232</v>
      </c>
      <c r="F34" s="11">
        <v>0</v>
      </c>
      <c r="G34" s="11" t="s">
        <v>50</v>
      </c>
      <c r="H34" s="11" t="s">
        <v>51</v>
      </c>
      <c r="I34" s="11"/>
      <c r="J34" s="11"/>
      <c r="K34" s="11">
        <v>232</v>
      </c>
      <c r="L34" s="11">
        <v>15</v>
      </c>
      <c r="M34" s="11">
        <v>3</v>
      </c>
      <c r="N34" s="11" t="s">
        <v>6</v>
      </c>
      <c r="O34" s="11">
        <v>0</v>
      </c>
      <c r="P34" s="11"/>
    </row>
    <row r="35" spans="1:16" x14ac:dyDescent="0.2">
      <c r="A35" s="11">
        <v>50</v>
      </c>
      <c r="B35" s="11">
        <v>0</v>
      </c>
      <c r="C35" s="11">
        <v>0</v>
      </c>
      <c r="D35" s="11">
        <v>1</v>
      </c>
      <c r="E35" s="11">
        <v>214</v>
      </c>
      <c r="F35" s="11">
        <v>3029.44</v>
      </c>
      <c r="G35" s="11" t="s">
        <v>52</v>
      </c>
      <c r="H35" s="11" t="s">
        <v>53</v>
      </c>
      <c r="I35" s="11"/>
      <c r="J35" s="11"/>
      <c r="K35" s="11">
        <v>214</v>
      </c>
      <c r="L35" s="11">
        <v>16</v>
      </c>
      <c r="M35" s="11">
        <v>3</v>
      </c>
      <c r="N35" s="11" t="s">
        <v>6</v>
      </c>
      <c r="O35" s="11">
        <v>0</v>
      </c>
      <c r="P35" s="11"/>
    </row>
    <row r="36" spans="1:16" x14ac:dyDescent="0.2">
      <c r="A36" s="11">
        <v>50</v>
      </c>
      <c r="B36" s="11">
        <v>0</v>
      </c>
      <c r="C36" s="11">
        <v>0</v>
      </c>
      <c r="D36" s="11">
        <v>1</v>
      </c>
      <c r="E36" s="11">
        <v>215</v>
      </c>
      <c r="F36" s="11">
        <v>56195.76</v>
      </c>
      <c r="G36" s="11" t="s">
        <v>54</v>
      </c>
      <c r="H36" s="11" t="s">
        <v>55</v>
      </c>
      <c r="I36" s="11"/>
      <c r="J36" s="11"/>
      <c r="K36" s="11">
        <v>215</v>
      </c>
      <c r="L36" s="11">
        <v>17</v>
      </c>
      <c r="M36" s="11">
        <v>3</v>
      </c>
      <c r="N36" s="11" t="s">
        <v>6</v>
      </c>
      <c r="O36" s="11">
        <v>0</v>
      </c>
      <c r="P36" s="11"/>
    </row>
    <row r="37" spans="1:16" x14ac:dyDescent="0.2">
      <c r="A37" s="11">
        <v>50</v>
      </c>
      <c r="B37" s="11">
        <v>0</v>
      </c>
      <c r="C37" s="11">
        <v>0</v>
      </c>
      <c r="D37" s="11">
        <v>1</v>
      </c>
      <c r="E37" s="11">
        <v>217</v>
      </c>
      <c r="F37" s="11">
        <v>0</v>
      </c>
      <c r="G37" s="11" t="s">
        <v>56</v>
      </c>
      <c r="H37" s="11" t="s">
        <v>57</v>
      </c>
      <c r="I37" s="11"/>
      <c r="J37" s="11"/>
      <c r="K37" s="11">
        <v>217</v>
      </c>
      <c r="L37" s="11">
        <v>18</v>
      </c>
      <c r="M37" s="11">
        <v>3</v>
      </c>
      <c r="N37" s="11" t="s">
        <v>6</v>
      </c>
      <c r="O37" s="11">
        <v>0</v>
      </c>
      <c r="P37" s="11"/>
    </row>
    <row r="38" spans="1:16" x14ac:dyDescent="0.2">
      <c r="A38" s="11">
        <v>50</v>
      </c>
      <c r="B38" s="11">
        <v>0</v>
      </c>
      <c r="C38" s="11">
        <v>0</v>
      </c>
      <c r="D38" s="11">
        <v>1</v>
      </c>
      <c r="E38" s="11">
        <v>230</v>
      </c>
      <c r="F38" s="11">
        <v>0</v>
      </c>
      <c r="G38" s="11" t="s">
        <v>58</v>
      </c>
      <c r="H38" s="11" t="s">
        <v>59</v>
      </c>
      <c r="I38" s="11"/>
      <c r="J38" s="11"/>
      <c r="K38" s="11">
        <v>230</v>
      </c>
      <c r="L38" s="11">
        <v>19</v>
      </c>
      <c r="M38" s="11">
        <v>3</v>
      </c>
      <c r="N38" s="11" t="s">
        <v>6</v>
      </c>
      <c r="O38" s="11">
        <v>0</v>
      </c>
      <c r="P38" s="11"/>
    </row>
    <row r="39" spans="1:16" x14ac:dyDescent="0.2">
      <c r="A39" s="11">
        <v>50</v>
      </c>
      <c r="B39" s="11">
        <v>0</v>
      </c>
      <c r="C39" s="11">
        <v>0</v>
      </c>
      <c r="D39" s="11">
        <v>1</v>
      </c>
      <c r="E39" s="11">
        <v>206</v>
      </c>
      <c r="F39" s="11">
        <v>0</v>
      </c>
      <c r="G39" s="11" t="s">
        <v>60</v>
      </c>
      <c r="H39" s="11" t="s">
        <v>61</v>
      </c>
      <c r="I39" s="11"/>
      <c r="J39" s="11"/>
      <c r="K39" s="11">
        <v>206</v>
      </c>
      <c r="L39" s="11">
        <v>20</v>
      </c>
      <c r="M39" s="11">
        <v>3</v>
      </c>
      <c r="N39" s="11" t="s">
        <v>6</v>
      </c>
      <c r="O39" s="11">
        <v>0</v>
      </c>
      <c r="P39" s="11"/>
    </row>
    <row r="40" spans="1:16" x14ac:dyDescent="0.2">
      <c r="A40" s="11">
        <v>50</v>
      </c>
      <c r="B40" s="11">
        <v>0</v>
      </c>
      <c r="C40" s="11">
        <v>0</v>
      </c>
      <c r="D40" s="11">
        <v>1</v>
      </c>
      <c r="E40" s="11">
        <v>207</v>
      </c>
      <c r="F40" s="11">
        <v>21.243079999999999</v>
      </c>
      <c r="G40" s="11" t="s">
        <v>62</v>
      </c>
      <c r="H40" s="11" t="s">
        <v>63</v>
      </c>
      <c r="I40" s="11"/>
      <c r="J40" s="11"/>
      <c r="K40" s="11">
        <v>207</v>
      </c>
      <c r="L40" s="11">
        <v>21</v>
      </c>
      <c r="M40" s="11">
        <v>3</v>
      </c>
      <c r="N40" s="11" t="s">
        <v>6</v>
      </c>
      <c r="O40" s="11">
        <v>-1</v>
      </c>
      <c r="P40" s="11"/>
    </row>
    <row r="41" spans="1:16" x14ac:dyDescent="0.2">
      <c r="A41" s="11">
        <v>50</v>
      </c>
      <c r="B41" s="11">
        <v>0</v>
      </c>
      <c r="C41" s="11">
        <v>0</v>
      </c>
      <c r="D41" s="11">
        <v>1</v>
      </c>
      <c r="E41" s="11">
        <v>208</v>
      </c>
      <c r="F41" s="11">
        <v>3.0200000000000001E-2</v>
      </c>
      <c r="G41" s="11" t="s">
        <v>64</v>
      </c>
      <c r="H41" s="11" t="s">
        <v>65</v>
      </c>
      <c r="I41" s="11"/>
      <c r="J41" s="11"/>
      <c r="K41" s="11">
        <v>208</v>
      </c>
      <c r="L41" s="11">
        <v>22</v>
      </c>
      <c r="M41" s="11">
        <v>3</v>
      </c>
      <c r="N41" s="11" t="s">
        <v>6</v>
      </c>
      <c r="O41" s="11">
        <v>-1</v>
      </c>
      <c r="P41" s="11"/>
    </row>
    <row r="42" spans="1:16" x14ac:dyDescent="0.2">
      <c r="A42" s="11">
        <v>50</v>
      </c>
      <c r="B42" s="11">
        <v>0</v>
      </c>
      <c r="C42" s="11">
        <v>0</v>
      </c>
      <c r="D42" s="11">
        <v>1</v>
      </c>
      <c r="E42" s="11">
        <v>209</v>
      </c>
      <c r="F42" s="11">
        <v>0</v>
      </c>
      <c r="G42" s="11" t="s">
        <v>66</v>
      </c>
      <c r="H42" s="11" t="s">
        <v>67</v>
      </c>
      <c r="I42" s="11"/>
      <c r="J42" s="11"/>
      <c r="K42" s="11">
        <v>209</v>
      </c>
      <c r="L42" s="11">
        <v>23</v>
      </c>
      <c r="M42" s="11">
        <v>3</v>
      </c>
      <c r="N42" s="11" t="s">
        <v>6</v>
      </c>
      <c r="O42" s="11">
        <v>0</v>
      </c>
      <c r="P42" s="11"/>
    </row>
    <row r="43" spans="1:16" x14ac:dyDescent="0.2">
      <c r="A43" s="11">
        <v>50</v>
      </c>
      <c r="B43" s="11">
        <v>0</v>
      </c>
      <c r="C43" s="11">
        <v>0</v>
      </c>
      <c r="D43" s="11">
        <v>1</v>
      </c>
      <c r="E43" s="11">
        <v>233</v>
      </c>
      <c r="F43" s="11">
        <v>0</v>
      </c>
      <c r="G43" s="11" t="s">
        <v>68</v>
      </c>
      <c r="H43" s="11" t="s">
        <v>69</v>
      </c>
      <c r="I43" s="11"/>
      <c r="J43" s="11"/>
      <c r="K43" s="11">
        <v>233</v>
      </c>
      <c r="L43" s="11">
        <v>24</v>
      </c>
      <c r="M43" s="11">
        <v>3</v>
      </c>
      <c r="N43" s="11" t="s">
        <v>6</v>
      </c>
      <c r="O43" s="11">
        <v>2</v>
      </c>
      <c r="P43" s="11"/>
    </row>
    <row r="44" spans="1:16" x14ac:dyDescent="0.2">
      <c r="A44" s="11">
        <v>50</v>
      </c>
      <c r="B44" s="11">
        <v>0</v>
      </c>
      <c r="C44" s="11">
        <v>0</v>
      </c>
      <c r="D44" s="11">
        <v>1</v>
      </c>
      <c r="E44" s="11">
        <v>210</v>
      </c>
      <c r="F44" s="11">
        <v>6511.19</v>
      </c>
      <c r="G44" s="11" t="s">
        <v>70</v>
      </c>
      <c r="H44" s="11" t="s">
        <v>71</v>
      </c>
      <c r="I44" s="11"/>
      <c r="J44" s="11"/>
      <c r="K44" s="11">
        <v>210</v>
      </c>
      <c r="L44" s="11">
        <v>25</v>
      </c>
      <c r="M44" s="11">
        <v>3</v>
      </c>
      <c r="N44" s="11" t="s">
        <v>6</v>
      </c>
      <c r="O44" s="11">
        <v>0</v>
      </c>
      <c r="P44" s="11"/>
    </row>
    <row r="45" spans="1:16" x14ac:dyDescent="0.2">
      <c r="A45" s="11">
        <v>50</v>
      </c>
      <c r="B45" s="11">
        <v>0</v>
      </c>
      <c r="C45" s="11">
        <v>0</v>
      </c>
      <c r="D45" s="11">
        <v>1</v>
      </c>
      <c r="E45" s="11">
        <v>211</v>
      </c>
      <c r="F45" s="11">
        <v>3397.31</v>
      </c>
      <c r="G45" s="11" t="s">
        <v>72</v>
      </c>
      <c r="H45" s="11" t="s">
        <v>73</v>
      </c>
      <c r="I45" s="11"/>
      <c r="J45" s="11"/>
      <c r="K45" s="11">
        <v>211</v>
      </c>
      <c r="L45" s="11">
        <v>26</v>
      </c>
      <c r="M45" s="11">
        <v>3</v>
      </c>
      <c r="N45" s="11" t="s">
        <v>6</v>
      </c>
      <c r="O45" s="11">
        <v>0</v>
      </c>
      <c r="P45" s="11"/>
    </row>
    <row r="46" spans="1:16" x14ac:dyDescent="0.2">
      <c r="A46" s="11">
        <v>50</v>
      </c>
      <c r="B46" s="11">
        <v>0</v>
      </c>
      <c r="C46" s="11">
        <v>0</v>
      </c>
      <c r="D46" s="11">
        <v>1</v>
      </c>
      <c r="E46" s="11">
        <v>224</v>
      </c>
      <c r="F46" s="11">
        <v>59225.200000000004</v>
      </c>
      <c r="G46" s="11" t="s">
        <v>74</v>
      </c>
      <c r="H46" s="11" t="s">
        <v>75</v>
      </c>
      <c r="I46" s="11"/>
      <c r="J46" s="11"/>
      <c r="K46" s="11">
        <v>224</v>
      </c>
      <c r="L46" s="11">
        <v>27</v>
      </c>
      <c r="M46" s="11">
        <v>3</v>
      </c>
      <c r="N46" s="11" t="s">
        <v>6</v>
      </c>
      <c r="O46" s="11">
        <v>0</v>
      </c>
      <c r="P46" s="11"/>
    </row>
    <row r="48" spans="1:16" x14ac:dyDescent="0.2">
      <c r="A48" s="5">
        <v>-1</v>
      </c>
    </row>
    <row r="51" spans="1:50" x14ac:dyDescent="0.2">
      <c r="A51" s="12">
        <v>75</v>
      </c>
      <c r="B51" s="12" t="s">
        <v>247</v>
      </c>
      <c r="C51" s="12">
        <v>2025</v>
      </c>
      <c r="D51" s="12">
        <v>2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3</v>
      </c>
      <c r="K51" s="12">
        <v>0</v>
      </c>
      <c r="L51" s="12">
        <v>0</v>
      </c>
      <c r="M51" s="12">
        <v>0</v>
      </c>
      <c r="N51" s="12">
        <v>74850150</v>
      </c>
      <c r="O51" s="12">
        <v>1</v>
      </c>
    </row>
    <row r="52" spans="1:50" x14ac:dyDescent="0.2">
      <c r="A52" s="13">
        <v>1</v>
      </c>
      <c r="B52" s="13" t="s">
        <v>248</v>
      </c>
      <c r="C52" s="13" t="s">
        <v>249</v>
      </c>
      <c r="D52" s="13">
        <v>2025</v>
      </c>
      <c r="E52" s="13">
        <v>6</v>
      </c>
      <c r="F52" s="13">
        <v>1</v>
      </c>
      <c r="G52" s="13">
        <v>1</v>
      </c>
      <c r="H52" s="13">
        <v>0</v>
      </c>
      <c r="I52" s="13">
        <v>2</v>
      </c>
      <c r="J52" s="13">
        <v>1</v>
      </c>
      <c r="K52" s="13">
        <v>1</v>
      </c>
      <c r="L52" s="13">
        <v>1</v>
      </c>
      <c r="M52" s="13">
        <v>1</v>
      </c>
      <c r="N52" s="13">
        <v>1</v>
      </c>
      <c r="O52" s="13">
        <v>1</v>
      </c>
      <c r="P52" s="13">
        <v>1</v>
      </c>
      <c r="Q52" s="13">
        <v>1</v>
      </c>
      <c r="R52" s="13" t="s">
        <v>6</v>
      </c>
      <c r="S52" s="13" t="s">
        <v>6</v>
      </c>
      <c r="T52" s="13" t="s">
        <v>6</v>
      </c>
      <c r="U52" s="13" t="s">
        <v>6</v>
      </c>
      <c r="V52" s="13" t="s">
        <v>6</v>
      </c>
      <c r="W52" s="13" t="s">
        <v>6</v>
      </c>
      <c r="X52" s="13" t="s">
        <v>6</v>
      </c>
      <c r="Y52" s="13" t="s">
        <v>6</v>
      </c>
      <c r="Z52" s="13" t="s">
        <v>6</v>
      </c>
      <c r="AA52" s="13" t="s">
        <v>6</v>
      </c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>
        <v>74850152</v>
      </c>
      <c r="AO52" s="13" t="s">
        <v>250</v>
      </c>
      <c r="AP52" s="13" t="s">
        <v>251</v>
      </c>
      <c r="AQ52" s="13">
        <v>45800</v>
      </c>
      <c r="AR52" s="13">
        <v>381</v>
      </c>
      <c r="AS52" s="13" t="s">
        <v>252</v>
      </c>
      <c r="AT52" s="13" t="s">
        <v>253</v>
      </c>
      <c r="AU52" s="13" t="s">
        <v>251</v>
      </c>
      <c r="AV52" s="13">
        <v>45722</v>
      </c>
      <c r="AW52" s="13">
        <v>133</v>
      </c>
      <c r="AX52" s="13" t="s">
        <v>254</v>
      </c>
    </row>
    <row r="53" spans="1:50" x14ac:dyDescent="0.2">
      <c r="A53" s="13">
        <v>2</v>
      </c>
      <c r="B53" s="13" t="s">
        <v>255</v>
      </c>
      <c r="C53" s="13" t="s">
        <v>256</v>
      </c>
      <c r="D53" s="13">
        <v>0</v>
      </c>
      <c r="E53" s="13">
        <v>0</v>
      </c>
      <c r="F53" s="13">
        <v>0</v>
      </c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>
        <v>74850151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34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19" x14ac:dyDescent="0.2">
      <c r="A1">
        <f>ROW(Source!A232)</f>
        <v>232</v>
      </c>
      <c r="B1">
        <v>74850150</v>
      </c>
      <c r="C1">
        <v>74851171</v>
      </c>
      <c r="D1">
        <v>72527760</v>
      </c>
      <c r="E1">
        <v>114</v>
      </c>
      <c r="F1">
        <v>1</v>
      </c>
      <c r="G1">
        <v>1</v>
      </c>
      <c r="H1">
        <v>1</v>
      </c>
      <c r="I1" t="s">
        <v>258</v>
      </c>
      <c r="J1" t="s">
        <v>6</v>
      </c>
      <c r="K1" t="s">
        <v>259</v>
      </c>
      <c r="L1">
        <v>1191</v>
      </c>
      <c r="N1">
        <v>1013</v>
      </c>
      <c r="O1" t="s">
        <v>260</v>
      </c>
      <c r="P1" t="s">
        <v>260</v>
      </c>
      <c r="Q1">
        <v>1</v>
      </c>
      <c r="W1">
        <v>0</v>
      </c>
      <c r="X1">
        <v>370475345</v>
      </c>
      <c r="Y1">
        <f>AT1</f>
        <v>6.32</v>
      </c>
      <c r="AA1">
        <v>0</v>
      </c>
      <c r="AB1">
        <v>0</v>
      </c>
      <c r="AC1">
        <v>0</v>
      </c>
      <c r="AD1">
        <v>272.43</v>
      </c>
      <c r="AE1">
        <v>0</v>
      </c>
      <c r="AF1">
        <v>0</v>
      </c>
      <c r="AG1">
        <v>0</v>
      </c>
      <c r="AH1">
        <v>272.43</v>
      </c>
      <c r="AI1">
        <v>1</v>
      </c>
      <c r="AJ1">
        <v>1</v>
      </c>
      <c r="AK1">
        <v>1</v>
      </c>
      <c r="AL1">
        <v>1</v>
      </c>
      <c r="AM1">
        <v>-2</v>
      </c>
      <c r="AN1">
        <v>0</v>
      </c>
      <c r="AO1">
        <v>0</v>
      </c>
      <c r="AP1">
        <v>1</v>
      </c>
      <c r="AQ1">
        <v>1</v>
      </c>
      <c r="AR1">
        <v>0</v>
      </c>
      <c r="AS1" t="s">
        <v>6</v>
      </c>
      <c r="AT1">
        <v>6.32</v>
      </c>
      <c r="AU1" t="s">
        <v>6</v>
      </c>
      <c r="AV1">
        <v>1</v>
      </c>
      <c r="AW1">
        <v>2</v>
      </c>
      <c r="AX1">
        <v>74851175</v>
      </c>
      <c r="AY1">
        <v>1</v>
      </c>
      <c r="AZ1">
        <v>0</v>
      </c>
      <c r="BA1">
        <v>1</v>
      </c>
      <c r="BB1">
        <v>1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1721.7576000000001</v>
      </c>
      <c r="BN1">
        <v>6.32</v>
      </c>
      <c r="BO1">
        <v>0</v>
      </c>
      <c r="BP1">
        <v>1</v>
      </c>
      <c r="BQ1">
        <v>0</v>
      </c>
      <c r="BR1">
        <v>0</v>
      </c>
      <c r="BS1">
        <v>0</v>
      </c>
      <c r="BT1">
        <v>1721.7576000000001</v>
      </c>
      <c r="BU1">
        <v>6.32</v>
      </c>
      <c r="BV1">
        <v>0</v>
      </c>
      <c r="BW1">
        <v>1</v>
      </c>
      <c r="CU1">
        <f>ROUND(AT1*Source!I232*AH1*AL1,2)</f>
        <v>103.31</v>
      </c>
      <c r="CV1">
        <f>ROUND(Y1*Source!I232,7)</f>
        <v>0.37919999999999998</v>
      </c>
      <c r="CW1">
        <v>0</v>
      </c>
      <c r="CX1">
        <f>ROUND(Y1*Source!I232,7)</f>
        <v>0.37919999999999998</v>
      </c>
      <c r="CY1">
        <f>AD1</f>
        <v>272.43</v>
      </c>
      <c r="CZ1">
        <f>AH1</f>
        <v>272.43</v>
      </c>
      <c r="DA1">
        <f>AL1</f>
        <v>1</v>
      </c>
      <c r="DB1">
        <f>ROUND(ROUND(AT1*CZ1,2),6)</f>
        <v>1721.76</v>
      </c>
      <c r="DC1">
        <f>ROUND(ROUND(AT1*AG1,2),6)</f>
        <v>0</v>
      </c>
      <c r="DD1" t="s">
        <v>6</v>
      </c>
      <c r="DE1" t="s">
        <v>6</v>
      </c>
      <c r="DF1">
        <f t="shared" ref="DF1:DF16" si="0">ROUND(ROUND(AE1,2)*CX1,2)</f>
        <v>0</v>
      </c>
      <c r="DG1">
        <f>ROUND(ROUND(AF1,2)*CX1,2)</f>
        <v>0</v>
      </c>
      <c r="DH1">
        <f t="shared" ref="DH1:DH34" si="1">ROUND(ROUND(AG1,2)*CX1,2)</f>
        <v>0</v>
      </c>
      <c r="DI1">
        <f t="shared" ref="DI1:DI34" si="2">ROUND(ROUND(AH1,2)*CX1,2)</f>
        <v>103.31</v>
      </c>
      <c r="DJ1">
        <f>DI1</f>
        <v>103.31</v>
      </c>
      <c r="DK1">
        <v>1</v>
      </c>
      <c r="DL1" t="s">
        <v>6</v>
      </c>
      <c r="DM1">
        <v>0</v>
      </c>
      <c r="DN1" t="s">
        <v>6</v>
      </c>
      <c r="DO1">
        <v>0</v>
      </c>
    </row>
    <row r="2" spans="1:119" x14ac:dyDescent="0.2">
      <c r="A2">
        <f>ROW(Source!A232)</f>
        <v>232</v>
      </c>
      <c r="B2">
        <v>74850150</v>
      </c>
      <c r="C2">
        <v>74851171</v>
      </c>
      <c r="D2">
        <v>72527995</v>
      </c>
      <c r="E2">
        <v>114</v>
      </c>
      <c r="F2">
        <v>1</v>
      </c>
      <c r="G2">
        <v>1</v>
      </c>
      <c r="H2">
        <v>1</v>
      </c>
      <c r="I2" t="s">
        <v>261</v>
      </c>
      <c r="J2" t="s">
        <v>6</v>
      </c>
      <c r="K2" t="s">
        <v>262</v>
      </c>
      <c r="L2">
        <v>1191</v>
      </c>
      <c r="N2">
        <v>1013</v>
      </c>
      <c r="O2" t="s">
        <v>260</v>
      </c>
      <c r="P2" t="s">
        <v>260</v>
      </c>
      <c r="Q2">
        <v>1</v>
      </c>
      <c r="W2">
        <v>0</v>
      </c>
      <c r="X2">
        <v>-1417349443</v>
      </c>
      <c r="Y2">
        <f>AT2</f>
        <v>0.03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1</v>
      </c>
      <c r="AK2">
        <v>1</v>
      </c>
      <c r="AL2">
        <v>1</v>
      </c>
      <c r="AM2">
        <v>-2</v>
      </c>
      <c r="AN2">
        <v>0</v>
      </c>
      <c r="AO2">
        <v>0</v>
      </c>
      <c r="AP2">
        <v>1</v>
      </c>
      <c r="AQ2">
        <v>1</v>
      </c>
      <c r="AR2">
        <v>0</v>
      </c>
      <c r="AS2" t="s">
        <v>6</v>
      </c>
      <c r="AT2">
        <v>0.03</v>
      </c>
      <c r="AU2" t="s">
        <v>6</v>
      </c>
      <c r="AV2">
        <v>2</v>
      </c>
      <c r="AW2">
        <v>2</v>
      </c>
      <c r="AX2">
        <v>74851176</v>
      </c>
      <c r="AY2">
        <v>1</v>
      </c>
      <c r="AZ2">
        <v>0</v>
      </c>
      <c r="BA2">
        <v>2</v>
      </c>
      <c r="BB2">
        <v>1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CV2">
        <v>0</v>
      </c>
      <c r="CW2">
        <v>0</v>
      </c>
      <c r="CX2">
        <f>ROUND(Y2*Source!I232,7)</f>
        <v>1.8E-3</v>
      </c>
      <c r="CY2">
        <f>AD2</f>
        <v>0</v>
      </c>
      <c r="CZ2">
        <f>AH2</f>
        <v>0</v>
      </c>
      <c r="DA2">
        <f>AL2</f>
        <v>1</v>
      </c>
      <c r="DB2">
        <f>ROUND(ROUND(AT2*CZ2,2),6)</f>
        <v>0</v>
      </c>
      <c r="DC2">
        <f>ROUND(ROUND(AT2*AG2,2),6)</f>
        <v>0</v>
      </c>
      <c r="DD2" t="s">
        <v>6</v>
      </c>
      <c r="DE2" t="s">
        <v>6</v>
      </c>
      <c r="DF2">
        <f t="shared" si="0"/>
        <v>0</v>
      </c>
      <c r="DG2">
        <f>ROUND(ROUND(AF2,2)*CX2,2)</f>
        <v>0</v>
      </c>
      <c r="DH2">
        <f t="shared" si="1"/>
        <v>0</v>
      </c>
      <c r="DI2">
        <f t="shared" si="2"/>
        <v>0</v>
      </c>
      <c r="DJ2">
        <f>DI2</f>
        <v>0</v>
      </c>
      <c r="DK2">
        <v>0</v>
      </c>
      <c r="DL2" t="s">
        <v>6</v>
      </c>
      <c r="DM2">
        <v>0</v>
      </c>
      <c r="DN2" t="s">
        <v>6</v>
      </c>
      <c r="DO2">
        <v>0</v>
      </c>
    </row>
    <row r="3" spans="1:119" x14ac:dyDescent="0.2">
      <c r="A3">
        <f>ROW(Source!A232)</f>
        <v>232</v>
      </c>
      <c r="B3">
        <v>74850150</v>
      </c>
      <c r="C3">
        <v>74851171</v>
      </c>
      <c r="D3">
        <v>72652626</v>
      </c>
      <c r="E3">
        <v>1</v>
      </c>
      <c r="F3">
        <v>1</v>
      </c>
      <c r="G3">
        <v>1</v>
      </c>
      <c r="H3">
        <v>2</v>
      </c>
      <c r="I3" t="s">
        <v>263</v>
      </c>
      <c r="J3" t="s">
        <v>264</v>
      </c>
      <c r="K3" t="s">
        <v>265</v>
      </c>
      <c r="L3">
        <v>1368</v>
      </c>
      <c r="N3">
        <v>1011</v>
      </c>
      <c r="O3" t="s">
        <v>266</v>
      </c>
      <c r="P3" t="s">
        <v>266</v>
      </c>
      <c r="Q3">
        <v>1</v>
      </c>
      <c r="W3">
        <v>0</v>
      </c>
      <c r="X3">
        <v>-92307625</v>
      </c>
      <c r="Y3">
        <f>AT3</f>
        <v>0.03</v>
      </c>
      <c r="AA3">
        <v>0</v>
      </c>
      <c r="AB3">
        <v>55.23</v>
      </c>
      <c r="AC3">
        <v>297.43</v>
      </c>
      <c r="AD3">
        <v>0</v>
      </c>
      <c r="AE3">
        <v>0</v>
      </c>
      <c r="AF3">
        <v>37.32</v>
      </c>
      <c r="AG3">
        <v>297.43</v>
      </c>
      <c r="AH3">
        <v>0</v>
      </c>
      <c r="AI3">
        <v>1</v>
      </c>
      <c r="AJ3">
        <v>1.48</v>
      </c>
      <c r="AK3">
        <v>1</v>
      </c>
      <c r="AL3">
        <v>1</v>
      </c>
      <c r="AM3">
        <v>2</v>
      </c>
      <c r="AN3">
        <v>0</v>
      </c>
      <c r="AO3">
        <v>0</v>
      </c>
      <c r="AP3">
        <v>1</v>
      </c>
      <c r="AQ3">
        <v>1</v>
      </c>
      <c r="AR3">
        <v>0</v>
      </c>
      <c r="AS3" t="s">
        <v>6</v>
      </c>
      <c r="AT3">
        <v>0.03</v>
      </c>
      <c r="AU3" t="s">
        <v>6</v>
      </c>
      <c r="AV3">
        <v>1</v>
      </c>
      <c r="AW3">
        <v>2</v>
      </c>
      <c r="AX3">
        <v>74851177</v>
      </c>
      <c r="AY3">
        <v>1</v>
      </c>
      <c r="AZ3">
        <v>0</v>
      </c>
      <c r="BA3">
        <v>3</v>
      </c>
      <c r="BB3">
        <v>1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1.1195999999999999</v>
      </c>
      <c r="BL3">
        <v>8.9229000000000003</v>
      </c>
      <c r="BM3">
        <v>0</v>
      </c>
      <c r="BN3">
        <v>0</v>
      </c>
      <c r="BO3">
        <v>0.03</v>
      </c>
      <c r="BP3">
        <v>1</v>
      </c>
      <c r="BQ3">
        <v>0</v>
      </c>
      <c r="BR3">
        <v>1.1195999999999999</v>
      </c>
      <c r="BS3">
        <v>8.9229000000000003</v>
      </c>
      <c r="BT3">
        <v>0</v>
      </c>
      <c r="BU3">
        <v>0</v>
      </c>
      <c r="BV3">
        <v>0.03</v>
      </c>
      <c r="BW3">
        <v>1</v>
      </c>
      <c r="CV3">
        <v>0</v>
      </c>
      <c r="CW3">
        <f>ROUND(Y3*Source!I232*DO3,7)</f>
        <v>1.8E-3</v>
      </c>
      <c r="CX3">
        <f>ROUND(Y3*Source!I232,7)</f>
        <v>1.8E-3</v>
      </c>
      <c r="CY3">
        <f>AB3</f>
        <v>55.23</v>
      </c>
      <c r="CZ3">
        <f>AF3</f>
        <v>37.32</v>
      </c>
      <c r="DA3">
        <f>AJ3</f>
        <v>1.48</v>
      </c>
      <c r="DB3">
        <f>ROUND(ROUND(AT3*CZ3,2),6)</f>
        <v>1.1200000000000001</v>
      </c>
      <c r="DC3">
        <f>ROUND(ROUND(AT3*AG3,2),6)</f>
        <v>8.92</v>
      </c>
      <c r="DD3" t="s">
        <v>6</v>
      </c>
      <c r="DE3" t="s">
        <v>6</v>
      </c>
      <c r="DF3">
        <f t="shared" si="0"/>
        <v>0</v>
      </c>
      <c r="DG3">
        <f>ROUND(ROUND(AF3*AJ3,2)*CX3,2)</f>
        <v>0.1</v>
      </c>
      <c r="DH3">
        <f t="shared" si="1"/>
        <v>0.54</v>
      </c>
      <c r="DI3">
        <f t="shared" si="2"/>
        <v>0</v>
      </c>
      <c r="DJ3">
        <f>DG3+DH3</f>
        <v>0.64</v>
      </c>
      <c r="DK3">
        <v>0</v>
      </c>
      <c r="DL3" t="s">
        <v>267</v>
      </c>
      <c r="DM3">
        <v>3</v>
      </c>
      <c r="DN3" t="s">
        <v>260</v>
      </c>
      <c r="DO3">
        <v>1</v>
      </c>
    </row>
    <row r="4" spans="1:119" x14ac:dyDescent="0.2">
      <c r="A4">
        <f>ROW(Source!A233)</f>
        <v>233</v>
      </c>
      <c r="B4">
        <v>74850150</v>
      </c>
      <c r="C4">
        <v>74851178</v>
      </c>
      <c r="D4">
        <v>72527951</v>
      </c>
      <c r="E4">
        <v>114</v>
      </c>
      <c r="F4">
        <v>1</v>
      </c>
      <c r="G4">
        <v>1</v>
      </c>
      <c r="H4">
        <v>1</v>
      </c>
      <c r="I4" t="s">
        <v>268</v>
      </c>
      <c r="J4" t="s">
        <v>6</v>
      </c>
      <c r="K4" t="s">
        <v>269</v>
      </c>
      <c r="L4">
        <v>1369</v>
      </c>
      <c r="N4">
        <v>1013</v>
      </c>
      <c r="O4" t="s">
        <v>270</v>
      </c>
      <c r="P4" t="s">
        <v>270</v>
      </c>
      <c r="Q4">
        <v>1</v>
      </c>
      <c r="W4">
        <v>0</v>
      </c>
      <c r="X4">
        <v>1187391579</v>
      </c>
      <c r="Y4">
        <f>(AT4*ROUND(1.05,7))</f>
        <v>0.43049999999999999</v>
      </c>
      <c r="AA4">
        <v>0</v>
      </c>
      <c r="AB4">
        <v>0</v>
      </c>
      <c r="AC4">
        <v>0</v>
      </c>
      <c r="AD4">
        <v>249.94</v>
      </c>
      <c r="AE4">
        <v>0</v>
      </c>
      <c r="AF4">
        <v>0</v>
      </c>
      <c r="AG4">
        <v>0</v>
      </c>
      <c r="AH4">
        <v>249.94</v>
      </c>
      <c r="AI4">
        <v>1</v>
      </c>
      <c r="AJ4">
        <v>1</v>
      </c>
      <c r="AK4">
        <v>1</v>
      </c>
      <c r="AL4">
        <v>1</v>
      </c>
      <c r="AM4">
        <v>-2</v>
      </c>
      <c r="AN4">
        <v>0</v>
      </c>
      <c r="AO4">
        <v>0</v>
      </c>
      <c r="AP4">
        <v>1</v>
      </c>
      <c r="AQ4">
        <v>1</v>
      </c>
      <c r="AR4">
        <v>0</v>
      </c>
      <c r="AS4" t="s">
        <v>6</v>
      </c>
      <c r="AT4">
        <v>0.41</v>
      </c>
      <c r="AU4" t="s">
        <v>102</v>
      </c>
      <c r="AV4">
        <v>1</v>
      </c>
      <c r="AW4">
        <v>2</v>
      </c>
      <c r="AX4">
        <v>74851184</v>
      </c>
      <c r="AY4">
        <v>1</v>
      </c>
      <c r="AZ4">
        <v>0</v>
      </c>
      <c r="BA4">
        <v>4</v>
      </c>
      <c r="BB4">
        <v>1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102.47539999999999</v>
      </c>
      <c r="BN4">
        <v>0.41</v>
      </c>
      <c r="BO4">
        <v>0</v>
      </c>
      <c r="BP4">
        <v>1</v>
      </c>
      <c r="BQ4">
        <v>0</v>
      </c>
      <c r="BR4">
        <v>0</v>
      </c>
      <c r="BS4">
        <v>0</v>
      </c>
      <c r="BT4">
        <v>107.59917</v>
      </c>
      <c r="BU4">
        <v>0.43049999999999999</v>
      </c>
      <c r="BV4">
        <v>0</v>
      </c>
      <c r="BW4">
        <v>1</v>
      </c>
      <c r="CU4">
        <f>ROUND(AT4*Source!I233*AH4*AL4,2)</f>
        <v>8.1999999999999993</v>
      </c>
      <c r="CV4">
        <f>ROUND(Y4*Source!I233,7)</f>
        <v>3.4439999999999998E-2</v>
      </c>
      <c r="CW4">
        <v>0</v>
      </c>
      <c r="CX4">
        <f>ROUND(Y4*Source!I233,7)</f>
        <v>3.4439999999999998E-2</v>
      </c>
      <c r="CY4">
        <f>AD4</f>
        <v>249.94</v>
      </c>
      <c r="CZ4">
        <f>AH4</f>
        <v>249.94</v>
      </c>
      <c r="DA4">
        <f>AL4</f>
        <v>1</v>
      </c>
      <c r="DB4">
        <f>ROUND((ROUND(AT4*CZ4,2)*ROUND(1.05,7)),6)</f>
        <v>107.604</v>
      </c>
      <c r="DC4">
        <f>ROUND((ROUND(AT4*AG4,2)*ROUND(1.05,7)),6)</f>
        <v>0</v>
      </c>
      <c r="DD4" t="s">
        <v>6</v>
      </c>
      <c r="DE4" t="s">
        <v>6</v>
      </c>
      <c r="DF4">
        <f t="shared" si="0"/>
        <v>0</v>
      </c>
      <c r="DG4">
        <f t="shared" ref="DG4:DG10" si="3">ROUND(ROUND(AF4,2)*CX4,2)</f>
        <v>0</v>
      </c>
      <c r="DH4">
        <f t="shared" si="1"/>
        <v>0</v>
      </c>
      <c r="DI4">
        <f t="shared" si="2"/>
        <v>8.61</v>
      </c>
      <c r="DJ4">
        <f>DI4</f>
        <v>8.61</v>
      </c>
      <c r="DK4">
        <v>1</v>
      </c>
      <c r="DL4" t="s">
        <v>6</v>
      </c>
      <c r="DM4">
        <v>0</v>
      </c>
      <c r="DN4" t="s">
        <v>6</v>
      </c>
      <c r="DO4">
        <v>0</v>
      </c>
    </row>
    <row r="5" spans="1:119" x14ac:dyDescent="0.2">
      <c r="A5">
        <f>ROW(Source!A233)</f>
        <v>233</v>
      </c>
      <c r="B5">
        <v>74850150</v>
      </c>
      <c r="C5">
        <v>74851178</v>
      </c>
      <c r="D5">
        <v>72527961</v>
      </c>
      <c r="E5">
        <v>114</v>
      </c>
      <c r="F5">
        <v>1</v>
      </c>
      <c r="G5">
        <v>1</v>
      </c>
      <c r="H5">
        <v>1</v>
      </c>
      <c r="I5" t="s">
        <v>271</v>
      </c>
      <c r="J5" t="s">
        <v>6</v>
      </c>
      <c r="K5" t="s">
        <v>272</v>
      </c>
      <c r="L5">
        <v>1369</v>
      </c>
      <c r="N5">
        <v>1013</v>
      </c>
      <c r="O5" t="s">
        <v>270</v>
      </c>
      <c r="P5" t="s">
        <v>270</v>
      </c>
      <c r="Q5">
        <v>1</v>
      </c>
      <c r="W5">
        <v>0</v>
      </c>
      <c r="X5">
        <v>-512803540</v>
      </c>
      <c r="Y5">
        <f>(AT5*ROUND(1.05,7))</f>
        <v>20.118000000000002</v>
      </c>
      <c r="AA5">
        <v>0</v>
      </c>
      <c r="AB5">
        <v>0</v>
      </c>
      <c r="AC5">
        <v>0</v>
      </c>
      <c r="AD5">
        <v>334.92</v>
      </c>
      <c r="AE5">
        <v>0</v>
      </c>
      <c r="AF5">
        <v>0</v>
      </c>
      <c r="AG5">
        <v>0</v>
      </c>
      <c r="AH5">
        <v>334.92</v>
      </c>
      <c r="AI5">
        <v>1</v>
      </c>
      <c r="AJ5">
        <v>1</v>
      </c>
      <c r="AK5">
        <v>1</v>
      </c>
      <c r="AL5">
        <v>1</v>
      </c>
      <c r="AM5">
        <v>-2</v>
      </c>
      <c r="AN5">
        <v>0</v>
      </c>
      <c r="AO5">
        <v>0</v>
      </c>
      <c r="AP5">
        <v>1</v>
      </c>
      <c r="AQ5">
        <v>1</v>
      </c>
      <c r="AR5">
        <v>0</v>
      </c>
      <c r="AS5" t="s">
        <v>6</v>
      </c>
      <c r="AT5">
        <v>19.16</v>
      </c>
      <c r="AU5" t="s">
        <v>102</v>
      </c>
      <c r="AV5">
        <v>1</v>
      </c>
      <c r="AW5">
        <v>2</v>
      </c>
      <c r="AX5">
        <v>74851185</v>
      </c>
      <c r="AY5">
        <v>1</v>
      </c>
      <c r="AZ5">
        <v>0</v>
      </c>
      <c r="BA5">
        <v>5</v>
      </c>
      <c r="BB5">
        <v>1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6417.0672000000004</v>
      </c>
      <c r="BN5">
        <v>19.16</v>
      </c>
      <c r="BO5">
        <v>0</v>
      </c>
      <c r="BP5">
        <v>1</v>
      </c>
      <c r="BQ5">
        <v>0</v>
      </c>
      <c r="BR5">
        <v>0</v>
      </c>
      <c r="BS5">
        <v>0</v>
      </c>
      <c r="BT5">
        <v>6737.9205600000014</v>
      </c>
      <c r="BU5">
        <v>20.118000000000002</v>
      </c>
      <c r="BV5">
        <v>0</v>
      </c>
      <c r="BW5">
        <v>1</v>
      </c>
      <c r="CU5">
        <f>ROUND(AT5*Source!I233*AH5*AL5,2)</f>
        <v>513.37</v>
      </c>
      <c r="CV5">
        <f>ROUND(Y5*Source!I233,7)</f>
        <v>1.60944</v>
      </c>
      <c r="CW5">
        <v>0</v>
      </c>
      <c r="CX5">
        <f>ROUND(Y5*Source!I233,7)</f>
        <v>1.60944</v>
      </c>
      <c r="CY5">
        <f>AD5</f>
        <v>334.92</v>
      </c>
      <c r="CZ5">
        <f>AH5</f>
        <v>334.92</v>
      </c>
      <c r="DA5">
        <f>AL5</f>
        <v>1</v>
      </c>
      <c r="DB5">
        <f>ROUND((ROUND(AT5*CZ5,2)*ROUND(1.05,7)),6)</f>
        <v>6737.9234999999999</v>
      </c>
      <c r="DC5">
        <f>ROUND((ROUND(AT5*AG5,2)*ROUND(1.05,7)),6)</f>
        <v>0</v>
      </c>
      <c r="DD5" t="s">
        <v>6</v>
      </c>
      <c r="DE5" t="s">
        <v>6</v>
      </c>
      <c r="DF5">
        <f t="shared" si="0"/>
        <v>0</v>
      </c>
      <c r="DG5">
        <f t="shared" si="3"/>
        <v>0</v>
      </c>
      <c r="DH5">
        <f t="shared" si="1"/>
        <v>0</v>
      </c>
      <c r="DI5">
        <f t="shared" si="2"/>
        <v>539.03</v>
      </c>
      <c r="DJ5">
        <f>DI5</f>
        <v>539.03</v>
      </c>
      <c r="DK5">
        <v>1</v>
      </c>
      <c r="DL5" t="s">
        <v>6</v>
      </c>
      <c r="DM5">
        <v>0</v>
      </c>
      <c r="DN5" t="s">
        <v>6</v>
      </c>
      <c r="DO5">
        <v>0</v>
      </c>
    </row>
    <row r="6" spans="1:119" x14ac:dyDescent="0.2">
      <c r="A6">
        <f>ROW(Source!A233)</f>
        <v>233</v>
      </c>
      <c r="B6">
        <v>74850150</v>
      </c>
      <c r="C6">
        <v>74851178</v>
      </c>
      <c r="D6">
        <v>72527995</v>
      </c>
      <c r="E6">
        <v>114</v>
      </c>
      <c r="F6">
        <v>1</v>
      </c>
      <c r="G6">
        <v>1</v>
      </c>
      <c r="H6">
        <v>1</v>
      </c>
      <c r="I6" t="s">
        <v>261</v>
      </c>
      <c r="J6" t="s">
        <v>6</v>
      </c>
      <c r="K6" t="s">
        <v>262</v>
      </c>
      <c r="L6">
        <v>1191</v>
      </c>
      <c r="N6">
        <v>1013</v>
      </c>
      <c r="O6" t="s">
        <v>260</v>
      </c>
      <c r="P6" t="s">
        <v>260</v>
      </c>
      <c r="Q6">
        <v>1</v>
      </c>
      <c r="W6">
        <v>0</v>
      </c>
      <c r="X6">
        <v>-1417349443</v>
      </c>
      <c r="Y6">
        <f t="shared" ref="Y6:Y20" si="4">AT6</f>
        <v>0.28000000000000003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1</v>
      </c>
      <c r="AJ6">
        <v>1</v>
      </c>
      <c r="AK6">
        <v>1</v>
      </c>
      <c r="AL6">
        <v>1</v>
      </c>
      <c r="AM6">
        <v>-2</v>
      </c>
      <c r="AN6">
        <v>0</v>
      </c>
      <c r="AO6">
        <v>0</v>
      </c>
      <c r="AP6">
        <v>1</v>
      </c>
      <c r="AQ6">
        <v>1</v>
      </c>
      <c r="AR6">
        <v>0</v>
      </c>
      <c r="AS6" t="s">
        <v>6</v>
      </c>
      <c r="AT6">
        <v>0.28000000000000003</v>
      </c>
      <c r="AU6" t="s">
        <v>6</v>
      </c>
      <c r="AV6">
        <v>2</v>
      </c>
      <c r="AW6">
        <v>2</v>
      </c>
      <c r="AX6">
        <v>74851186</v>
      </c>
      <c r="AY6">
        <v>1</v>
      </c>
      <c r="AZ6">
        <v>0</v>
      </c>
      <c r="BA6">
        <v>6</v>
      </c>
      <c r="BB6">
        <v>1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CV6">
        <v>0</v>
      </c>
      <c r="CW6">
        <v>0</v>
      </c>
      <c r="CX6">
        <f>ROUND(Y6*Source!I233,7)</f>
        <v>2.24E-2</v>
      </c>
      <c r="CY6">
        <f>AD6</f>
        <v>0</v>
      </c>
      <c r="CZ6">
        <f>AH6</f>
        <v>0</v>
      </c>
      <c r="DA6">
        <f>AL6</f>
        <v>1</v>
      </c>
      <c r="DB6">
        <f t="shared" ref="DB6:DB20" si="5">ROUND(ROUND(AT6*CZ6,2),6)</f>
        <v>0</v>
      </c>
      <c r="DC6">
        <f t="shared" ref="DC6:DC20" si="6">ROUND(ROUND(AT6*AG6,2),6)</f>
        <v>0</v>
      </c>
      <c r="DD6" t="s">
        <v>6</v>
      </c>
      <c r="DE6" t="s">
        <v>6</v>
      </c>
      <c r="DF6">
        <f t="shared" si="0"/>
        <v>0</v>
      </c>
      <c r="DG6">
        <f t="shared" si="3"/>
        <v>0</v>
      </c>
      <c r="DH6">
        <f t="shared" si="1"/>
        <v>0</v>
      </c>
      <c r="DI6">
        <f t="shared" si="2"/>
        <v>0</v>
      </c>
      <c r="DJ6">
        <f>DI6</f>
        <v>0</v>
      </c>
      <c r="DK6">
        <v>0</v>
      </c>
      <c r="DL6" t="s">
        <v>6</v>
      </c>
      <c r="DM6">
        <v>0</v>
      </c>
      <c r="DN6" t="s">
        <v>6</v>
      </c>
      <c r="DO6">
        <v>0</v>
      </c>
    </row>
    <row r="7" spans="1:119" x14ac:dyDescent="0.2">
      <c r="A7">
        <f>ROW(Source!A233)</f>
        <v>233</v>
      </c>
      <c r="B7">
        <v>74850150</v>
      </c>
      <c r="C7">
        <v>74851178</v>
      </c>
      <c r="D7">
        <v>72653331</v>
      </c>
      <c r="E7">
        <v>1</v>
      </c>
      <c r="F7">
        <v>1</v>
      </c>
      <c r="G7">
        <v>1</v>
      </c>
      <c r="H7">
        <v>2</v>
      </c>
      <c r="I7" t="s">
        <v>273</v>
      </c>
      <c r="J7" t="s">
        <v>274</v>
      </c>
      <c r="K7" t="s">
        <v>275</v>
      </c>
      <c r="L7">
        <v>1368</v>
      </c>
      <c r="N7">
        <v>1011</v>
      </c>
      <c r="O7" t="s">
        <v>266</v>
      </c>
      <c r="P7" t="s">
        <v>266</v>
      </c>
      <c r="Q7">
        <v>1</v>
      </c>
      <c r="W7">
        <v>0</v>
      </c>
      <c r="X7">
        <v>-1152394969</v>
      </c>
      <c r="Y7">
        <f t="shared" si="4"/>
        <v>0.28000000000000003</v>
      </c>
      <c r="AA7">
        <v>0</v>
      </c>
      <c r="AB7">
        <v>611</v>
      </c>
      <c r="AC7">
        <v>334.92</v>
      </c>
      <c r="AD7">
        <v>0</v>
      </c>
      <c r="AE7">
        <v>0</v>
      </c>
      <c r="AF7">
        <v>611</v>
      </c>
      <c r="AG7">
        <v>334.92</v>
      </c>
      <c r="AH7">
        <v>0</v>
      </c>
      <c r="AI7">
        <v>1</v>
      </c>
      <c r="AJ7">
        <v>1</v>
      </c>
      <c r="AK7">
        <v>1</v>
      </c>
      <c r="AL7">
        <v>1</v>
      </c>
      <c r="AM7">
        <v>-2</v>
      </c>
      <c r="AN7">
        <v>0</v>
      </c>
      <c r="AO7">
        <v>0</v>
      </c>
      <c r="AP7">
        <v>1</v>
      </c>
      <c r="AQ7">
        <v>1</v>
      </c>
      <c r="AR7">
        <v>0</v>
      </c>
      <c r="AS7" t="s">
        <v>6</v>
      </c>
      <c r="AT7">
        <v>0.28000000000000003</v>
      </c>
      <c r="AU7" t="s">
        <v>6</v>
      </c>
      <c r="AV7">
        <v>1</v>
      </c>
      <c r="AW7">
        <v>2</v>
      </c>
      <c r="AX7">
        <v>74851187</v>
      </c>
      <c r="AY7">
        <v>1</v>
      </c>
      <c r="AZ7">
        <v>0</v>
      </c>
      <c r="BA7">
        <v>7</v>
      </c>
      <c r="BB7">
        <v>1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171.08</v>
      </c>
      <c r="BL7">
        <v>93.777600000000007</v>
      </c>
      <c r="BM7">
        <v>0</v>
      </c>
      <c r="BN7">
        <v>0</v>
      </c>
      <c r="BO7">
        <v>0.28000000000000003</v>
      </c>
      <c r="BP7">
        <v>1</v>
      </c>
      <c r="BQ7">
        <v>0</v>
      </c>
      <c r="BR7">
        <v>171.08</v>
      </c>
      <c r="BS7">
        <v>93.777600000000007</v>
      </c>
      <c r="BT7">
        <v>0</v>
      </c>
      <c r="BU7">
        <v>0</v>
      </c>
      <c r="BV7">
        <v>0.28000000000000003</v>
      </c>
      <c r="BW7">
        <v>1</v>
      </c>
      <c r="CV7">
        <v>0</v>
      </c>
      <c r="CW7">
        <f>ROUND(Y7*Source!I233*DO7,7)</f>
        <v>2.24E-2</v>
      </c>
      <c r="CX7">
        <f>ROUND(Y7*Source!I233,7)</f>
        <v>2.24E-2</v>
      </c>
      <c r="CY7">
        <f>AB7</f>
        <v>611</v>
      </c>
      <c r="CZ7">
        <f>AF7</f>
        <v>611</v>
      </c>
      <c r="DA7">
        <f>AJ7</f>
        <v>1</v>
      </c>
      <c r="DB7">
        <f t="shared" si="5"/>
        <v>171.08</v>
      </c>
      <c r="DC7">
        <f t="shared" si="6"/>
        <v>93.78</v>
      </c>
      <c r="DD7" t="s">
        <v>6</v>
      </c>
      <c r="DE7" t="s">
        <v>6</v>
      </c>
      <c r="DF7">
        <f t="shared" si="0"/>
        <v>0</v>
      </c>
      <c r="DG7">
        <f t="shared" si="3"/>
        <v>13.69</v>
      </c>
      <c r="DH7">
        <f t="shared" si="1"/>
        <v>7.5</v>
      </c>
      <c r="DI7">
        <f t="shared" si="2"/>
        <v>0</v>
      </c>
      <c r="DJ7">
        <f>DG7+DH7</f>
        <v>21.189999999999998</v>
      </c>
      <c r="DK7">
        <v>1</v>
      </c>
      <c r="DL7" t="s">
        <v>276</v>
      </c>
      <c r="DM7">
        <v>4</v>
      </c>
      <c r="DN7" t="s">
        <v>260</v>
      </c>
      <c r="DO7">
        <v>1</v>
      </c>
    </row>
    <row r="8" spans="1:119" x14ac:dyDescent="0.2">
      <c r="A8">
        <f>ROW(Source!A233)</f>
        <v>233</v>
      </c>
      <c r="B8">
        <v>74850150</v>
      </c>
      <c r="C8">
        <v>74851178</v>
      </c>
      <c r="D8">
        <v>72533686</v>
      </c>
      <c r="E8">
        <v>114</v>
      </c>
      <c r="F8">
        <v>1</v>
      </c>
      <c r="G8">
        <v>1</v>
      </c>
      <c r="H8">
        <v>3</v>
      </c>
      <c r="I8" t="s">
        <v>110</v>
      </c>
      <c r="J8" t="s">
        <v>6</v>
      </c>
      <c r="K8" t="s">
        <v>111</v>
      </c>
      <c r="L8">
        <v>3277935</v>
      </c>
      <c r="N8">
        <v>1013</v>
      </c>
      <c r="O8" t="s">
        <v>112</v>
      </c>
      <c r="P8" t="s">
        <v>112</v>
      </c>
      <c r="Q8">
        <v>1</v>
      </c>
      <c r="W8">
        <v>0</v>
      </c>
      <c r="X8">
        <v>274903907</v>
      </c>
      <c r="Y8">
        <f t="shared" si="4"/>
        <v>2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1</v>
      </c>
      <c r="AJ8">
        <v>1</v>
      </c>
      <c r="AK8">
        <v>1</v>
      </c>
      <c r="AL8">
        <v>1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 t="s">
        <v>6</v>
      </c>
      <c r="AT8">
        <v>2</v>
      </c>
      <c r="AU8" t="s">
        <v>6</v>
      </c>
      <c r="AV8">
        <v>0</v>
      </c>
      <c r="AW8">
        <v>2</v>
      </c>
      <c r="AX8">
        <v>74851188</v>
      </c>
      <c r="AY8">
        <v>1</v>
      </c>
      <c r="AZ8">
        <v>0</v>
      </c>
      <c r="BA8">
        <v>8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CV8">
        <v>0</v>
      </c>
      <c r="CW8">
        <v>0</v>
      </c>
      <c r="CX8">
        <f>ROUND(Y8*Source!I233,7)</f>
        <v>0.16</v>
      </c>
      <c r="CY8">
        <f>AA8</f>
        <v>0</v>
      </c>
      <c r="CZ8">
        <f>AE8</f>
        <v>0</v>
      </c>
      <c r="DA8">
        <f>AI8</f>
        <v>1</v>
      </c>
      <c r="DB8">
        <f t="shared" si="5"/>
        <v>0</v>
      </c>
      <c r="DC8">
        <f t="shared" si="6"/>
        <v>0</v>
      </c>
      <c r="DD8" t="s">
        <v>6</v>
      </c>
      <c r="DE8" t="s">
        <v>6</v>
      </c>
      <c r="DF8">
        <f t="shared" si="0"/>
        <v>0</v>
      </c>
      <c r="DG8">
        <f t="shared" si="3"/>
        <v>0</v>
      </c>
      <c r="DH8">
        <f t="shared" si="1"/>
        <v>0</v>
      </c>
      <c r="DI8">
        <f t="shared" si="2"/>
        <v>0</v>
      </c>
      <c r="DJ8">
        <f>DF8</f>
        <v>0</v>
      </c>
      <c r="DK8">
        <v>0</v>
      </c>
      <c r="DL8" t="s">
        <v>6</v>
      </c>
      <c r="DM8">
        <v>0</v>
      </c>
      <c r="DN8" t="s">
        <v>6</v>
      </c>
      <c r="DO8">
        <v>0</v>
      </c>
    </row>
    <row r="9" spans="1:119" x14ac:dyDescent="0.2">
      <c r="A9">
        <f>ROW(Source!A236)</f>
        <v>236</v>
      </c>
      <c r="B9">
        <v>74850150</v>
      </c>
      <c r="C9">
        <v>74851191</v>
      </c>
      <c r="D9">
        <v>72527810</v>
      </c>
      <c r="E9">
        <v>114</v>
      </c>
      <c r="F9">
        <v>1</v>
      </c>
      <c r="G9">
        <v>1</v>
      </c>
      <c r="H9">
        <v>1</v>
      </c>
      <c r="I9" t="s">
        <v>277</v>
      </c>
      <c r="J9" t="s">
        <v>6</v>
      </c>
      <c r="K9" t="s">
        <v>278</v>
      </c>
      <c r="L9">
        <v>1191</v>
      </c>
      <c r="N9">
        <v>1013</v>
      </c>
      <c r="O9" t="s">
        <v>260</v>
      </c>
      <c r="P9" t="s">
        <v>260</v>
      </c>
      <c r="Q9">
        <v>1</v>
      </c>
      <c r="W9">
        <v>0</v>
      </c>
      <c r="X9">
        <v>-715079457</v>
      </c>
      <c r="Y9">
        <f t="shared" si="4"/>
        <v>24.1</v>
      </c>
      <c r="AA9">
        <v>0</v>
      </c>
      <c r="AB9">
        <v>0</v>
      </c>
      <c r="AC9">
        <v>0</v>
      </c>
      <c r="AD9">
        <v>316.17</v>
      </c>
      <c r="AE9">
        <v>0</v>
      </c>
      <c r="AF9">
        <v>0</v>
      </c>
      <c r="AG9">
        <v>0</v>
      </c>
      <c r="AH9">
        <v>316.17</v>
      </c>
      <c r="AI9">
        <v>1</v>
      </c>
      <c r="AJ9">
        <v>1</v>
      </c>
      <c r="AK9">
        <v>1</v>
      </c>
      <c r="AL9">
        <v>1</v>
      </c>
      <c r="AM9">
        <v>-2</v>
      </c>
      <c r="AN9">
        <v>0</v>
      </c>
      <c r="AO9">
        <v>0</v>
      </c>
      <c r="AP9">
        <v>1</v>
      </c>
      <c r="AQ9">
        <v>1</v>
      </c>
      <c r="AR9">
        <v>0</v>
      </c>
      <c r="AS9" t="s">
        <v>6</v>
      </c>
      <c r="AT9">
        <v>24.1</v>
      </c>
      <c r="AU9" t="s">
        <v>6</v>
      </c>
      <c r="AV9">
        <v>1</v>
      </c>
      <c r="AW9">
        <v>2</v>
      </c>
      <c r="AX9">
        <v>74851193</v>
      </c>
      <c r="AY9">
        <v>1</v>
      </c>
      <c r="AZ9">
        <v>0</v>
      </c>
      <c r="BA9">
        <v>9</v>
      </c>
      <c r="BB9">
        <v>1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7619.697000000001</v>
      </c>
      <c r="BN9">
        <v>24.1</v>
      </c>
      <c r="BO9">
        <v>0</v>
      </c>
      <c r="BP9">
        <v>1</v>
      </c>
      <c r="BQ9">
        <v>0</v>
      </c>
      <c r="BR9">
        <v>0</v>
      </c>
      <c r="BS9">
        <v>0</v>
      </c>
      <c r="BT9">
        <v>7619.697000000001</v>
      </c>
      <c r="BU9">
        <v>24.1</v>
      </c>
      <c r="BV9">
        <v>0</v>
      </c>
      <c r="BW9">
        <v>1</v>
      </c>
      <c r="CU9">
        <f>ROUND(AT9*Source!I236*AH9*AL9,2)</f>
        <v>380.98</v>
      </c>
      <c r="CV9">
        <f>ROUND(Y9*Source!I236,7)</f>
        <v>1.2050000000000001</v>
      </c>
      <c r="CW9">
        <v>0</v>
      </c>
      <c r="CX9">
        <f>ROUND(Y9*Source!I236,7)</f>
        <v>1.2050000000000001</v>
      </c>
      <c r="CY9">
        <f>AD9</f>
        <v>316.17</v>
      </c>
      <c r="CZ9">
        <f>AH9</f>
        <v>316.17</v>
      </c>
      <c r="DA9">
        <f>AL9</f>
        <v>1</v>
      </c>
      <c r="DB9">
        <f t="shared" si="5"/>
        <v>7619.7</v>
      </c>
      <c r="DC9">
        <f t="shared" si="6"/>
        <v>0</v>
      </c>
      <c r="DD9" t="s">
        <v>6</v>
      </c>
      <c r="DE9" t="s">
        <v>6</v>
      </c>
      <c r="DF9">
        <f t="shared" si="0"/>
        <v>0</v>
      </c>
      <c r="DG9">
        <f t="shared" si="3"/>
        <v>0</v>
      </c>
      <c r="DH9">
        <f t="shared" si="1"/>
        <v>0</v>
      </c>
      <c r="DI9">
        <f t="shared" si="2"/>
        <v>380.98</v>
      </c>
      <c r="DJ9">
        <f>DI9</f>
        <v>380.98</v>
      </c>
      <c r="DK9">
        <v>1</v>
      </c>
      <c r="DL9" t="s">
        <v>6</v>
      </c>
      <c r="DM9">
        <v>0</v>
      </c>
      <c r="DN9" t="s">
        <v>6</v>
      </c>
      <c r="DO9">
        <v>0</v>
      </c>
    </row>
    <row r="10" spans="1:119" x14ac:dyDescent="0.2">
      <c r="A10">
        <f>ROW(Source!A241)</f>
        <v>241</v>
      </c>
      <c r="B10">
        <v>74850150</v>
      </c>
      <c r="C10">
        <v>74851199</v>
      </c>
      <c r="D10">
        <v>72527812</v>
      </c>
      <c r="E10">
        <v>114</v>
      </c>
      <c r="F10">
        <v>1</v>
      </c>
      <c r="G10">
        <v>1</v>
      </c>
      <c r="H10">
        <v>1</v>
      </c>
      <c r="I10" t="s">
        <v>279</v>
      </c>
      <c r="J10" t="s">
        <v>6</v>
      </c>
      <c r="K10" t="s">
        <v>280</v>
      </c>
      <c r="L10">
        <v>1191</v>
      </c>
      <c r="N10">
        <v>1013</v>
      </c>
      <c r="O10" t="s">
        <v>260</v>
      </c>
      <c r="P10" t="s">
        <v>260</v>
      </c>
      <c r="Q10">
        <v>1</v>
      </c>
      <c r="W10">
        <v>0</v>
      </c>
      <c r="X10">
        <v>1733635447</v>
      </c>
      <c r="Y10">
        <f t="shared" si="4"/>
        <v>14</v>
      </c>
      <c r="AA10">
        <v>0</v>
      </c>
      <c r="AB10">
        <v>0</v>
      </c>
      <c r="AC10">
        <v>0</v>
      </c>
      <c r="AD10">
        <v>319.92</v>
      </c>
      <c r="AE10">
        <v>0</v>
      </c>
      <c r="AF10">
        <v>0</v>
      </c>
      <c r="AG10">
        <v>0</v>
      </c>
      <c r="AH10">
        <v>319.92</v>
      </c>
      <c r="AI10">
        <v>1</v>
      </c>
      <c r="AJ10">
        <v>1</v>
      </c>
      <c r="AK10">
        <v>1</v>
      </c>
      <c r="AL10">
        <v>1</v>
      </c>
      <c r="AM10">
        <v>-2</v>
      </c>
      <c r="AN10">
        <v>0</v>
      </c>
      <c r="AO10">
        <v>0</v>
      </c>
      <c r="AP10">
        <v>1</v>
      </c>
      <c r="AQ10">
        <v>1</v>
      </c>
      <c r="AR10">
        <v>0</v>
      </c>
      <c r="AS10" t="s">
        <v>6</v>
      </c>
      <c r="AT10">
        <v>14</v>
      </c>
      <c r="AU10" t="s">
        <v>6</v>
      </c>
      <c r="AV10">
        <v>1</v>
      </c>
      <c r="AW10">
        <v>2</v>
      </c>
      <c r="AX10">
        <v>74851203</v>
      </c>
      <c r="AY10">
        <v>1</v>
      </c>
      <c r="AZ10">
        <v>0</v>
      </c>
      <c r="BA10">
        <v>11</v>
      </c>
      <c r="BB10">
        <v>1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4478.88</v>
      </c>
      <c r="BN10">
        <v>14</v>
      </c>
      <c r="BO10">
        <v>0</v>
      </c>
      <c r="BP10">
        <v>1</v>
      </c>
      <c r="BQ10">
        <v>0</v>
      </c>
      <c r="BR10">
        <v>0</v>
      </c>
      <c r="BS10">
        <v>0</v>
      </c>
      <c r="BT10">
        <v>4478.88</v>
      </c>
      <c r="BU10">
        <v>14</v>
      </c>
      <c r="BV10">
        <v>0</v>
      </c>
      <c r="BW10">
        <v>1</v>
      </c>
      <c r="CU10">
        <f>ROUND(AT10*Source!I241*AH10*AL10,2)</f>
        <v>671.83</v>
      </c>
      <c r="CV10">
        <f>ROUND(Y10*Source!I241,7)</f>
        <v>2.1</v>
      </c>
      <c r="CW10">
        <v>0</v>
      </c>
      <c r="CX10">
        <f>ROUND(Y10*Source!I241,7)</f>
        <v>2.1</v>
      </c>
      <c r="CY10">
        <f>AD10</f>
        <v>319.92</v>
      </c>
      <c r="CZ10">
        <f>AH10</f>
        <v>319.92</v>
      </c>
      <c r="DA10">
        <f>AL10</f>
        <v>1</v>
      </c>
      <c r="DB10">
        <f t="shared" si="5"/>
        <v>4478.88</v>
      </c>
      <c r="DC10">
        <f t="shared" si="6"/>
        <v>0</v>
      </c>
      <c r="DD10" t="s">
        <v>6</v>
      </c>
      <c r="DE10" t="s">
        <v>6</v>
      </c>
      <c r="DF10">
        <f t="shared" si="0"/>
        <v>0</v>
      </c>
      <c r="DG10">
        <f t="shared" si="3"/>
        <v>0</v>
      </c>
      <c r="DH10">
        <f t="shared" si="1"/>
        <v>0</v>
      </c>
      <c r="DI10">
        <f t="shared" si="2"/>
        <v>671.83</v>
      </c>
      <c r="DJ10">
        <f>DI10</f>
        <v>671.83</v>
      </c>
      <c r="DK10">
        <v>1</v>
      </c>
      <c r="DL10" t="s">
        <v>6</v>
      </c>
      <c r="DM10">
        <v>0</v>
      </c>
      <c r="DN10" t="s">
        <v>6</v>
      </c>
      <c r="DO10">
        <v>0</v>
      </c>
    </row>
    <row r="11" spans="1:119" x14ac:dyDescent="0.2">
      <c r="A11">
        <f>ROW(Source!A241)</f>
        <v>241</v>
      </c>
      <c r="B11">
        <v>74850150</v>
      </c>
      <c r="C11">
        <v>74851199</v>
      </c>
      <c r="D11">
        <v>72653546</v>
      </c>
      <c r="E11">
        <v>1</v>
      </c>
      <c r="F11">
        <v>1</v>
      </c>
      <c r="G11">
        <v>1</v>
      </c>
      <c r="H11">
        <v>2</v>
      </c>
      <c r="I11" t="s">
        <v>281</v>
      </c>
      <c r="J11" t="s">
        <v>282</v>
      </c>
      <c r="K11" t="s">
        <v>283</v>
      </c>
      <c r="L11">
        <v>1368</v>
      </c>
      <c r="N11">
        <v>1011</v>
      </c>
      <c r="O11" t="s">
        <v>266</v>
      </c>
      <c r="P11" t="s">
        <v>266</v>
      </c>
      <c r="Q11">
        <v>1</v>
      </c>
      <c r="W11">
        <v>0</v>
      </c>
      <c r="X11">
        <v>-266334253</v>
      </c>
      <c r="Y11">
        <f t="shared" si="4"/>
        <v>4.0599999999999996</v>
      </c>
      <c r="AA11">
        <v>0</v>
      </c>
      <c r="AB11">
        <v>175.45</v>
      </c>
      <c r="AC11">
        <v>0</v>
      </c>
      <c r="AD11">
        <v>0</v>
      </c>
      <c r="AE11">
        <v>0</v>
      </c>
      <c r="AF11">
        <v>115.43</v>
      </c>
      <c r="AG11">
        <v>0</v>
      </c>
      <c r="AH11">
        <v>0</v>
      </c>
      <c r="AI11">
        <v>1</v>
      </c>
      <c r="AJ11">
        <v>1.52</v>
      </c>
      <c r="AK11">
        <v>1</v>
      </c>
      <c r="AL11">
        <v>1</v>
      </c>
      <c r="AM11">
        <v>2</v>
      </c>
      <c r="AN11">
        <v>0</v>
      </c>
      <c r="AO11">
        <v>0</v>
      </c>
      <c r="AP11">
        <v>1</v>
      </c>
      <c r="AQ11">
        <v>1</v>
      </c>
      <c r="AR11">
        <v>0</v>
      </c>
      <c r="AS11" t="s">
        <v>6</v>
      </c>
      <c r="AT11">
        <v>4.0599999999999996</v>
      </c>
      <c r="AU11" t="s">
        <v>6</v>
      </c>
      <c r="AV11">
        <v>1</v>
      </c>
      <c r="AW11">
        <v>2</v>
      </c>
      <c r="AX11">
        <v>74851204</v>
      </c>
      <c r="AY11">
        <v>1</v>
      </c>
      <c r="AZ11">
        <v>0</v>
      </c>
      <c r="BA11">
        <v>12</v>
      </c>
      <c r="BB11">
        <v>1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468.64580000000001</v>
      </c>
      <c r="BL11">
        <v>0</v>
      </c>
      <c r="BM11">
        <v>0</v>
      </c>
      <c r="BN11">
        <v>0</v>
      </c>
      <c r="BO11">
        <v>0</v>
      </c>
      <c r="BP11">
        <v>1</v>
      </c>
      <c r="BQ11">
        <v>0</v>
      </c>
      <c r="BR11">
        <v>468.64580000000001</v>
      </c>
      <c r="BS11">
        <v>0</v>
      </c>
      <c r="BT11">
        <v>0</v>
      </c>
      <c r="BU11">
        <v>0</v>
      </c>
      <c r="BV11">
        <v>0</v>
      </c>
      <c r="BW11">
        <v>1</v>
      </c>
      <c r="CV11">
        <v>0</v>
      </c>
      <c r="CW11">
        <f>ROUND(Y11*Source!I241*DO11,7)</f>
        <v>0</v>
      </c>
      <c r="CX11">
        <f>ROUND(Y11*Source!I241,7)</f>
        <v>0.60899999999999999</v>
      </c>
      <c r="CY11">
        <f>AB11</f>
        <v>175.45</v>
      </c>
      <c r="CZ11">
        <f>AF11</f>
        <v>115.43</v>
      </c>
      <c r="DA11">
        <f>AJ11</f>
        <v>1.52</v>
      </c>
      <c r="DB11">
        <f t="shared" si="5"/>
        <v>468.65</v>
      </c>
      <c r="DC11">
        <f t="shared" si="6"/>
        <v>0</v>
      </c>
      <c r="DD11" t="s">
        <v>6</v>
      </c>
      <c r="DE11" t="s">
        <v>6</v>
      </c>
      <c r="DF11">
        <f t="shared" si="0"/>
        <v>0</v>
      </c>
      <c r="DG11">
        <f>ROUND(ROUND(AF11*AJ11,2)*CX11,2)</f>
        <v>106.85</v>
      </c>
      <c r="DH11">
        <f t="shared" si="1"/>
        <v>0</v>
      </c>
      <c r="DI11">
        <f t="shared" si="2"/>
        <v>0</v>
      </c>
      <c r="DJ11">
        <f>DG11+DH11</f>
        <v>106.85</v>
      </c>
      <c r="DK11">
        <v>0</v>
      </c>
      <c r="DL11" t="s">
        <v>6</v>
      </c>
      <c r="DM11">
        <v>0</v>
      </c>
      <c r="DN11" t="s">
        <v>6</v>
      </c>
      <c r="DO11">
        <v>0</v>
      </c>
    </row>
    <row r="12" spans="1:119" x14ac:dyDescent="0.2">
      <c r="A12">
        <f>ROW(Source!A241)</f>
        <v>241</v>
      </c>
      <c r="B12">
        <v>74850150</v>
      </c>
      <c r="C12">
        <v>74851199</v>
      </c>
      <c r="D12">
        <v>72653934</v>
      </c>
      <c r="E12">
        <v>1</v>
      </c>
      <c r="F12">
        <v>1</v>
      </c>
      <c r="G12">
        <v>1</v>
      </c>
      <c r="H12">
        <v>2</v>
      </c>
      <c r="I12" t="s">
        <v>284</v>
      </c>
      <c r="J12" t="s">
        <v>285</v>
      </c>
      <c r="K12" t="s">
        <v>286</v>
      </c>
      <c r="L12">
        <v>1368</v>
      </c>
      <c r="N12">
        <v>1011</v>
      </c>
      <c r="O12" t="s">
        <v>266</v>
      </c>
      <c r="P12" t="s">
        <v>266</v>
      </c>
      <c r="Q12">
        <v>1</v>
      </c>
      <c r="W12">
        <v>0</v>
      </c>
      <c r="X12">
        <v>-591012544</v>
      </c>
      <c r="Y12">
        <f t="shared" si="4"/>
        <v>8.1199999999999992</v>
      </c>
      <c r="AA12">
        <v>0</v>
      </c>
      <c r="AB12">
        <v>2.92</v>
      </c>
      <c r="AC12">
        <v>0</v>
      </c>
      <c r="AD12">
        <v>0</v>
      </c>
      <c r="AE12">
        <v>0</v>
      </c>
      <c r="AF12">
        <v>2.92</v>
      </c>
      <c r="AG12">
        <v>0</v>
      </c>
      <c r="AH12">
        <v>0</v>
      </c>
      <c r="AI12">
        <v>1</v>
      </c>
      <c r="AJ12">
        <v>1</v>
      </c>
      <c r="AK12">
        <v>1</v>
      </c>
      <c r="AL12">
        <v>1</v>
      </c>
      <c r="AM12">
        <v>-2</v>
      </c>
      <c r="AN12">
        <v>0</v>
      </c>
      <c r="AO12">
        <v>0</v>
      </c>
      <c r="AP12">
        <v>1</v>
      </c>
      <c r="AQ12">
        <v>1</v>
      </c>
      <c r="AR12">
        <v>0</v>
      </c>
      <c r="AS12" t="s">
        <v>6</v>
      </c>
      <c r="AT12">
        <v>8.1199999999999992</v>
      </c>
      <c r="AU12" t="s">
        <v>6</v>
      </c>
      <c r="AV12">
        <v>1</v>
      </c>
      <c r="AW12">
        <v>2</v>
      </c>
      <c r="AX12">
        <v>74851205</v>
      </c>
      <c r="AY12">
        <v>1</v>
      </c>
      <c r="AZ12">
        <v>0</v>
      </c>
      <c r="BA12">
        <v>13</v>
      </c>
      <c r="BB12">
        <v>1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23.710399999999996</v>
      </c>
      <c r="BL12">
        <v>0</v>
      </c>
      <c r="BM12">
        <v>0</v>
      </c>
      <c r="BN12">
        <v>0</v>
      </c>
      <c r="BO12">
        <v>0</v>
      </c>
      <c r="BP12">
        <v>1</v>
      </c>
      <c r="BQ12">
        <v>0</v>
      </c>
      <c r="BR12">
        <v>23.710399999999996</v>
      </c>
      <c r="BS12">
        <v>0</v>
      </c>
      <c r="BT12">
        <v>0</v>
      </c>
      <c r="BU12">
        <v>0</v>
      </c>
      <c r="BV12">
        <v>0</v>
      </c>
      <c r="BW12">
        <v>1</v>
      </c>
      <c r="CV12">
        <v>0</v>
      </c>
      <c r="CW12">
        <f>ROUND(Y12*Source!I241*DO12,7)</f>
        <v>0</v>
      </c>
      <c r="CX12">
        <f>ROUND(Y12*Source!I241,7)</f>
        <v>1.218</v>
      </c>
      <c r="CY12">
        <f>AB12</f>
        <v>2.92</v>
      </c>
      <c r="CZ12">
        <f>AF12</f>
        <v>2.92</v>
      </c>
      <c r="DA12">
        <f>AJ12</f>
        <v>1</v>
      </c>
      <c r="DB12">
        <f t="shared" si="5"/>
        <v>23.71</v>
      </c>
      <c r="DC12">
        <f t="shared" si="6"/>
        <v>0</v>
      </c>
      <c r="DD12" t="s">
        <v>6</v>
      </c>
      <c r="DE12" t="s">
        <v>6</v>
      </c>
      <c r="DF12">
        <f t="shared" si="0"/>
        <v>0</v>
      </c>
      <c r="DG12">
        <f t="shared" ref="DG12:DG34" si="7">ROUND(ROUND(AF12,2)*CX12,2)</f>
        <v>3.56</v>
      </c>
      <c r="DH12">
        <f t="shared" si="1"/>
        <v>0</v>
      </c>
      <c r="DI12">
        <f t="shared" si="2"/>
        <v>0</v>
      </c>
      <c r="DJ12">
        <f>DG12+DH12</f>
        <v>3.56</v>
      </c>
      <c r="DK12">
        <v>1</v>
      </c>
      <c r="DL12" t="s">
        <v>6</v>
      </c>
      <c r="DM12">
        <v>0</v>
      </c>
      <c r="DN12" t="s">
        <v>6</v>
      </c>
      <c r="DO12">
        <v>0</v>
      </c>
    </row>
    <row r="13" spans="1:119" x14ac:dyDescent="0.2">
      <c r="A13">
        <f>ROW(Source!A242)</f>
        <v>242</v>
      </c>
      <c r="B13">
        <v>74850150</v>
      </c>
      <c r="C13">
        <v>74851206</v>
      </c>
      <c r="D13">
        <v>72527818</v>
      </c>
      <c r="E13">
        <v>114</v>
      </c>
      <c r="F13">
        <v>1</v>
      </c>
      <c r="G13">
        <v>1</v>
      </c>
      <c r="H13">
        <v>1</v>
      </c>
      <c r="I13" t="s">
        <v>287</v>
      </c>
      <c r="J13" t="s">
        <v>6</v>
      </c>
      <c r="K13" t="s">
        <v>288</v>
      </c>
      <c r="L13">
        <v>1191</v>
      </c>
      <c r="N13">
        <v>1013</v>
      </c>
      <c r="O13" t="s">
        <v>260</v>
      </c>
      <c r="P13" t="s">
        <v>260</v>
      </c>
      <c r="Q13">
        <v>1</v>
      </c>
      <c r="W13">
        <v>0</v>
      </c>
      <c r="X13">
        <v>44848675</v>
      </c>
      <c r="Y13">
        <f t="shared" si="4"/>
        <v>16.5</v>
      </c>
      <c r="AA13">
        <v>0</v>
      </c>
      <c r="AB13">
        <v>0</v>
      </c>
      <c r="AC13">
        <v>0</v>
      </c>
      <c r="AD13">
        <v>327.42</v>
      </c>
      <c r="AE13">
        <v>0</v>
      </c>
      <c r="AF13">
        <v>0</v>
      </c>
      <c r="AG13">
        <v>0</v>
      </c>
      <c r="AH13">
        <v>327.42</v>
      </c>
      <c r="AI13">
        <v>1</v>
      </c>
      <c r="AJ13">
        <v>1</v>
      </c>
      <c r="AK13">
        <v>1</v>
      </c>
      <c r="AL13">
        <v>1</v>
      </c>
      <c r="AM13">
        <v>-2</v>
      </c>
      <c r="AN13">
        <v>0</v>
      </c>
      <c r="AO13">
        <v>0</v>
      </c>
      <c r="AP13">
        <v>1</v>
      </c>
      <c r="AQ13">
        <v>1</v>
      </c>
      <c r="AR13">
        <v>0</v>
      </c>
      <c r="AS13" t="s">
        <v>6</v>
      </c>
      <c r="AT13">
        <v>16.5</v>
      </c>
      <c r="AU13" t="s">
        <v>6</v>
      </c>
      <c r="AV13">
        <v>1</v>
      </c>
      <c r="AW13">
        <v>2</v>
      </c>
      <c r="AX13">
        <v>74851215</v>
      </c>
      <c r="AY13">
        <v>1</v>
      </c>
      <c r="AZ13">
        <v>0</v>
      </c>
      <c r="BA13">
        <v>14</v>
      </c>
      <c r="BB13">
        <v>1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5402.43</v>
      </c>
      <c r="BN13">
        <v>16.5</v>
      </c>
      <c r="BO13">
        <v>0</v>
      </c>
      <c r="BP13">
        <v>1</v>
      </c>
      <c r="BQ13">
        <v>0</v>
      </c>
      <c r="BR13">
        <v>0</v>
      </c>
      <c r="BS13">
        <v>0</v>
      </c>
      <c r="BT13">
        <v>5402.43</v>
      </c>
      <c r="BU13">
        <v>16.5</v>
      </c>
      <c r="BV13">
        <v>0</v>
      </c>
      <c r="BW13">
        <v>1</v>
      </c>
      <c r="CU13">
        <f>ROUND(AT13*Source!I242*AH13*AL13,2)</f>
        <v>810.36</v>
      </c>
      <c r="CV13">
        <f>ROUND(Y13*Source!I242,7)</f>
        <v>2.4750000000000001</v>
      </c>
      <c r="CW13">
        <v>0</v>
      </c>
      <c r="CX13">
        <f>ROUND(Y13*Source!I242,7)</f>
        <v>2.4750000000000001</v>
      </c>
      <c r="CY13">
        <f>AD13</f>
        <v>327.42</v>
      </c>
      <c r="CZ13">
        <f>AH13</f>
        <v>327.42</v>
      </c>
      <c r="DA13">
        <f>AL13</f>
        <v>1</v>
      </c>
      <c r="DB13">
        <f t="shared" si="5"/>
        <v>5402.43</v>
      </c>
      <c r="DC13">
        <f t="shared" si="6"/>
        <v>0</v>
      </c>
      <c r="DD13" t="s">
        <v>6</v>
      </c>
      <c r="DE13" t="s">
        <v>6</v>
      </c>
      <c r="DF13">
        <f t="shared" si="0"/>
        <v>0</v>
      </c>
      <c r="DG13">
        <f t="shared" si="7"/>
        <v>0</v>
      </c>
      <c r="DH13">
        <f t="shared" si="1"/>
        <v>0</v>
      </c>
      <c r="DI13">
        <f t="shared" si="2"/>
        <v>810.36</v>
      </c>
      <c r="DJ13">
        <f>DI13</f>
        <v>810.36</v>
      </c>
      <c r="DK13">
        <v>1</v>
      </c>
      <c r="DL13" t="s">
        <v>6</v>
      </c>
      <c r="DM13">
        <v>0</v>
      </c>
      <c r="DN13" t="s">
        <v>6</v>
      </c>
      <c r="DO13">
        <v>0</v>
      </c>
    </row>
    <row r="14" spans="1:119" x14ac:dyDescent="0.2">
      <c r="A14">
        <f>ROW(Source!A242)</f>
        <v>242</v>
      </c>
      <c r="B14">
        <v>74850150</v>
      </c>
      <c r="C14">
        <v>74851206</v>
      </c>
      <c r="D14">
        <v>72527995</v>
      </c>
      <c r="E14">
        <v>114</v>
      </c>
      <c r="F14">
        <v>1</v>
      </c>
      <c r="G14">
        <v>1</v>
      </c>
      <c r="H14">
        <v>1</v>
      </c>
      <c r="I14" t="s">
        <v>261</v>
      </c>
      <c r="J14" t="s">
        <v>6</v>
      </c>
      <c r="K14" t="s">
        <v>262</v>
      </c>
      <c r="L14">
        <v>1191</v>
      </c>
      <c r="N14">
        <v>1013</v>
      </c>
      <c r="O14" t="s">
        <v>260</v>
      </c>
      <c r="P14" t="s">
        <v>260</v>
      </c>
      <c r="Q14">
        <v>1</v>
      </c>
      <c r="W14">
        <v>0</v>
      </c>
      <c r="X14">
        <v>-1417349443</v>
      </c>
      <c r="Y14">
        <f t="shared" si="4"/>
        <v>0.04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1</v>
      </c>
      <c r="AJ14">
        <v>1</v>
      </c>
      <c r="AK14">
        <v>1</v>
      </c>
      <c r="AL14">
        <v>1</v>
      </c>
      <c r="AM14">
        <v>-2</v>
      </c>
      <c r="AN14">
        <v>0</v>
      </c>
      <c r="AO14">
        <v>0</v>
      </c>
      <c r="AP14">
        <v>1</v>
      </c>
      <c r="AQ14">
        <v>1</v>
      </c>
      <c r="AR14">
        <v>0</v>
      </c>
      <c r="AS14" t="s">
        <v>6</v>
      </c>
      <c r="AT14">
        <v>0.04</v>
      </c>
      <c r="AU14" t="s">
        <v>6</v>
      </c>
      <c r="AV14">
        <v>2</v>
      </c>
      <c r="AW14">
        <v>2</v>
      </c>
      <c r="AX14">
        <v>74851216</v>
      </c>
      <c r="AY14">
        <v>1</v>
      </c>
      <c r="AZ14">
        <v>0</v>
      </c>
      <c r="BA14">
        <v>15</v>
      </c>
      <c r="BB14">
        <v>1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CV14">
        <v>0</v>
      </c>
      <c r="CW14">
        <v>0</v>
      </c>
      <c r="CX14">
        <f>ROUND(Y14*Source!I242,7)</f>
        <v>6.0000000000000001E-3</v>
      </c>
      <c r="CY14">
        <f>AD14</f>
        <v>0</v>
      </c>
      <c r="CZ14">
        <f>AH14</f>
        <v>0</v>
      </c>
      <c r="DA14">
        <f>AL14</f>
        <v>1</v>
      </c>
      <c r="DB14">
        <f t="shared" si="5"/>
        <v>0</v>
      </c>
      <c r="DC14">
        <f t="shared" si="6"/>
        <v>0</v>
      </c>
      <c r="DD14" t="s">
        <v>6</v>
      </c>
      <c r="DE14" t="s">
        <v>6</v>
      </c>
      <c r="DF14">
        <f t="shared" si="0"/>
        <v>0</v>
      </c>
      <c r="DG14">
        <f t="shared" si="7"/>
        <v>0</v>
      </c>
      <c r="DH14">
        <f t="shared" si="1"/>
        <v>0</v>
      </c>
      <c r="DI14">
        <f t="shared" si="2"/>
        <v>0</v>
      </c>
      <c r="DJ14">
        <f>DI14</f>
        <v>0</v>
      </c>
      <c r="DK14">
        <v>0</v>
      </c>
      <c r="DL14" t="s">
        <v>6</v>
      </c>
      <c r="DM14">
        <v>0</v>
      </c>
      <c r="DN14" t="s">
        <v>6</v>
      </c>
      <c r="DO14">
        <v>0</v>
      </c>
    </row>
    <row r="15" spans="1:119" x14ac:dyDescent="0.2">
      <c r="A15">
        <f>ROW(Source!A242)</f>
        <v>242</v>
      </c>
      <c r="B15">
        <v>74850150</v>
      </c>
      <c r="C15">
        <v>74851206</v>
      </c>
      <c r="D15">
        <v>72652440</v>
      </c>
      <c r="E15">
        <v>1</v>
      </c>
      <c r="F15">
        <v>1</v>
      </c>
      <c r="G15">
        <v>1</v>
      </c>
      <c r="H15">
        <v>2</v>
      </c>
      <c r="I15" t="s">
        <v>289</v>
      </c>
      <c r="J15" t="s">
        <v>290</v>
      </c>
      <c r="K15" t="s">
        <v>291</v>
      </c>
      <c r="L15">
        <v>1368</v>
      </c>
      <c r="N15">
        <v>1011</v>
      </c>
      <c r="O15" t="s">
        <v>266</v>
      </c>
      <c r="P15" t="s">
        <v>266</v>
      </c>
      <c r="Q15">
        <v>1</v>
      </c>
      <c r="W15">
        <v>0</v>
      </c>
      <c r="X15">
        <v>-468861091</v>
      </c>
      <c r="Y15">
        <f t="shared" si="4"/>
        <v>0.02</v>
      </c>
      <c r="AA15">
        <v>0</v>
      </c>
      <c r="AB15">
        <v>1624.76</v>
      </c>
      <c r="AC15">
        <v>449.89</v>
      </c>
      <c r="AD15">
        <v>0</v>
      </c>
      <c r="AE15">
        <v>0</v>
      </c>
      <c r="AF15">
        <v>1624.76</v>
      </c>
      <c r="AG15">
        <v>449.89</v>
      </c>
      <c r="AH15">
        <v>0</v>
      </c>
      <c r="AI15">
        <v>1</v>
      </c>
      <c r="AJ15">
        <v>1</v>
      </c>
      <c r="AK15">
        <v>1</v>
      </c>
      <c r="AL15">
        <v>1</v>
      </c>
      <c r="AM15">
        <v>-2</v>
      </c>
      <c r="AN15">
        <v>0</v>
      </c>
      <c r="AO15">
        <v>0</v>
      </c>
      <c r="AP15">
        <v>1</v>
      </c>
      <c r="AQ15">
        <v>1</v>
      </c>
      <c r="AR15">
        <v>0</v>
      </c>
      <c r="AS15" t="s">
        <v>6</v>
      </c>
      <c r="AT15">
        <v>0.02</v>
      </c>
      <c r="AU15" t="s">
        <v>6</v>
      </c>
      <c r="AV15">
        <v>1</v>
      </c>
      <c r="AW15">
        <v>2</v>
      </c>
      <c r="AX15">
        <v>74851217</v>
      </c>
      <c r="AY15">
        <v>1</v>
      </c>
      <c r="AZ15">
        <v>0</v>
      </c>
      <c r="BA15">
        <v>16</v>
      </c>
      <c r="BB15">
        <v>1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32.495199999999997</v>
      </c>
      <c r="BL15">
        <v>8.9977999999999998</v>
      </c>
      <c r="BM15">
        <v>0</v>
      </c>
      <c r="BN15">
        <v>0</v>
      </c>
      <c r="BO15">
        <v>0.02</v>
      </c>
      <c r="BP15">
        <v>1</v>
      </c>
      <c r="BQ15">
        <v>0</v>
      </c>
      <c r="BR15">
        <v>32.495199999999997</v>
      </c>
      <c r="BS15">
        <v>8.9977999999999998</v>
      </c>
      <c r="BT15">
        <v>0</v>
      </c>
      <c r="BU15">
        <v>0</v>
      </c>
      <c r="BV15">
        <v>0.02</v>
      </c>
      <c r="BW15">
        <v>1</v>
      </c>
      <c r="CV15">
        <v>0</v>
      </c>
      <c r="CW15">
        <f>ROUND(Y15*Source!I242*DO15,7)</f>
        <v>3.0000000000000001E-3</v>
      </c>
      <c r="CX15">
        <f>ROUND(Y15*Source!I242,7)</f>
        <v>3.0000000000000001E-3</v>
      </c>
      <c r="CY15">
        <f>AB15</f>
        <v>1624.76</v>
      </c>
      <c r="CZ15">
        <f>AF15</f>
        <v>1624.76</v>
      </c>
      <c r="DA15">
        <f>AJ15</f>
        <v>1</v>
      </c>
      <c r="DB15">
        <f t="shared" si="5"/>
        <v>32.5</v>
      </c>
      <c r="DC15">
        <f t="shared" si="6"/>
        <v>9</v>
      </c>
      <c r="DD15" t="s">
        <v>6</v>
      </c>
      <c r="DE15" t="s">
        <v>6</v>
      </c>
      <c r="DF15">
        <f t="shared" si="0"/>
        <v>0</v>
      </c>
      <c r="DG15">
        <f t="shared" si="7"/>
        <v>4.87</v>
      </c>
      <c r="DH15">
        <f t="shared" si="1"/>
        <v>1.35</v>
      </c>
      <c r="DI15">
        <f t="shared" si="2"/>
        <v>0</v>
      </c>
      <c r="DJ15">
        <f>DG15+DH15</f>
        <v>6.2200000000000006</v>
      </c>
      <c r="DK15">
        <v>1</v>
      </c>
      <c r="DL15" t="s">
        <v>292</v>
      </c>
      <c r="DM15">
        <v>6</v>
      </c>
      <c r="DN15" t="s">
        <v>260</v>
      </c>
      <c r="DO15">
        <v>1</v>
      </c>
    </row>
    <row r="16" spans="1:119" x14ac:dyDescent="0.2">
      <c r="A16">
        <f>ROW(Source!A242)</f>
        <v>242</v>
      </c>
      <c r="B16">
        <v>74850150</v>
      </c>
      <c r="C16">
        <v>74851206</v>
      </c>
      <c r="D16">
        <v>72653331</v>
      </c>
      <c r="E16">
        <v>1</v>
      </c>
      <c r="F16">
        <v>1</v>
      </c>
      <c r="G16">
        <v>1</v>
      </c>
      <c r="H16">
        <v>2</v>
      </c>
      <c r="I16" t="s">
        <v>273</v>
      </c>
      <c r="J16" t="s">
        <v>274</v>
      </c>
      <c r="K16" t="s">
        <v>275</v>
      </c>
      <c r="L16">
        <v>1368</v>
      </c>
      <c r="N16">
        <v>1011</v>
      </c>
      <c r="O16" t="s">
        <v>266</v>
      </c>
      <c r="P16" t="s">
        <v>266</v>
      </c>
      <c r="Q16">
        <v>1</v>
      </c>
      <c r="W16">
        <v>0</v>
      </c>
      <c r="X16">
        <v>-1152394969</v>
      </c>
      <c r="Y16">
        <f t="shared" si="4"/>
        <v>0.02</v>
      </c>
      <c r="AA16">
        <v>0</v>
      </c>
      <c r="AB16">
        <v>611</v>
      </c>
      <c r="AC16">
        <v>334.92</v>
      </c>
      <c r="AD16">
        <v>0</v>
      </c>
      <c r="AE16">
        <v>0</v>
      </c>
      <c r="AF16">
        <v>611</v>
      </c>
      <c r="AG16">
        <v>334.92</v>
      </c>
      <c r="AH16">
        <v>0</v>
      </c>
      <c r="AI16">
        <v>1</v>
      </c>
      <c r="AJ16">
        <v>1</v>
      </c>
      <c r="AK16">
        <v>1</v>
      </c>
      <c r="AL16">
        <v>1</v>
      </c>
      <c r="AM16">
        <v>-2</v>
      </c>
      <c r="AN16">
        <v>0</v>
      </c>
      <c r="AO16">
        <v>0</v>
      </c>
      <c r="AP16">
        <v>1</v>
      </c>
      <c r="AQ16">
        <v>1</v>
      </c>
      <c r="AR16">
        <v>0</v>
      </c>
      <c r="AS16" t="s">
        <v>6</v>
      </c>
      <c r="AT16">
        <v>0.02</v>
      </c>
      <c r="AU16" t="s">
        <v>6</v>
      </c>
      <c r="AV16">
        <v>1</v>
      </c>
      <c r="AW16">
        <v>2</v>
      </c>
      <c r="AX16">
        <v>74851218</v>
      </c>
      <c r="AY16">
        <v>1</v>
      </c>
      <c r="AZ16">
        <v>0</v>
      </c>
      <c r="BA16">
        <v>17</v>
      </c>
      <c r="BB16">
        <v>1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12.22</v>
      </c>
      <c r="BL16">
        <v>6.6984000000000004</v>
      </c>
      <c r="BM16">
        <v>0</v>
      </c>
      <c r="BN16">
        <v>0</v>
      </c>
      <c r="BO16">
        <v>0.02</v>
      </c>
      <c r="BP16">
        <v>1</v>
      </c>
      <c r="BQ16">
        <v>0</v>
      </c>
      <c r="BR16">
        <v>12.22</v>
      </c>
      <c r="BS16">
        <v>6.6984000000000004</v>
      </c>
      <c r="BT16">
        <v>0</v>
      </c>
      <c r="BU16">
        <v>0</v>
      </c>
      <c r="BV16">
        <v>0.02</v>
      </c>
      <c r="BW16">
        <v>1</v>
      </c>
      <c r="CV16">
        <v>0</v>
      </c>
      <c r="CW16">
        <f>ROUND(Y16*Source!I242*DO16,7)</f>
        <v>3.0000000000000001E-3</v>
      </c>
      <c r="CX16">
        <f>ROUND(Y16*Source!I242,7)</f>
        <v>3.0000000000000001E-3</v>
      </c>
      <c r="CY16">
        <f>AB16</f>
        <v>611</v>
      </c>
      <c r="CZ16">
        <f>AF16</f>
        <v>611</v>
      </c>
      <c r="DA16">
        <f>AJ16</f>
        <v>1</v>
      </c>
      <c r="DB16">
        <f t="shared" si="5"/>
        <v>12.22</v>
      </c>
      <c r="DC16">
        <f t="shared" si="6"/>
        <v>6.7</v>
      </c>
      <c r="DD16" t="s">
        <v>6</v>
      </c>
      <c r="DE16" t="s">
        <v>6</v>
      </c>
      <c r="DF16">
        <f t="shared" si="0"/>
        <v>0</v>
      </c>
      <c r="DG16">
        <f t="shared" si="7"/>
        <v>1.83</v>
      </c>
      <c r="DH16">
        <f t="shared" si="1"/>
        <v>1</v>
      </c>
      <c r="DI16">
        <f t="shared" si="2"/>
        <v>0</v>
      </c>
      <c r="DJ16">
        <f>DG16+DH16</f>
        <v>2.83</v>
      </c>
      <c r="DK16">
        <v>1</v>
      </c>
      <c r="DL16" t="s">
        <v>276</v>
      </c>
      <c r="DM16">
        <v>4</v>
      </c>
      <c r="DN16" t="s">
        <v>260</v>
      </c>
      <c r="DO16">
        <v>1</v>
      </c>
    </row>
    <row r="17" spans="1:119" x14ac:dyDescent="0.2">
      <c r="A17">
        <f>ROW(Source!A242)</f>
        <v>242</v>
      </c>
      <c r="B17">
        <v>74850150</v>
      </c>
      <c r="C17">
        <v>74851206</v>
      </c>
      <c r="D17">
        <v>72602917</v>
      </c>
      <c r="E17">
        <v>1</v>
      </c>
      <c r="F17">
        <v>1</v>
      </c>
      <c r="G17">
        <v>1</v>
      </c>
      <c r="H17">
        <v>3</v>
      </c>
      <c r="I17" t="s">
        <v>293</v>
      </c>
      <c r="J17" t="s">
        <v>294</v>
      </c>
      <c r="K17" t="s">
        <v>295</v>
      </c>
      <c r="L17">
        <v>1348</v>
      </c>
      <c r="N17">
        <v>1009</v>
      </c>
      <c r="O17" t="s">
        <v>296</v>
      </c>
      <c r="P17" t="s">
        <v>296</v>
      </c>
      <c r="Q17">
        <v>1000</v>
      </c>
      <c r="W17">
        <v>0</v>
      </c>
      <c r="X17">
        <v>1721324063</v>
      </c>
      <c r="Y17">
        <f t="shared" si="4"/>
        <v>0.01</v>
      </c>
      <c r="AA17">
        <v>5943.43</v>
      </c>
      <c r="AB17">
        <v>0</v>
      </c>
      <c r="AC17">
        <v>0</v>
      </c>
      <c r="AD17">
        <v>0</v>
      </c>
      <c r="AE17">
        <v>4338.2700000000004</v>
      </c>
      <c r="AF17">
        <v>0</v>
      </c>
      <c r="AG17">
        <v>0</v>
      </c>
      <c r="AH17">
        <v>0</v>
      </c>
      <c r="AI17">
        <v>1.37</v>
      </c>
      <c r="AJ17">
        <v>1</v>
      </c>
      <c r="AK17">
        <v>1</v>
      </c>
      <c r="AL17">
        <v>1</v>
      </c>
      <c r="AM17">
        <v>2</v>
      </c>
      <c r="AN17">
        <v>0</v>
      </c>
      <c r="AO17">
        <v>0</v>
      </c>
      <c r="AP17">
        <v>1</v>
      </c>
      <c r="AQ17">
        <v>1</v>
      </c>
      <c r="AR17">
        <v>0</v>
      </c>
      <c r="AS17" t="s">
        <v>6</v>
      </c>
      <c r="AT17">
        <v>0.01</v>
      </c>
      <c r="AU17" t="s">
        <v>6</v>
      </c>
      <c r="AV17">
        <v>0</v>
      </c>
      <c r="AW17">
        <v>2</v>
      </c>
      <c r="AX17">
        <v>74851219</v>
      </c>
      <c r="AY17">
        <v>1</v>
      </c>
      <c r="AZ17">
        <v>0</v>
      </c>
      <c r="BA17">
        <v>18</v>
      </c>
      <c r="BB17">
        <v>1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43.382700000000007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1</v>
      </c>
      <c r="BQ17">
        <v>43.382700000000007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1</v>
      </c>
      <c r="CV17">
        <v>0</v>
      </c>
      <c r="CW17">
        <v>0</v>
      </c>
      <c r="CX17">
        <f>ROUND(Y17*Source!I242,7)</f>
        <v>1.5E-3</v>
      </c>
      <c r="CY17">
        <f>AA17</f>
        <v>5943.43</v>
      </c>
      <c r="CZ17">
        <f>AE17</f>
        <v>4338.2700000000004</v>
      </c>
      <c r="DA17">
        <f>AI17</f>
        <v>1.37</v>
      </c>
      <c r="DB17">
        <f t="shared" si="5"/>
        <v>43.38</v>
      </c>
      <c r="DC17">
        <f t="shared" si="6"/>
        <v>0</v>
      </c>
      <c r="DD17" t="s">
        <v>6</v>
      </c>
      <c r="DE17" t="s">
        <v>6</v>
      </c>
      <c r="DF17">
        <f>ROUND(ROUND(AE17*AI17,2)*CX17,2)</f>
        <v>8.92</v>
      </c>
      <c r="DG17">
        <f t="shared" si="7"/>
        <v>0</v>
      </c>
      <c r="DH17">
        <f t="shared" si="1"/>
        <v>0</v>
      </c>
      <c r="DI17">
        <f t="shared" si="2"/>
        <v>0</v>
      </c>
      <c r="DJ17">
        <f>DF17</f>
        <v>8.92</v>
      </c>
      <c r="DK17">
        <v>0</v>
      </c>
      <c r="DL17" t="s">
        <v>6</v>
      </c>
      <c r="DM17">
        <v>0</v>
      </c>
      <c r="DN17" t="s">
        <v>6</v>
      </c>
      <c r="DO17">
        <v>0</v>
      </c>
    </row>
    <row r="18" spans="1:119" x14ac:dyDescent="0.2">
      <c r="A18">
        <f>ROW(Source!A242)</f>
        <v>242</v>
      </c>
      <c r="B18">
        <v>74850150</v>
      </c>
      <c r="C18">
        <v>74851206</v>
      </c>
      <c r="D18">
        <v>72618677</v>
      </c>
      <c r="E18">
        <v>1</v>
      </c>
      <c r="F18">
        <v>1</v>
      </c>
      <c r="G18">
        <v>1</v>
      </c>
      <c r="H18">
        <v>3</v>
      </c>
      <c r="I18" t="s">
        <v>297</v>
      </c>
      <c r="J18" t="s">
        <v>298</v>
      </c>
      <c r="K18" t="s">
        <v>299</v>
      </c>
      <c r="L18">
        <v>1346</v>
      </c>
      <c r="N18">
        <v>1009</v>
      </c>
      <c r="O18" t="s">
        <v>300</v>
      </c>
      <c r="P18" t="s">
        <v>300</v>
      </c>
      <c r="Q18">
        <v>1</v>
      </c>
      <c r="W18">
        <v>0</v>
      </c>
      <c r="X18">
        <v>790403873</v>
      </c>
      <c r="Y18">
        <f t="shared" si="4"/>
        <v>0.3</v>
      </c>
      <c r="AA18">
        <v>114.23</v>
      </c>
      <c r="AB18">
        <v>0</v>
      </c>
      <c r="AC18">
        <v>0</v>
      </c>
      <c r="AD18">
        <v>0</v>
      </c>
      <c r="AE18">
        <v>79.88</v>
      </c>
      <c r="AF18">
        <v>0</v>
      </c>
      <c r="AG18">
        <v>0</v>
      </c>
      <c r="AH18">
        <v>0</v>
      </c>
      <c r="AI18">
        <v>1.43</v>
      </c>
      <c r="AJ18">
        <v>1</v>
      </c>
      <c r="AK18">
        <v>1</v>
      </c>
      <c r="AL18">
        <v>1</v>
      </c>
      <c r="AM18">
        <v>2</v>
      </c>
      <c r="AN18">
        <v>0</v>
      </c>
      <c r="AO18">
        <v>0</v>
      </c>
      <c r="AP18">
        <v>1</v>
      </c>
      <c r="AQ18">
        <v>1</v>
      </c>
      <c r="AR18">
        <v>0</v>
      </c>
      <c r="AS18" t="s">
        <v>6</v>
      </c>
      <c r="AT18">
        <v>0.3</v>
      </c>
      <c r="AU18" t="s">
        <v>6</v>
      </c>
      <c r="AV18">
        <v>0</v>
      </c>
      <c r="AW18">
        <v>2</v>
      </c>
      <c r="AX18">
        <v>74851220</v>
      </c>
      <c r="AY18">
        <v>1</v>
      </c>
      <c r="AZ18">
        <v>0</v>
      </c>
      <c r="BA18">
        <v>19</v>
      </c>
      <c r="BB18">
        <v>1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23.963999999999999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1</v>
      </c>
      <c r="BQ18">
        <v>23.963999999999999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1</v>
      </c>
      <c r="CV18">
        <v>0</v>
      </c>
      <c r="CW18">
        <v>0</v>
      </c>
      <c r="CX18">
        <f>ROUND(Y18*Source!I242,7)</f>
        <v>4.4999999999999998E-2</v>
      </c>
      <c r="CY18">
        <f>AA18</f>
        <v>114.23</v>
      </c>
      <c r="CZ18">
        <f>AE18</f>
        <v>79.88</v>
      </c>
      <c r="DA18">
        <f>AI18</f>
        <v>1.43</v>
      </c>
      <c r="DB18">
        <f t="shared" si="5"/>
        <v>23.96</v>
      </c>
      <c r="DC18">
        <f t="shared" si="6"/>
        <v>0</v>
      </c>
      <c r="DD18" t="s">
        <v>6</v>
      </c>
      <c r="DE18" t="s">
        <v>6</v>
      </c>
      <c r="DF18">
        <f>ROUND(ROUND(AE18*AI18,2)*CX18,2)</f>
        <v>5.14</v>
      </c>
      <c r="DG18">
        <f t="shared" si="7"/>
        <v>0</v>
      </c>
      <c r="DH18">
        <f t="shared" si="1"/>
        <v>0</v>
      </c>
      <c r="DI18">
        <f t="shared" si="2"/>
        <v>0</v>
      </c>
      <c r="DJ18">
        <f>DF18</f>
        <v>5.14</v>
      </c>
      <c r="DK18">
        <v>0</v>
      </c>
      <c r="DL18" t="s">
        <v>6</v>
      </c>
      <c r="DM18">
        <v>0</v>
      </c>
      <c r="DN18" t="s">
        <v>6</v>
      </c>
      <c r="DO18">
        <v>0</v>
      </c>
    </row>
    <row r="19" spans="1:119" x14ac:dyDescent="0.2">
      <c r="A19">
        <f>ROW(Source!A242)</f>
        <v>242</v>
      </c>
      <c r="B19">
        <v>74850150</v>
      </c>
      <c r="C19">
        <v>74851206</v>
      </c>
      <c r="D19">
        <v>72634138</v>
      </c>
      <c r="E19">
        <v>1</v>
      </c>
      <c r="F19">
        <v>1</v>
      </c>
      <c r="G19">
        <v>1</v>
      </c>
      <c r="H19">
        <v>3</v>
      </c>
      <c r="I19" t="s">
        <v>301</v>
      </c>
      <c r="J19" t="s">
        <v>302</v>
      </c>
      <c r="K19" t="s">
        <v>303</v>
      </c>
      <c r="L19">
        <v>1346</v>
      </c>
      <c r="N19">
        <v>1009</v>
      </c>
      <c r="O19" t="s">
        <v>300</v>
      </c>
      <c r="P19" t="s">
        <v>300</v>
      </c>
      <c r="Q19">
        <v>1</v>
      </c>
      <c r="W19">
        <v>0</v>
      </c>
      <c r="X19">
        <v>-720979834</v>
      </c>
      <c r="Y19">
        <f t="shared" si="4"/>
        <v>0.53</v>
      </c>
      <c r="AA19">
        <v>378.35</v>
      </c>
      <c r="AB19">
        <v>0</v>
      </c>
      <c r="AC19">
        <v>0</v>
      </c>
      <c r="AD19">
        <v>0</v>
      </c>
      <c r="AE19">
        <v>374.6</v>
      </c>
      <c r="AF19">
        <v>0</v>
      </c>
      <c r="AG19">
        <v>0</v>
      </c>
      <c r="AH19">
        <v>0</v>
      </c>
      <c r="AI19">
        <v>1.01</v>
      </c>
      <c r="AJ19">
        <v>1</v>
      </c>
      <c r="AK19">
        <v>1</v>
      </c>
      <c r="AL19">
        <v>1</v>
      </c>
      <c r="AM19">
        <v>2</v>
      </c>
      <c r="AN19">
        <v>0</v>
      </c>
      <c r="AO19">
        <v>0</v>
      </c>
      <c r="AP19">
        <v>1</v>
      </c>
      <c r="AQ19">
        <v>1</v>
      </c>
      <c r="AR19">
        <v>0</v>
      </c>
      <c r="AS19" t="s">
        <v>6</v>
      </c>
      <c r="AT19">
        <v>0.53</v>
      </c>
      <c r="AU19" t="s">
        <v>6</v>
      </c>
      <c r="AV19">
        <v>0</v>
      </c>
      <c r="AW19">
        <v>2</v>
      </c>
      <c r="AX19">
        <v>74851221</v>
      </c>
      <c r="AY19">
        <v>1</v>
      </c>
      <c r="AZ19">
        <v>0</v>
      </c>
      <c r="BA19">
        <v>20</v>
      </c>
      <c r="BB19">
        <v>1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198.53800000000001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1</v>
      </c>
      <c r="BQ19">
        <v>198.53800000000001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1</v>
      </c>
      <c r="CV19">
        <v>0</v>
      </c>
      <c r="CW19">
        <v>0</v>
      </c>
      <c r="CX19">
        <f>ROUND(Y19*Source!I242,7)</f>
        <v>7.9500000000000001E-2</v>
      </c>
      <c r="CY19">
        <f>AA19</f>
        <v>378.35</v>
      </c>
      <c r="CZ19">
        <f>AE19</f>
        <v>374.6</v>
      </c>
      <c r="DA19">
        <f>AI19</f>
        <v>1.01</v>
      </c>
      <c r="DB19">
        <f t="shared" si="5"/>
        <v>198.54</v>
      </c>
      <c r="DC19">
        <f t="shared" si="6"/>
        <v>0</v>
      </c>
      <c r="DD19" t="s">
        <v>6</v>
      </c>
      <c r="DE19" t="s">
        <v>6</v>
      </c>
      <c r="DF19">
        <f>ROUND(ROUND(AE19*AI19,2)*CX19,2)</f>
        <v>30.08</v>
      </c>
      <c r="DG19">
        <f t="shared" si="7"/>
        <v>0</v>
      </c>
      <c r="DH19">
        <f t="shared" si="1"/>
        <v>0</v>
      </c>
      <c r="DI19">
        <f t="shared" si="2"/>
        <v>0</v>
      </c>
      <c r="DJ19">
        <f>DF19</f>
        <v>30.08</v>
      </c>
      <c r="DK19">
        <v>0</v>
      </c>
      <c r="DL19" t="s">
        <v>6</v>
      </c>
      <c r="DM19">
        <v>0</v>
      </c>
      <c r="DN19" t="s">
        <v>6</v>
      </c>
      <c r="DO19">
        <v>0</v>
      </c>
    </row>
    <row r="20" spans="1:119" x14ac:dyDescent="0.2">
      <c r="A20">
        <f>ROW(Source!A242)</f>
        <v>242</v>
      </c>
      <c r="B20">
        <v>74850150</v>
      </c>
      <c r="C20">
        <v>74851206</v>
      </c>
      <c r="D20">
        <v>72533686</v>
      </c>
      <c r="E20">
        <v>114</v>
      </c>
      <c r="F20">
        <v>1</v>
      </c>
      <c r="G20">
        <v>1</v>
      </c>
      <c r="H20">
        <v>3</v>
      </c>
      <c r="I20" t="s">
        <v>110</v>
      </c>
      <c r="J20" t="s">
        <v>6</v>
      </c>
      <c r="K20" t="s">
        <v>111</v>
      </c>
      <c r="L20">
        <v>3277935</v>
      </c>
      <c r="N20">
        <v>1013</v>
      </c>
      <c r="O20" t="s">
        <v>112</v>
      </c>
      <c r="P20" t="s">
        <v>112</v>
      </c>
      <c r="Q20">
        <v>1</v>
      </c>
      <c r="W20">
        <v>0</v>
      </c>
      <c r="X20">
        <v>274903907</v>
      </c>
      <c r="Y20">
        <f t="shared" si="4"/>
        <v>2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1</v>
      </c>
      <c r="AJ20">
        <v>1</v>
      </c>
      <c r="AK20">
        <v>1</v>
      </c>
      <c r="AL20">
        <v>1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 t="s">
        <v>6</v>
      </c>
      <c r="AT20">
        <v>2</v>
      </c>
      <c r="AU20" t="s">
        <v>6</v>
      </c>
      <c r="AV20">
        <v>0</v>
      </c>
      <c r="AW20">
        <v>2</v>
      </c>
      <c r="AX20">
        <v>74851222</v>
      </c>
      <c r="AY20">
        <v>1</v>
      </c>
      <c r="AZ20">
        <v>0</v>
      </c>
      <c r="BA20">
        <v>21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CV20">
        <v>0</v>
      </c>
      <c r="CW20">
        <v>0</v>
      </c>
      <c r="CX20">
        <f>ROUND(Y20*Source!I242,7)</f>
        <v>0.3</v>
      </c>
      <c r="CY20">
        <f>AA20</f>
        <v>0</v>
      </c>
      <c r="CZ20">
        <f>AE20</f>
        <v>0</v>
      </c>
      <c r="DA20">
        <f>AI20</f>
        <v>1</v>
      </c>
      <c r="DB20">
        <f t="shared" si="5"/>
        <v>0</v>
      </c>
      <c r="DC20">
        <f t="shared" si="6"/>
        <v>0</v>
      </c>
      <c r="DD20" t="s">
        <v>6</v>
      </c>
      <c r="DE20" t="s">
        <v>6</v>
      </c>
      <c r="DF20">
        <f>ROUND(ROUND(AE20,2)*CX20,2)</f>
        <v>0</v>
      </c>
      <c r="DG20">
        <f t="shared" si="7"/>
        <v>0</v>
      </c>
      <c r="DH20">
        <f t="shared" si="1"/>
        <v>0</v>
      </c>
      <c r="DI20">
        <f t="shared" si="2"/>
        <v>0</v>
      </c>
      <c r="DJ20">
        <f>DF20</f>
        <v>0</v>
      </c>
      <c r="DK20">
        <v>0</v>
      </c>
      <c r="DL20" t="s">
        <v>6</v>
      </c>
      <c r="DM20">
        <v>0</v>
      </c>
      <c r="DN20" t="s">
        <v>6</v>
      </c>
      <c r="DO20">
        <v>0</v>
      </c>
    </row>
    <row r="21" spans="1:119" x14ac:dyDescent="0.2">
      <c r="A21">
        <f>ROW(Source!A246)</f>
        <v>246</v>
      </c>
      <c r="B21">
        <v>74850150</v>
      </c>
      <c r="C21">
        <v>74851226</v>
      </c>
      <c r="D21">
        <v>72527824</v>
      </c>
      <c r="E21">
        <v>114</v>
      </c>
      <c r="F21">
        <v>1</v>
      </c>
      <c r="G21">
        <v>1</v>
      </c>
      <c r="H21">
        <v>1</v>
      </c>
      <c r="I21" t="s">
        <v>304</v>
      </c>
      <c r="J21" t="s">
        <v>6</v>
      </c>
      <c r="K21" t="s">
        <v>305</v>
      </c>
      <c r="L21">
        <v>1191</v>
      </c>
      <c r="N21">
        <v>1013</v>
      </c>
      <c r="O21" t="s">
        <v>260</v>
      </c>
      <c r="P21" t="s">
        <v>260</v>
      </c>
      <c r="Q21">
        <v>1</v>
      </c>
      <c r="W21">
        <v>0</v>
      </c>
      <c r="X21">
        <v>888410196</v>
      </c>
      <c r="Y21">
        <f>(AT21*ROUND(0.6,7))</f>
        <v>1.008</v>
      </c>
      <c r="AA21">
        <v>0</v>
      </c>
      <c r="AB21">
        <v>0</v>
      </c>
      <c r="AC21">
        <v>0</v>
      </c>
      <c r="AD21">
        <v>334.92</v>
      </c>
      <c r="AE21">
        <v>0</v>
      </c>
      <c r="AF21">
        <v>0</v>
      </c>
      <c r="AG21">
        <v>0</v>
      </c>
      <c r="AH21">
        <v>334.92</v>
      </c>
      <c r="AI21">
        <v>1</v>
      </c>
      <c r="AJ21">
        <v>1</v>
      </c>
      <c r="AK21">
        <v>1</v>
      </c>
      <c r="AL21">
        <v>1</v>
      </c>
      <c r="AM21">
        <v>-2</v>
      </c>
      <c r="AN21">
        <v>0</v>
      </c>
      <c r="AO21">
        <v>0</v>
      </c>
      <c r="AP21">
        <v>1</v>
      </c>
      <c r="AQ21">
        <v>1</v>
      </c>
      <c r="AR21">
        <v>0</v>
      </c>
      <c r="AS21" t="s">
        <v>6</v>
      </c>
      <c r="AT21">
        <v>1.68</v>
      </c>
      <c r="AU21" t="s">
        <v>170</v>
      </c>
      <c r="AV21">
        <v>1</v>
      </c>
      <c r="AW21">
        <v>2</v>
      </c>
      <c r="AX21">
        <v>74851234</v>
      </c>
      <c r="AY21">
        <v>1</v>
      </c>
      <c r="AZ21">
        <v>0</v>
      </c>
      <c r="BA21">
        <v>22</v>
      </c>
      <c r="BB21">
        <v>1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562.66560000000004</v>
      </c>
      <c r="BN21">
        <v>1.68</v>
      </c>
      <c r="BO21">
        <v>0</v>
      </c>
      <c r="BP21">
        <v>1</v>
      </c>
      <c r="BQ21">
        <v>0</v>
      </c>
      <c r="BR21">
        <v>0</v>
      </c>
      <c r="BS21">
        <v>0</v>
      </c>
      <c r="BT21">
        <v>337.59935999999999</v>
      </c>
      <c r="BU21">
        <v>1.008</v>
      </c>
      <c r="BV21">
        <v>0</v>
      </c>
      <c r="BW21">
        <v>1</v>
      </c>
      <c r="CU21">
        <f>ROUND(AT21*Source!I246*AH21*AL21,2)</f>
        <v>2813.33</v>
      </c>
      <c r="CV21">
        <f>ROUND(Y21*Source!I246,7)</f>
        <v>5.04</v>
      </c>
      <c r="CW21">
        <v>0</v>
      </c>
      <c r="CX21">
        <f>ROUND(Y21*Source!I246,7)</f>
        <v>5.04</v>
      </c>
      <c r="CY21">
        <f>AD21</f>
        <v>334.92</v>
      </c>
      <c r="CZ21">
        <f>AH21</f>
        <v>334.92</v>
      </c>
      <c r="DA21">
        <f>AL21</f>
        <v>1</v>
      </c>
      <c r="DB21">
        <f>ROUND((ROUND(AT21*CZ21,2)*ROUND(0.6,7)),6)</f>
        <v>337.60199999999998</v>
      </c>
      <c r="DC21">
        <f>ROUND((ROUND(AT21*AG21,2)*ROUND(0.6,7)),6)</f>
        <v>0</v>
      </c>
      <c r="DD21" t="s">
        <v>6</v>
      </c>
      <c r="DE21" t="s">
        <v>6</v>
      </c>
      <c r="DF21">
        <f>ROUND(ROUND(AE21,2)*CX21,2)</f>
        <v>0</v>
      </c>
      <c r="DG21">
        <f t="shared" si="7"/>
        <v>0</v>
      </c>
      <c r="DH21">
        <f t="shared" si="1"/>
        <v>0</v>
      </c>
      <c r="DI21">
        <f t="shared" si="2"/>
        <v>1688</v>
      </c>
      <c r="DJ21">
        <f>DI21</f>
        <v>1688</v>
      </c>
      <c r="DK21">
        <v>1</v>
      </c>
      <c r="DL21" t="s">
        <v>6</v>
      </c>
      <c r="DM21">
        <v>0</v>
      </c>
      <c r="DN21" t="s">
        <v>6</v>
      </c>
      <c r="DO21">
        <v>0</v>
      </c>
    </row>
    <row r="22" spans="1:119" x14ac:dyDescent="0.2">
      <c r="A22">
        <f>ROW(Source!A246)</f>
        <v>246</v>
      </c>
      <c r="B22">
        <v>74850150</v>
      </c>
      <c r="C22">
        <v>74851226</v>
      </c>
      <c r="D22">
        <v>72597535</v>
      </c>
      <c r="E22">
        <v>1</v>
      </c>
      <c r="F22">
        <v>1</v>
      </c>
      <c r="G22">
        <v>1</v>
      </c>
      <c r="H22">
        <v>3</v>
      </c>
      <c r="I22" t="s">
        <v>306</v>
      </c>
      <c r="J22" t="s">
        <v>307</v>
      </c>
      <c r="K22" t="s">
        <v>308</v>
      </c>
      <c r="L22">
        <v>1346</v>
      </c>
      <c r="N22">
        <v>1009</v>
      </c>
      <c r="O22" t="s">
        <v>300</v>
      </c>
      <c r="P22" t="s">
        <v>300</v>
      </c>
      <c r="Q22">
        <v>1</v>
      </c>
      <c r="W22">
        <v>0</v>
      </c>
      <c r="X22">
        <v>1832667927</v>
      </c>
      <c r="Y22">
        <f>(AT22*ROUND(0,7))</f>
        <v>0</v>
      </c>
      <c r="AA22">
        <v>397.81</v>
      </c>
      <c r="AB22">
        <v>0</v>
      </c>
      <c r="AC22">
        <v>0</v>
      </c>
      <c r="AD22">
        <v>0</v>
      </c>
      <c r="AE22">
        <v>284.14999999999998</v>
      </c>
      <c r="AF22">
        <v>0</v>
      </c>
      <c r="AG22">
        <v>0</v>
      </c>
      <c r="AH22">
        <v>0</v>
      </c>
      <c r="AI22">
        <v>1.4</v>
      </c>
      <c r="AJ22">
        <v>1</v>
      </c>
      <c r="AK22">
        <v>1</v>
      </c>
      <c r="AL22">
        <v>1</v>
      </c>
      <c r="AM22">
        <v>2</v>
      </c>
      <c r="AN22">
        <v>0</v>
      </c>
      <c r="AO22">
        <v>0</v>
      </c>
      <c r="AP22">
        <v>1</v>
      </c>
      <c r="AQ22">
        <v>1</v>
      </c>
      <c r="AR22">
        <v>0</v>
      </c>
      <c r="AS22" t="s">
        <v>6</v>
      </c>
      <c r="AT22">
        <v>5.0000000000000001E-4</v>
      </c>
      <c r="AU22" t="s">
        <v>309</v>
      </c>
      <c r="AV22">
        <v>0</v>
      </c>
      <c r="AW22">
        <v>2</v>
      </c>
      <c r="AX22">
        <v>74851235</v>
      </c>
      <c r="AY22">
        <v>1</v>
      </c>
      <c r="AZ22">
        <v>0</v>
      </c>
      <c r="BA22">
        <v>23</v>
      </c>
      <c r="BB22">
        <v>1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0.14207499999999998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1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CV22">
        <v>0</v>
      </c>
      <c r="CW22">
        <v>0</v>
      </c>
      <c r="CX22">
        <f>ROUND(Y22*Source!I246,7)</f>
        <v>0</v>
      </c>
      <c r="CY22">
        <f t="shared" ref="CY22:CY27" si="8">AA22</f>
        <v>397.81</v>
      </c>
      <c r="CZ22">
        <f t="shared" ref="CZ22:CZ27" si="9">AE22</f>
        <v>284.14999999999998</v>
      </c>
      <c r="DA22">
        <f t="shared" ref="DA22:DA27" si="10">AI22</f>
        <v>1.4</v>
      </c>
      <c r="DB22">
        <f>ROUND((ROUND(AT22*CZ22,2)*ROUND(0,7)),6)</f>
        <v>0</v>
      </c>
      <c r="DC22">
        <f>ROUND((ROUND(AT22*AG22,2)*ROUND(0,7)),6)</f>
        <v>0</v>
      </c>
      <c r="DD22" t="s">
        <v>6</v>
      </c>
      <c r="DE22" t="s">
        <v>6</v>
      </c>
      <c r="DF22">
        <f>ROUND(ROUND(AE22*AI22,2)*CX22,2)</f>
        <v>0</v>
      </c>
      <c r="DG22">
        <f t="shared" si="7"/>
        <v>0</v>
      </c>
      <c r="DH22">
        <f t="shared" si="1"/>
        <v>0</v>
      </c>
      <c r="DI22">
        <f t="shared" si="2"/>
        <v>0</v>
      </c>
      <c r="DJ22">
        <f t="shared" ref="DJ22:DJ27" si="11">DF22</f>
        <v>0</v>
      </c>
      <c r="DK22">
        <v>0</v>
      </c>
      <c r="DL22" t="s">
        <v>6</v>
      </c>
      <c r="DM22">
        <v>0</v>
      </c>
      <c r="DN22" t="s">
        <v>6</v>
      </c>
      <c r="DO22">
        <v>0</v>
      </c>
    </row>
    <row r="23" spans="1:119" x14ac:dyDescent="0.2">
      <c r="A23">
        <f>ROW(Source!A246)</f>
        <v>246</v>
      </c>
      <c r="B23">
        <v>74850150</v>
      </c>
      <c r="C23">
        <v>74851226</v>
      </c>
      <c r="D23">
        <v>72599529</v>
      </c>
      <c r="E23">
        <v>1</v>
      </c>
      <c r="F23">
        <v>1</v>
      </c>
      <c r="G23">
        <v>1</v>
      </c>
      <c r="H23">
        <v>3</v>
      </c>
      <c r="I23" t="s">
        <v>310</v>
      </c>
      <c r="J23" t="s">
        <v>311</v>
      </c>
      <c r="K23" t="s">
        <v>312</v>
      </c>
      <c r="L23">
        <v>1383</v>
      </c>
      <c r="N23">
        <v>1013</v>
      </c>
      <c r="O23" t="s">
        <v>313</v>
      </c>
      <c r="P23" t="s">
        <v>313</v>
      </c>
      <c r="Q23">
        <v>1</v>
      </c>
      <c r="W23">
        <v>0</v>
      </c>
      <c r="X23">
        <v>-2119218604</v>
      </c>
      <c r="Y23">
        <f>(AT23*ROUND(0,7))</f>
        <v>0</v>
      </c>
      <c r="AA23">
        <v>7.94</v>
      </c>
      <c r="AB23">
        <v>0</v>
      </c>
      <c r="AC23">
        <v>0</v>
      </c>
      <c r="AD23">
        <v>0</v>
      </c>
      <c r="AE23">
        <v>7.94</v>
      </c>
      <c r="AF23">
        <v>0</v>
      </c>
      <c r="AG23">
        <v>0</v>
      </c>
      <c r="AH23">
        <v>0</v>
      </c>
      <c r="AI23">
        <v>1</v>
      </c>
      <c r="AJ23">
        <v>1</v>
      </c>
      <c r="AK23">
        <v>1</v>
      </c>
      <c r="AL23">
        <v>1</v>
      </c>
      <c r="AM23">
        <v>-2</v>
      </c>
      <c r="AN23">
        <v>0</v>
      </c>
      <c r="AO23">
        <v>0</v>
      </c>
      <c r="AP23">
        <v>1</v>
      </c>
      <c r="AQ23">
        <v>1</v>
      </c>
      <c r="AR23">
        <v>0</v>
      </c>
      <c r="AS23" t="s">
        <v>6</v>
      </c>
      <c r="AT23">
        <v>8.3199999999999996E-2</v>
      </c>
      <c r="AU23" t="s">
        <v>309</v>
      </c>
      <c r="AV23">
        <v>0</v>
      </c>
      <c r="AW23">
        <v>2</v>
      </c>
      <c r="AX23">
        <v>74851236</v>
      </c>
      <c r="AY23">
        <v>1</v>
      </c>
      <c r="AZ23">
        <v>0</v>
      </c>
      <c r="BA23">
        <v>24</v>
      </c>
      <c r="BB23">
        <v>1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0.66060799999999997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1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CV23">
        <v>0</v>
      </c>
      <c r="CW23">
        <v>0</v>
      </c>
      <c r="CX23">
        <f>ROUND(Y23*Source!I246,7)</f>
        <v>0</v>
      </c>
      <c r="CY23">
        <f t="shared" si="8"/>
        <v>7.94</v>
      </c>
      <c r="CZ23">
        <f t="shared" si="9"/>
        <v>7.94</v>
      </c>
      <c r="DA23">
        <f t="shared" si="10"/>
        <v>1</v>
      </c>
      <c r="DB23">
        <f>ROUND((ROUND(AT23*CZ23,2)*ROUND(0,7)),6)</f>
        <v>0</v>
      </c>
      <c r="DC23">
        <f>ROUND((ROUND(AT23*AG23,2)*ROUND(0,7)),6)</f>
        <v>0</v>
      </c>
      <c r="DD23" t="s">
        <v>6</v>
      </c>
      <c r="DE23" t="s">
        <v>6</v>
      </c>
      <c r="DF23">
        <f>ROUND(ROUND(AE23,2)*CX23,2)</f>
        <v>0</v>
      </c>
      <c r="DG23">
        <f t="shared" si="7"/>
        <v>0</v>
      </c>
      <c r="DH23">
        <f t="shared" si="1"/>
        <v>0</v>
      </c>
      <c r="DI23">
        <f t="shared" si="2"/>
        <v>0</v>
      </c>
      <c r="DJ23">
        <f t="shared" si="11"/>
        <v>0</v>
      </c>
      <c r="DK23">
        <v>1</v>
      </c>
      <c r="DL23" t="s">
        <v>6</v>
      </c>
      <c r="DM23">
        <v>0</v>
      </c>
      <c r="DN23" t="s">
        <v>6</v>
      </c>
      <c r="DO23">
        <v>0</v>
      </c>
    </row>
    <row r="24" spans="1:119" x14ac:dyDescent="0.2">
      <c r="A24">
        <f>ROW(Source!A246)</f>
        <v>246</v>
      </c>
      <c r="B24">
        <v>74850150</v>
      </c>
      <c r="C24">
        <v>74851226</v>
      </c>
      <c r="D24">
        <v>72601073</v>
      </c>
      <c r="E24">
        <v>1</v>
      </c>
      <c r="F24">
        <v>1</v>
      </c>
      <c r="G24">
        <v>1</v>
      </c>
      <c r="H24">
        <v>3</v>
      </c>
      <c r="I24" t="s">
        <v>314</v>
      </c>
      <c r="J24" t="s">
        <v>315</v>
      </c>
      <c r="K24" t="s">
        <v>316</v>
      </c>
      <c r="L24">
        <v>1425</v>
      </c>
      <c r="N24">
        <v>1013</v>
      </c>
      <c r="O24" t="s">
        <v>91</v>
      </c>
      <c r="P24" t="s">
        <v>91</v>
      </c>
      <c r="Q24">
        <v>1</v>
      </c>
      <c r="W24">
        <v>0</v>
      </c>
      <c r="X24">
        <v>-253983706</v>
      </c>
      <c r="Y24">
        <f>(AT24*ROUND(0,7))</f>
        <v>0</v>
      </c>
      <c r="AA24">
        <v>1251.96</v>
      </c>
      <c r="AB24">
        <v>0</v>
      </c>
      <c r="AC24">
        <v>0</v>
      </c>
      <c r="AD24">
        <v>0</v>
      </c>
      <c r="AE24">
        <v>978.09</v>
      </c>
      <c r="AF24">
        <v>0</v>
      </c>
      <c r="AG24">
        <v>0</v>
      </c>
      <c r="AH24">
        <v>0</v>
      </c>
      <c r="AI24">
        <v>1.28</v>
      </c>
      <c r="AJ24">
        <v>1</v>
      </c>
      <c r="AK24">
        <v>1</v>
      </c>
      <c r="AL24">
        <v>1</v>
      </c>
      <c r="AM24">
        <v>2</v>
      </c>
      <c r="AN24">
        <v>0</v>
      </c>
      <c r="AO24">
        <v>0</v>
      </c>
      <c r="AP24">
        <v>1</v>
      </c>
      <c r="AQ24">
        <v>1</v>
      </c>
      <c r="AR24">
        <v>0</v>
      </c>
      <c r="AS24" t="s">
        <v>6</v>
      </c>
      <c r="AT24">
        <v>2.5000000000000001E-2</v>
      </c>
      <c r="AU24" t="s">
        <v>309</v>
      </c>
      <c r="AV24">
        <v>0</v>
      </c>
      <c r="AW24">
        <v>2</v>
      </c>
      <c r="AX24">
        <v>74851237</v>
      </c>
      <c r="AY24">
        <v>1</v>
      </c>
      <c r="AZ24">
        <v>0</v>
      </c>
      <c r="BA24">
        <v>25</v>
      </c>
      <c r="BB24">
        <v>1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24.452250000000003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1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CV24">
        <v>0</v>
      </c>
      <c r="CW24">
        <v>0</v>
      </c>
      <c r="CX24">
        <f>ROUND(Y24*Source!I246,7)</f>
        <v>0</v>
      </c>
      <c r="CY24">
        <f t="shared" si="8"/>
        <v>1251.96</v>
      </c>
      <c r="CZ24">
        <f t="shared" si="9"/>
        <v>978.09</v>
      </c>
      <c r="DA24">
        <f t="shared" si="10"/>
        <v>1.28</v>
      </c>
      <c r="DB24">
        <f>ROUND((ROUND(AT24*CZ24,2)*ROUND(0,7)),6)</f>
        <v>0</v>
      </c>
      <c r="DC24">
        <f>ROUND((ROUND(AT24*AG24,2)*ROUND(0,7)),6)</f>
        <v>0</v>
      </c>
      <c r="DD24" t="s">
        <v>6</v>
      </c>
      <c r="DE24" t="s">
        <v>6</v>
      </c>
      <c r="DF24">
        <f>ROUND(ROUND(AE24*AI24,2)*CX24,2)</f>
        <v>0</v>
      </c>
      <c r="DG24">
        <f t="shared" si="7"/>
        <v>0</v>
      </c>
      <c r="DH24">
        <f t="shared" si="1"/>
        <v>0</v>
      </c>
      <c r="DI24">
        <f t="shared" si="2"/>
        <v>0</v>
      </c>
      <c r="DJ24">
        <f t="shared" si="11"/>
        <v>0</v>
      </c>
      <c r="DK24">
        <v>0</v>
      </c>
      <c r="DL24" t="s">
        <v>6</v>
      </c>
      <c r="DM24">
        <v>0</v>
      </c>
      <c r="DN24" t="s">
        <v>6</v>
      </c>
      <c r="DO24">
        <v>0</v>
      </c>
    </row>
    <row r="25" spans="1:119" x14ac:dyDescent="0.2">
      <c r="A25">
        <f>ROW(Source!A246)</f>
        <v>246</v>
      </c>
      <c r="B25">
        <v>74850150</v>
      </c>
      <c r="C25">
        <v>74851226</v>
      </c>
      <c r="D25">
        <v>72602917</v>
      </c>
      <c r="E25">
        <v>1</v>
      </c>
      <c r="F25">
        <v>1</v>
      </c>
      <c r="G25">
        <v>1</v>
      </c>
      <c r="H25">
        <v>3</v>
      </c>
      <c r="I25" t="s">
        <v>293</v>
      </c>
      <c r="J25" t="s">
        <v>294</v>
      </c>
      <c r="K25" t="s">
        <v>295</v>
      </c>
      <c r="L25">
        <v>1348</v>
      </c>
      <c r="N25">
        <v>1009</v>
      </c>
      <c r="O25" t="s">
        <v>296</v>
      </c>
      <c r="P25" t="s">
        <v>296</v>
      </c>
      <c r="Q25">
        <v>1000</v>
      </c>
      <c r="W25">
        <v>0</v>
      </c>
      <c r="X25">
        <v>1721324063</v>
      </c>
      <c r="Y25">
        <f>(AT25*ROUND(0,7))</f>
        <v>0</v>
      </c>
      <c r="AA25">
        <v>5943.43</v>
      </c>
      <c r="AB25">
        <v>0</v>
      </c>
      <c r="AC25">
        <v>0</v>
      </c>
      <c r="AD25">
        <v>0</v>
      </c>
      <c r="AE25">
        <v>4338.2700000000004</v>
      </c>
      <c r="AF25">
        <v>0</v>
      </c>
      <c r="AG25">
        <v>0</v>
      </c>
      <c r="AH25">
        <v>0</v>
      </c>
      <c r="AI25">
        <v>1.37</v>
      </c>
      <c r="AJ25">
        <v>1</v>
      </c>
      <c r="AK25">
        <v>1</v>
      </c>
      <c r="AL25">
        <v>1</v>
      </c>
      <c r="AM25">
        <v>2</v>
      </c>
      <c r="AN25">
        <v>0</v>
      </c>
      <c r="AO25">
        <v>0</v>
      </c>
      <c r="AP25">
        <v>1</v>
      </c>
      <c r="AQ25">
        <v>1</v>
      </c>
      <c r="AR25">
        <v>0</v>
      </c>
      <c r="AS25" t="s">
        <v>6</v>
      </c>
      <c r="AT25">
        <v>1.0000000000000001E-5</v>
      </c>
      <c r="AU25" t="s">
        <v>309</v>
      </c>
      <c r="AV25">
        <v>0</v>
      </c>
      <c r="AW25">
        <v>2</v>
      </c>
      <c r="AX25">
        <v>74851238</v>
      </c>
      <c r="AY25">
        <v>1</v>
      </c>
      <c r="AZ25">
        <v>0</v>
      </c>
      <c r="BA25">
        <v>26</v>
      </c>
      <c r="BB25">
        <v>1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4.338270000000001E-2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1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CV25">
        <v>0</v>
      </c>
      <c r="CW25">
        <v>0</v>
      </c>
      <c r="CX25">
        <f>ROUND(Y25*Source!I246,7)</f>
        <v>0</v>
      </c>
      <c r="CY25">
        <f t="shared" si="8"/>
        <v>5943.43</v>
      </c>
      <c r="CZ25">
        <f t="shared" si="9"/>
        <v>4338.2700000000004</v>
      </c>
      <c r="DA25">
        <f t="shared" si="10"/>
        <v>1.37</v>
      </c>
      <c r="DB25">
        <f>ROUND((ROUND(AT25*CZ25,2)*ROUND(0,7)),6)</f>
        <v>0</v>
      </c>
      <c r="DC25">
        <f>ROUND((ROUND(AT25*AG25,2)*ROUND(0,7)),6)</f>
        <v>0</v>
      </c>
      <c r="DD25" t="s">
        <v>6</v>
      </c>
      <c r="DE25" t="s">
        <v>6</v>
      </c>
      <c r="DF25">
        <f>ROUND(ROUND(AE25*AI25,2)*CX25,2)</f>
        <v>0</v>
      </c>
      <c r="DG25">
        <f t="shared" si="7"/>
        <v>0</v>
      </c>
      <c r="DH25">
        <f t="shared" si="1"/>
        <v>0</v>
      </c>
      <c r="DI25">
        <f t="shared" si="2"/>
        <v>0</v>
      </c>
      <c r="DJ25">
        <f t="shared" si="11"/>
        <v>0</v>
      </c>
      <c r="DK25">
        <v>0</v>
      </c>
      <c r="DL25" t="s">
        <v>6</v>
      </c>
      <c r="DM25">
        <v>0</v>
      </c>
      <c r="DN25" t="s">
        <v>6</v>
      </c>
      <c r="DO25">
        <v>0</v>
      </c>
    </row>
    <row r="26" spans="1:119" x14ac:dyDescent="0.2">
      <c r="A26">
        <f>ROW(Source!A246)</f>
        <v>246</v>
      </c>
      <c r="B26">
        <v>74850150</v>
      </c>
      <c r="C26">
        <v>74851226</v>
      </c>
      <c r="D26">
        <v>72610471</v>
      </c>
      <c r="E26">
        <v>1</v>
      </c>
      <c r="F26">
        <v>1</v>
      </c>
      <c r="G26">
        <v>1</v>
      </c>
      <c r="H26">
        <v>3</v>
      </c>
      <c r="I26" t="s">
        <v>317</v>
      </c>
      <c r="J26" t="s">
        <v>318</v>
      </c>
      <c r="K26" t="s">
        <v>319</v>
      </c>
      <c r="L26">
        <v>1346</v>
      </c>
      <c r="N26">
        <v>1009</v>
      </c>
      <c r="O26" t="s">
        <v>300</v>
      </c>
      <c r="P26" t="s">
        <v>300</v>
      </c>
      <c r="Q26">
        <v>1</v>
      </c>
      <c r="W26">
        <v>0</v>
      </c>
      <c r="X26">
        <v>-236920291</v>
      </c>
      <c r="Y26">
        <f>(AT26*ROUND(0,7))</f>
        <v>0</v>
      </c>
      <c r="AA26">
        <v>1448.29</v>
      </c>
      <c r="AB26">
        <v>0</v>
      </c>
      <c r="AC26">
        <v>0</v>
      </c>
      <c r="AD26">
        <v>0</v>
      </c>
      <c r="AE26">
        <v>899.56</v>
      </c>
      <c r="AF26">
        <v>0</v>
      </c>
      <c r="AG26">
        <v>0</v>
      </c>
      <c r="AH26">
        <v>0</v>
      </c>
      <c r="AI26">
        <v>1.61</v>
      </c>
      <c r="AJ26">
        <v>1</v>
      </c>
      <c r="AK26">
        <v>1</v>
      </c>
      <c r="AL26">
        <v>1</v>
      </c>
      <c r="AM26">
        <v>2</v>
      </c>
      <c r="AN26">
        <v>0</v>
      </c>
      <c r="AO26">
        <v>0</v>
      </c>
      <c r="AP26">
        <v>1</v>
      </c>
      <c r="AQ26">
        <v>1</v>
      </c>
      <c r="AR26">
        <v>0</v>
      </c>
      <c r="AS26" t="s">
        <v>6</v>
      </c>
      <c r="AT26">
        <v>0.01</v>
      </c>
      <c r="AU26" t="s">
        <v>309</v>
      </c>
      <c r="AV26">
        <v>0</v>
      </c>
      <c r="AW26">
        <v>2</v>
      </c>
      <c r="AX26">
        <v>74851239</v>
      </c>
      <c r="AY26">
        <v>1</v>
      </c>
      <c r="AZ26">
        <v>0</v>
      </c>
      <c r="BA26">
        <v>27</v>
      </c>
      <c r="BB26">
        <v>1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8.9955999999999996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1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CV26">
        <v>0</v>
      </c>
      <c r="CW26">
        <v>0</v>
      </c>
      <c r="CX26">
        <f>ROUND(Y26*Source!I246,7)</f>
        <v>0</v>
      </c>
      <c r="CY26">
        <f t="shared" si="8"/>
        <v>1448.29</v>
      </c>
      <c r="CZ26">
        <f t="shared" si="9"/>
        <v>899.56</v>
      </c>
      <c r="DA26">
        <f t="shared" si="10"/>
        <v>1.61</v>
      </c>
      <c r="DB26">
        <f>ROUND((ROUND(AT26*CZ26,2)*ROUND(0,7)),6)</f>
        <v>0</v>
      </c>
      <c r="DC26">
        <f>ROUND((ROUND(AT26*AG26,2)*ROUND(0,7)),6)</f>
        <v>0</v>
      </c>
      <c r="DD26" t="s">
        <v>6</v>
      </c>
      <c r="DE26" t="s">
        <v>6</v>
      </c>
      <c r="DF26">
        <f>ROUND(ROUND(AE26*AI26,2)*CX26,2)</f>
        <v>0</v>
      </c>
      <c r="DG26">
        <f t="shared" si="7"/>
        <v>0</v>
      </c>
      <c r="DH26">
        <f t="shared" si="1"/>
        <v>0</v>
      </c>
      <c r="DI26">
        <f t="shared" si="2"/>
        <v>0</v>
      </c>
      <c r="DJ26">
        <f t="shared" si="11"/>
        <v>0</v>
      </c>
      <c r="DK26">
        <v>0</v>
      </c>
      <c r="DL26" t="s">
        <v>6</v>
      </c>
      <c r="DM26">
        <v>0</v>
      </c>
      <c r="DN26" t="s">
        <v>6</v>
      </c>
      <c r="DO26">
        <v>0</v>
      </c>
    </row>
    <row r="27" spans="1:119" x14ac:dyDescent="0.2">
      <c r="A27">
        <f>ROW(Source!A246)</f>
        <v>246</v>
      </c>
      <c r="B27">
        <v>74850150</v>
      </c>
      <c r="C27">
        <v>74851226</v>
      </c>
      <c r="D27">
        <v>72533686</v>
      </c>
      <c r="E27">
        <v>114</v>
      </c>
      <c r="F27">
        <v>1</v>
      </c>
      <c r="G27">
        <v>1</v>
      </c>
      <c r="H27">
        <v>3</v>
      </c>
      <c r="I27" t="s">
        <v>110</v>
      </c>
      <c r="J27" t="s">
        <v>6</v>
      </c>
      <c r="K27" t="s">
        <v>111</v>
      </c>
      <c r="L27">
        <v>3277935</v>
      </c>
      <c r="N27">
        <v>1013</v>
      </c>
      <c r="O27" t="s">
        <v>112</v>
      </c>
      <c r="P27" t="s">
        <v>112</v>
      </c>
      <c r="Q27">
        <v>1</v>
      </c>
      <c r="W27">
        <v>0</v>
      </c>
      <c r="X27">
        <v>274903907</v>
      </c>
      <c r="Y27">
        <f t="shared" ref="Y27:Y34" si="12">AT27</f>
        <v>2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1</v>
      </c>
      <c r="AJ27">
        <v>1</v>
      </c>
      <c r="AK27">
        <v>1</v>
      </c>
      <c r="AL27">
        <v>1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 t="s">
        <v>6</v>
      </c>
      <c r="AT27">
        <v>2</v>
      </c>
      <c r="AU27" t="s">
        <v>6</v>
      </c>
      <c r="AV27">
        <v>0</v>
      </c>
      <c r="AW27">
        <v>2</v>
      </c>
      <c r="AX27">
        <v>74851240</v>
      </c>
      <c r="AY27">
        <v>1</v>
      </c>
      <c r="AZ27">
        <v>2048</v>
      </c>
      <c r="BA27">
        <v>28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CV27">
        <v>0</v>
      </c>
      <c r="CW27">
        <v>0</v>
      </c>
      <c r="CX27">
        <f>ROUND(Y27*Source!I246,7)</f>
        <v>10</v>
      </c>
      <c r="CY27">
        <f t="shared" si="8"/>
        <v>0</v>
      </c>
      <c r="CZ27">
        <f t="shared" si="9"/>
        <v>0</v>
      </c>
      <c r="DA27">
        <f t="shared" si="10"/>
        <v>1</v>
      </c>
      <c r="DB27">
        <f t="shared" ref="DB27:DB34" si="13">ROUND(ROUND(AT27*CZ27,2),6)</f>
        <v>0</v>
      </c>
      <c r="DC27">
        <f t="shared" ref="DC27:DC34" si="14">ROUND(ROUND(AT27*AG27,2),6)</f>
        <v>0</v>
      </c>
      <c r="DD27" t="s">
        <v>6</v>
      </c>
      <c r="DE27" t="s">
        <v>6</v>
      </c>
      <c r="DF27">
        <f>ROUND(ROUND(AE27,2)*CX27,2)</f>
        <v>0</v>
      </c>
      <c r="DG27">
        <f t="shared" si="7"/>
        <v>0</v>
      </c>
      <c r="DH27">
        <f t="shared" si="1"/>
        <v>0</v>
      </c>
      <c r="DI27">
        <f t="shared" si="2"/>
        <v>0</v>
      </c>
      <c r="DJ27">
        <f t="shared" si="11"/>
        <v>0</v>
      </c>
      <c r="DK27">
        <v>0</v>
      </c>
      <c r="DL27" t="s">
        <v>6</v>
      </c>
      <c r="DM27">
        <v>0</v>
      </c>
      <c r="DN27" t="s">
        <v>6</v>
      </c>
      <c r="DO27">
        <v>0</v>
      </c>
    </row>
    <row r="28" spans="1:119" x14ac:dyDescent="0.2">
      <c r="A28">
        <f>ROW(Source!A248)</f>
        <v>248</v>
      </c>
      <c r="B28">
        <v>74850150</v>
      </c>
      <c r="C28">
        <v>74851242</v>
      </c>
      <c r="D28">
        <v>72527824</v>
      </c>
      <c r="E28">
        <v>114</v>
      </c>
      <c r="F28">
        <v>1</v>
      </c>
      <c r="G28">
        <v>1</v>
      </c>
      <c r="H28">
        <v>1</v>
      </c>
      <c r="I28" t="s">
        <v>304</v>
      </c>
      <c r="J28" t="s">
        <v>6</v>
      </c>
      <c r="K28" t="s">
        <v>305</v>
      </c>
      <c r="L28">
        <v>1191</v>
      </c>
      <c r="N28">
        <v>1013</v>
      </c>
      <c r="O28" t="s">
        <v>260</v>
      </c>
      <c r="P28" t="s">
        <v>260</v>
      </c>
      <c r="Q28">
        <v>1</v>
      </c>
      <c r="W28">
        <v>0</v>
      </c>
      <c r="X28">
        <v>888410196</v>
      </c>
      <c r="Y28">
        <f t="shared" si="12"/>
        <v>1.68</v>
      </c>
      <c r="AA28">
        <v>0</v>
      </c>
      <c r="AB28">
        <v>0</v>
      </c>
      <c r="AC28">
        <v>0</v>
      </c>
      <c r="AD28">
        <v>334.92</v>
      </c>
      <c r="AE28">
        <v>0</v>
      </c>
      <c r="AF28">
        <v>0</v>
      </c>
      <c r="AG28">
        <v>0</v>
      </c>
      <c r="AH28">
        <v>334.92</v>
      </c>
      <c r="AI28">
        <v>1</v>
      </c>
      <c r="AJ28">
        <v>1</v>
      </c>
      <c r="AK28">
        <v>1</v>
      </c>
      <c r="AL28">
        <v>1</v>
      </c>
      <c r="AM28">
        <v>-2</v>
      </c>
      <c r="AN28">
        <v>0</v>
      </c>
      <c r="AO28">
        <v>0</v>
      </c>
      <c r="AP28">
        <v>1</v>
      </c>
      <c r="AQ28">
        <v>1</v>
      </c>
      <c r="AR28">
        <v>0</v>
      </c>
      <c r="AS28" t="s">
        <v>6</v>
      </c>
      <c r="AT28">
        <v>1.68</v>
      </c>
      <c r="AU28" t="s">
        <v>6</v>
      </c>
      <c r="AV28">
        <v>1</v>
      </c>
      <c r="AW28">
        <v>2</v>
      </c>
      <c r="AX28">
        <v>74851250</v>
      </c>
      <c r="AY28">
        <v>1</v>
      </c>
      <c r="AZ28">
        <v>0</v>
      </c>
      <c r="BA28">
        <v>29</v>
      </c>
      <c r="BB28">
        <v>1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562.66560000000004</v>
      </c>
      <c r="BN28">
        <v>1.68</v>
      </c>
      <c r="BO28">
        <v>0</v>
      </c>
      <c r="BP28">
        <v>1</v>
      </c>
      <c r="BQ28">
        <v>0</v>
      </c>
      <c r="BR28">
        <v>0</v>
      </c>
      <c r="BS28">
        <v>0</v>
      </c>
      <c r="BT28">
        <v>562.66560000000004</v>
      </c>
      <c r="BU28">
        <v>1.68</v>
      </c>
      <c r="BV28">
        <v>0</v>
      </c>
      <c r="BW28">
        <v>1</v>
      </c>
      <c r="CU28">
        <f>ROUND(AT28*Source!I248*AH28*AL28,2)</f>
        <v>2813.33</v>
      </c>
      <c r="CV28">
        <f>ROUND(Y28*Source!I248,7)</f>
        <v>8.4</v>
      </c>
      <c r="CW28">
        <v>0</v>
      </c>
      <c r="CX28">
        <f>ROUND(Y28*Source!I248,7)</f>
        <v>8.4</v>
      </c>
      <c r="CY28">
        <f>AD28</f>
        <v>334.92</v>
      </c>
      <c r="CZ28">
        <f>AH28</f>
        <v>334.92</v>
      </c>
      <c r="DA28">
        <f>AL28</f>
        <v>1</v>
      </c>
      <c r="DB28">
        <f t="shared" si="13"/>
        <v>562.66999999999996</v>
      </c>
      <c r="DC28">
        <f t="shared" si="14"/>
        <v>0</v>
      </c>
      <c r="DD28" t="s">
        <v>6</v>
      </c>
      <c r="DE28" t="s">
        <v>6</v>
      </c>
      <c r="DF28">
        <f>ROUND(ROUND(AE28,2)*CX28,2)</f>
        <v>0</v>
      </c>
      <c r="DG28">
        <f t="shared" si="7"/>
        <v>0</v>
      </c>
      <c r="DH28">
        <f t="shared" si="1"/>
        <v>0</v>
      </c>
      <c r="DI28">
        <f t="shared" si="2"/>
        <v>2813.33</v>
      </c>
      <c r="DJ28">
        <f>DI28</f>
        <v>2813.33</v>
      </c>
      <c r="DK28">
        <v>1</v>
      </c>
      <c r="DL28" t="s">
        <v>6</v>
      </c>
      <c r="DM28">
        <v>0</v>
      </c>
      <c r="DN28" t="s">
        <v>6</v>
      </c>
      <c r="DO28">
        <v>0</v>
      </c>
    </row>
    <row r="29" spans="1:119" x14ac:dyDescent="0.2">
      <c r="A29">
        <f>ROW(Source!A248)</f>
        <v>248</v>
      </c>
      <c r="B29">
        <v>74850150</v>
      </c>
      <c r="C29">
        <v>74851242</v>
      </c>
      <c r="D29">
        <v>72597535</v>
      </c>
      <c r="E29">
        <v>1</v>
      </c>
      <c r="F29">
        <v>1</v>
      </c>
      <c r="G29">
        <v>1</v>
      </c>
      <c r="H29">
        <v>3</v>
      </c>
      <c r="I29" t="s">
        <v>306</v>
      </c>
      <c r="J29" t="s">
        <v>307</v>
      </c>
      <c r="K29" t="s">
        <v>308</v>
      </c>
      <c r="L29">
        <v>1346</v>
      </c>
      <c r="N29">
        <v>1009</v>
      </c>
      <c r="O29" t="s">
        <v>300</v>
      </c>
      <c r="P29" t="s">
        <v>300</v>
      </c>
      <c r="Q29">
        <v>1</v>
      </c>
      <c r="W29">
        <v>0</v>
      </c>
      <c r="X29">
        <v>1832667927</v>
      </c>
      <c r="Y29">
        <f t="shared" si="12"/>
        <v>5.0000000000000001E-4</v>
      </c>
      <c r="AA29">
        <v>397.81</v>
      </c>
      <c r="AB29">
        <v>0</v>
      </c>
      <c r="AC29">
        <v>0</v>
      </c>
      <c r="AD29">
        <v>0</v>
      </c>
      <c r="AE29">
        <v>284.14999999999998</v>
      </c>
      <c r="AF29">
        <v>0</v>
      </c>
      <c r="AG29">
        <v>0</v>
      </c>
      <c r="AH29">
        <v>0</v>
      </c>
      <c r="AI29">
        <v>1.4</v>
      </c>
      <c r="AJ29">
        <v>1</v>
      </c>
      <c r="AK29">
        <v>1</v>
      </c>
      <c r="AL29">
        <v>1</v>
      </c>
      <c r="AM29">
        <v>2</v>
      </c>
      <c r="AN29">
        <v>0</v>
      </c>
      <c r="AO29">
        <v>0</v>
      </c>
      <c r="AP29">
        <v>1</v>
      </c>
      <c r="AQ29">
        <v>1</v>
      </c>
      <c r="AR29">
        <v>0</v>
      </c>
      <c r="AS29" t="s">
        <v>6</v>
      </c>
      <c r="AT29">
        <v>5.0000000000000001E-4</v>
      </c>
      <c r="AU29" t="s">
        <v>6</v>
      </c>
      <c r="AV29">
        <v>0</v>
      </c>
      <c r="AW29">
        <v>2</v>
      </c>
      <c r="AX29">
        <v>74851251</v>
      </c>
      <c r="AY29">
        <v>1</v>
      </c>
      <c r="AZ29">
        <v>0</v>
      </c>
      <c r="BA29">
        <v>30</v>
      </c>
      <c r="BB29">
        <v>1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0.14207499999999998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1</v>
      </c>
      <c r="BQ29">
        <v>0.14207499999999998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1</v>
      </c>
      <c r="CV29">
        <v>0</v>
      </c>
      <c r="CW29">
        <v>0</v>
      </c>
      <c r="CX29">
        <f>ROUND(Y29*Source!I248,7)</f>
        <v>2.5000000000000001E-3</v>
      </c>
      <c r="CY29">
        <f t="shared" ref="CY29:CY34" si="15">AA29</f>
        <v>397.81</v>
      </c>
      <c r="CZ29">
        <f t="shared" ref="CZ29:CZ34" si="16">AE29</f>
        <v>284.14999999999998</v>
      </c>
      <c r="DA29">
        <f t="shared" ref="DA29:DA34" si="17">AI29</f>
        <v>1.4</v>
      </c>
      <c r="DB29">
        <f t="shared" si="13"/>
        <v>0.14000000000000001</v>
      </c>
      <c r="DC29">
        <f t="shared" si="14"/>
        <v>0</v>
      </c>
      <c r="DD29" t="s">
        <v>6</v>
      </c>
      <c r="DE29" t="s">
        <v>6</v>
      </c>
      <c r="DF29">
        <f>ROUND(ROUND(AE29*AI29,2)*CX29,2)</f>
        <v>0.99</v>
      </c>
      <c r="DG29">
        <f t="shared" si="7"/>
        <v>0</v>
      </c>
      <c r="DH29">
        <f t="shared" si="1"/>
        <v>0</v>
      </c>
      <c r="DI29">
        <f t="shared" si="2"/>
        <v>0</v>
      </c>
      <c r="DJ29">
        <f t="shared" ref="DJ29:DJ34" si="18">DF29</f>
        <v>0.99</v>
      </c>
      <c r="DK29">
        <v>0</v>
      </c>
      <c r="DL29" t="s">
        <v>6</v>
      </c>
      <c r="DM29">
        <v>0</v>
      </c>
      <c r="DN29" t="s">
        <v>6</v>
      </c>
      <c r="DO29">
        <v>0</v>
      </c>
    </row>
    <row r="30" spans="1:119" x14ac:dyDescent="0.2">
      <c r="A30">
        <f>ROW(Source!A248)</f>
        <v>248</v>
      </c>
      <c r="B30">
        <v>74850150</v>
      </c>
      <c r="C30">
        <v>74851242</v>
      </c>
      <c r="D30">
        <v>72599529</v>
      </c>
      <c r="E30">
        <v>1</v>
      </c>
      <c r="F30">
        <v>1</v>
      </c>
      <c r="G30">
        <v>1</v>
      </c>
      <c r="H30">
        <v>3</v>
      </c>
      <c r="I30" t="s">
        <v>310</v>
      </c>
      <c r="J30" t="s">
        <v>311</v>
      </c>
      <c r="K30" t="s">
        <v>312</v>
      </c>
      <c r="L30">
        <v>1383</v>
      </c>
      <c r="N30">
        <v>1013</v>
      </c>
      <c r="O30" t="s">
        <v>313</v>
      </c>
      <c r="P30" t="s">
        <v>313</v>
      </c>
      <c r="Q30">
        <v>1</v>
      </c>
      <c r="W30">
        <v>0</v>
      </c>
      <c r="X30">
        <v>-2119218604</v>
      </c>
      <c r="Y30">
        <f t="shared" si="12"/>
        <v>8.3199999999999996E-2</v>
      </c>
      <c r="AA30">
        <v>7.94</v>
      </c>
      <c r="AB30">
        <v>0</v>
      </c>
      <c r="AC30">
        <v>0</v>
      </c>
      <c r="AD30">
        <v>0</v>
      </c>
      <c r="AE30">
        <v>7.94</v>
      </c>
      <c r="AF30">
        <v>0</v>
      </c>
      <c r="AG30">
        <v>0</v>
      </c>
      <c r="AH30">
        <v>0</v>
      </c>
      <c r="AI30">
        <v>1</v>
      </c>
      <c r="AJ30">
        <v>1</v>
      </c>
      <c r="AK30">
        <v>1</v>
      </c>
      <c r="AL30">
        <v>1</v>
      </c>
      <c r="AM30">
        <v>-2</v>
      </c>
      <c r="AN30">
        <v>0</v>
      </c>
      <c r="AO30">
        <v>0</v>
      </c>
      <c r="AP30">
        <v>1</v>
      </c>
      <c r="AQ30">
        <v>1</v>
      </c>
      <c r="AR30">
        <v>0</v>
      </c>
      <c r="AS30" t="s">
        <v>6</v>
      </c>
      <c r="AT30">
        <v>8.3199999999999996E-2</v>
      </c>
      <c r="AU30" t="s">
        <v>6</v>
      </c>
      <c r="AV30">
        <v>0</v>
      </c>
      <c r="AW30">
        <v>2</v>
      </c>
      <c r="AX30">
        <v>74851252</v>
      </c>
      <c r="AY30">
        <v>1</v>
      </c>
      <c r="AZ30">
        <v>0</v>
      </c>
      <c r="BA30">
        <v>31</v>
      </c>
      <c r="BB30">
        <v>1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0.66060799999999997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1</v>
      </c>
      <c r="BQ30">
        <v>0.66060799999999997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1</v>
      </c>
      <c r="CV30">
        <v>0</v>
      </c>
      <c r="CW30">
        <v>0</v>
      </c>
      <c r="CX30">
        <f>ROUND(Y30*Source!I248,7)</f>
        <v>0.41599999999999998</v>
      </c>
      <c r="CY30">
        <f t="shared" si="15"/>
        <v>7.94</v>
      </c>
      <c r="CZ30">
        <f t="shared" si="16"/>
        <v>7.94</v>
      </c>
      <c r="DA30">
        <f t="shared" si="17"/>
        <v>1</v>
      </c>
      <c r="DB30">
        <f t="shared" si="13"/>
        <v>0.66</v>
      </c>
      <c r="DC30">
        <f t="shared" si="14"/>
        <v>0</v>
      </c>
      <c r="DD30" t="s">
        <v>6</v>
      </c>
      <c r="DE30" t="s">
        <v>6</v>
      </c>
      <c r="DF30">
        <f>ROUND(ROUND(AE30,2)*CX30,2)</f>
        <v>3.3</v>
      </c>
      <c r="DG30">
        <f t="shared" si="7"/>
        <v>0</v>
      </c>
      <c r="DH30">
        <f t="shared" si="1"/>
        <v>0</v>
      </c>
      <c r="DI30">
        <f t="shared" si="2"/>
        <v>0</v>
      </c>
      <c r="DJ30">
        <f t="shared" si="18"/>
        <v>3.3</v>
      </c>
      <c r="DK30">
        <v>1</v>
      </c>
      <c r="DL30" t="s">
        <v>6</v>
      </c>
      <c r="DM30">
        <v>0</v>
      </c>
      <c r="DN30" t="s">
        <v>6</v>
      </c>
      <c r="DO30">
        <v>0</v>
      </c>
    </row>
    <row r="31" spans="1:119" x14ac:dyDescent="0.2">
      <c r="A31">
        <f>ROW(Source!A248)</f>
        <v>248</v>
      </c>
      <c r="B31">
        <v>74850150</v>
      </c>
      <c r="C31">
        <v>74851242</v>
      </c>
      <c r="D31">
        <v>72601073</v>
      </c>
      <c r="E31">
        <v>1</v>
      </c>
      <c r="F31">
        <v>1</v>
      </c>
      <c r="G31">
        <v>1</v>
      </c>
      <c r="H31">
        <v>3</v>
      </c>
      <c r="I31" t="s">
        <v>314</v>
      </c>
      <c r="J31" t="s">
        <v>315</v>
      </c>
      <c r="K31" t="s">
        <v>316</v>
      </c>
      <c r="L31">
        <v>1425</v>
      </c>
      <c r="N31">
        <v>1013</v>
      </c>
      <c r="O31" t="s">
        <v>91</v>
      </c>
      <c r="P31" t="s">
        <v>91</v>
      </c>
      <c r="Q31">
        <v>1</v>
      </c>
      <c r="W31">
        <v>0</v>
      </c>
      <c r="X31">
        <v>-253983706</v>
      </c>
      <c r="Y31">
        <f t="shared" si="12"/>
        <v>2.5000000000000001E-2</v>
      </c>
      <c r="AA31">
        <v>1251.96</v>
      </c>
      <c r="AB31">
        <v>0</v>
      </c>
      <c r="AC31">
        <v>0</v>
      </c>
      <c r="AD31">
        <v>0</v>
      </c>
      <c r="AE31">
        <v>978.09</v>
      </c>
      <c r="AF31">
        <v>0</v>
      </c>
      <c r="AG31">
        <v>0</v>
      </c>
      <c r="AH31">
        <v>0</v>
      </c>
      <c r="AI31">
        <v>1.28</v>
      </c>
      <c r="AJ31">
        <v>1</v>
      </c>
      <c r="AK31">
        <v>1</v>
      </c>
      <c r="AL31">
        <v>1</v>
      </c>
      <c r="AM31">
        <v>2</v>
      </c>
      <c r="AN31">
        <v>0</v>
      </c>
      <c r="AO31">
        <v>0</v>
      </c>
      <c r="AP31">
        <v>1</v>
      </c>
      <c r="AQ31">
        <v>1</v>
      </c>
      <c r="AR31">
        <v>0</v>
      </c>
      <c r="AS31" t="s">
        <v>6</v>
      </c>
      <c r="AT31">
        <v>2.5000000000000001E-2</v>
      </c>
      <c r="AU31" t="s">
        <v>6</v>
      </c>
      <c r="AV31">
        <v>0</v>
      </c>
      <c r="AW31">
        <v>2</v>
      </c>
      <c r="AX31">
        <v>74851253</v>
      </c>
      <c r="AY31">
        <v>1</v>
      </c>
      <c r="AZ31">
        <v>0</v>
      </c>
      <c r="BA31">
        <v>32</v>
      </c>
      <c r="BB31">
        <v>1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24.452250000000003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1</v>
      </c>
      <c r="BQ31">
        <v>24.452250000000003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1</v>
      </c>
      <c r="CV31">
        <v>0</v>
      </c>
      <c r="CW31">
        <v>0</v>
      </c>
      <c r="CX31">
        <f>ROUND(Y31*Source!I248,7)</f>
        <v>0.125</v>
      </c>
      <c r="CY31">
        <f t="shared" si="15"/>
        <v>1251.96</v>
      </c>
      <c r="CZ31">
        <f t="shared" si="16"/>
        <v>978.09</v>
      </c>
      <c r="DA31">
        <f t="shared" si="17"/>
        <v>1.28</v>
      </c>
      <c r="DB31">
        <f t="shared" si="13"/>
        <v>24.45</v>
      </c>
      <c r="DC31">
        <f t="shared" si="14"/>
        <v>0</v>
      </c>
      <c r="DD31" t="s">
        <v>6</v>
      </c>
      <c r="DE31" t="s">
        <v>6</v>
      </c>
      <c r="DF31">
        <f>ROUND(ROUND(AE31*AI31,2)*CX31,2)</f>
        <v>156.5</v>
      </c>
      <c r="DG31">
        <f t="shared" si="7"/>
        <v>0</v>
      </c>
      <c r="DH31">
        <f t="shared" si="1"/>
        <v>0</v>
      </c>
      <c r="DI31">
        <f t="shared" si="2"/>
        <v>0</v>
      </c>
      <c r="DJ31">
        <f t="shared" si="18"/>
        <v>156.5</v>
      </c>
      <c r="DK31">
        <v>0</v>
      </c>
      <c r="DL31" t="s">
        <v>6</v>
      </c>
      <c r="DM31">
        <v>0</v>
      </c>
      <c r="DN31" t="s">
        <v>6</v>
      </c>
      <c r="DO31">
        <v>0</v>
      </c>
    </row>
    <row r="32" spans="1:119" x14ac:dyDescent="0.2">
      <c r="A32">
        <f>ROW(Source!A248)</f>
        <v>248</v>
      </c>
      <c r="B32">
        <v>74850150</v>
      </c>
      <c r="C32">
        <v>74851242</v>
      </c>
      <c r="D32">
        <v>72602917</v>
      </c>
      <c r="E32">
        <v>1</v>
      </c>
      <c r="F32">
        <v>1</v>
      </c>
      <c r="G32">
        <v>1</v>
      </c>
      <c r="H32">
        <v>3</v>
      </c>
      <c r="I32" t="s">
        <v>293</v>
      </c>
      <c r="J32" t="s">
        <v>294</v>
      </c>
      <c r="K32" t="s">
        <v>295</v>
      </c>
      <c r="L32">
        <v>1348</v>
      </c>
      <c r="N32">
        <v>1009</v>
      </c>
      <c r="O32" t="s">
        <v>296</v>
      </c>
      <c r="P32" t="s">
        <v>296</v>
      </c>
      <c r="Q32">
        <v>1000</v>
      </c>
      <c r="W32">
        <v>0</v>
      </c>
      <c r="X32">
        <v>1721324063</v>
      </c>
      <c r="Y32">
        <f t="shared" si="12"/>
        <v>1.0000000000000001E-5</v>
      </c>
      <c r="AA32">
        <v>5943.43</v>
      </c>
      <c r="AB32">
        <v>0</v>
      </c>
      <c r="AC32">
        <v>0</v>
      </c>
      <c r="AD32">
        <v>0</v>
      </c>
      <c r="AE32">
        <v>4338.2700000000004</v>
      </c>
      <c r="AF32">
        <v>0</v>
      </c>
      <c r="AG32">
        <v>0</v>
      </c>
      <c r="AH32">
        <v>0</v>
      </c>
      <c r="AI32">
        <v>1.37</v>
      </c>
      <c r="AJ32">
        <v>1</v>
      </c>
      <c r="AK32">
        <v>1</v>
      </c>
      <c r="AL32">
        <v>1</v>
      </c>
      <c r="AM32">
        <v>2</v>
      </c>
      <c r="AN32">
        <v>0</v>
      </c>
      <c r="AO32">
        <v>0</v>
      </c>
      <c r="AP32">
        <v>1</v>
      </c>
      <c r="AQ32">
        <v>1</v>
      </c>
      <c r="AR32">
        <v>0</v>
      </c>
      <c r="AS32" t="s">
        <v>6</v>
      </c>
      <c r="AT32">
        <v>1.0000000000000001E-5</v>
      </c>
      <c r="AU32" t="s">
        <v>6</v>
      </c>
      <c r="AV32">
        <v>0</v>
      </c>
      <c r="AW32">
        <v>2</v>
      </c>
      <c r="AX32">
        <v>74851254</v>
      </c>
      <c r="AY32">
        <v>1</v>
      </c>
      <c r="AZ32">
        <v>0</v>
      </c>
      <c r="BA32">
        <v>33</v>
      </c>
      <c r="BB32">
        <v>1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4.338270000000001E-2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1</v>
      </c>
      <c r="BQ32">
        <v>4.338270000000001E-2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1</v>
      </c>
      <c r="CV32">
        <v>0</v>
      </c>
      <c r="CW32">
        <v>0</v>
      </c>
      <c r="CX32">
        <f>ROUND(Y32*Source!I248,7)</f>
        <v>5.0000000000000002E-5</v>
      </c>
      <c r="CY32">
        <f t="shared" si="15"/>
        <v>5943.43</v>
      </c>
      <c r="CZ32">
        <f t="shared" si="16"/>
        <v>4338.2700000000004</v>
      </c>
      <c r="DA32">
        <f t="shared" si="17"/>
        <v>1.37</v>
      </c>
      <c r="DB32">
        <f t="shared" si="13"/>
        <v>0.04</v>
      </c>
      <c r="DC32">
        <f t="shared" si="14"/>
        <v>0</v>
      </c>
      <c r="DD32" t="s">
        <v>6</v>
      </c>
      <c r="DE32" t="s">
        <v>6</v>
      </c>
      <c r="DF32">
        <f>ROUND(ROUND(AE32*AI32,2)*CX32,2)</f>
        <v>0.3</v>
      </c>
      <c r="DG32">
        <f t="shared" si="7"/>
        <v>0</v>
      </c>
      <c r="DH32">
        <f t="shared" si="1"/>
        <v>0</v>
      </c>
      <c r="DI32">
        <f t="shared" si="2"/>
        <v>0</v>
      </c>
      <c r="DJ32">
        <f t="shared" si="18"/>
        <v>0.3</v>
      </c>
      <c r="DK32">
        <v>0</v>
      </c>
      <c r="DL32" t="s">
        <v>6</v>
      </c>
      <c r="DM32">
        <v>0</v>
      </c>
      <c r="DN32" t="s">
        <v>6</v>
      </c>
      <c r="DO32">
        <v>0</v>
      </c>
    </row>
    <row r="33" spans="1:119" x14ac:dyDescent="0.2">
      <c r="A33">
        <f>ROW(Source!A248)</f>
        <v>248</v>
      </c>
      <c r="B33">
        <v>74850150</v>
      </c>
      <c r="C33">
        <v>74851242</v>
      </c>
      <c r="D33">
        <v>72610471</v>
      </c>
      <c r="E33">
        <v>1</v>
      </c>
      <c r="F33">
        <v>1</v>
      </c>
      <c r="G33">
        <v>1</v>
      </c>
      <c r="H33">
        <v>3</v>
      </c>
      <c r="I33" t="s">
        <v>317</v>
      </c>
      <c r="J33" t="s">
        <v>318</v>
      </c>
      <c r="K33" t="s">
        <v>319</v>
      </c>
      <c r="L33">
        <v>1346</v>
      </c>
      <c r="N33">
        <v>1009</v>
      </c>
      <c r="O33" t="s">
        <v>300</v>
      </c>
      <c r="P33" t="s">
        <v>300</v>
      </c>
      <c r="Q33">
        <v>1</v>
      </c>
      <c r="W33">
        <v>0</v>
      </c>
      <c r="X33">
        <v>-236920291</v>
      </c>
      <c r="Y33">
        <f t="shared" si="12"/>
        <v>0.01</v>
      </c>
      <c r="AA33">
        <v>1448.29</v>
      </c>
      <c r="AB33">
        <v>0</v>
      </c>
      <c r="AC33">
        <v>0</v>
      </c>
      <c r="AD33">
        <v>0</v>
      </c>
      <c r="AE33">
        <v>899.56</v>
      </c>
      <c r="AF33">
        <v>0</v>
      </c>
      <c r="AG33">
        <v>0</v>
      </c>
      <c r="AH33">
        <v>0</v>
      </c>
      <c r="AI33">
        <v>1.61</v>
      </c>
      <c r="AJ33">
        <v>1</v>
      </c>
      <c r="AK33">
        <v>1</v>
      </c>
      <c r="AL33">
        <v>1</v>
      </c>
      <c r="AM33">
        <v>2</v>
      </c>
      <c r="AN33">
        <v>0</v>
      </c>
      <c r="AO33">
        <v>0</v>
      </c>
      <c r="AP33">
        <v>1</v>
      </c>
      <c r="AQ33">
        <v>1</v>
      </c>
      <c r="AR33">
        <v>0</v>
      </c>
      <c r="AS33" t="s">
        <v>6</v>
      </c>
      <c r="AT33">
        <v>0.01</v>
      </c>
      <c r="AU33" t="s">
        <v>6</v>
      </c>
      <c r="AV33">
        <v>0</v>
      </c>
      <c r="AW33">
        <v>2</v>
      </c>
      <c r="AX33">
        <v>74851255</v>
      </c>
      <c r="AY33">
        <v>1</v>
      </c>
      <c r="AZ33">
        <v>0</v>
      </c>
      <c r="BA33">
        <v>34</v>
      </c>
      <c r="BB33">
        <v>1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8.9955999999999996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1</v>
      </c>
      <c r="BQ33">
        <v>8.9955999999999996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1</v>
      </c>
      <c r="CV33">
        <v>0</v>
      </c>
      <c r="CW33">
        <v>0</v>
      </c>
      <c r="CX33">
        <f>ROUND(Y33*Source!I248,7)</f>
        <v>0.05</v>
      </c>
      <c r="CY33">
        <f t="shared" si="15"/>
        <v>1448.29</v>
      </c>
      <c r="CZ33">
        <f t="shared" si="16"/>
        <v>899.56</v>
      </c>
      <c r="DA33">
        <f t="shared" si="17"/>
        <v>1.61</v>
      </c>
      <c r="DB33">
        <f t="shared" si="13"/>
        <v>9</v>
      </c>
      <c r="DC33">
        <f t="shared" si="14"/>
        <v>0</v>
      </c>
      <c r="DD33" t="s">
        <v>6</v>
      </c>
      <c r="DE33" t="s">
        <v>6</v>
      </c>
      <c r="DF33">
        <f>ROUND(ROUND(AE33*AI33,2)*CX33,2)</f>
        <v>72.41</v>
      </c>
      <c r="DG33">
        <f t="shared" si="7"/>
        <v>0</v>
      </c>
      <c r="DH33">
        <f t="shared" si="1"/>
        <v>0</v>
      </c>
      <c r="DI33">
        <f t="shared" si="2"/>
        <v>0</v>
      </c>
      <c r="DJ33">
        <f t="shared" si="18"/>
        <v>72.41</v>
      </c>
      <c r="DK33">
        <v>0</v>
      </c>
      <c r="DL33" t="s">
        <v>6</v>
      </c>
      <c r="DM33">
        <v>0</v>
      </c>
      <c r="DN33" t="s">
        <v>6</v>
      </c>
      <c r="DO33">
        <v>0</v>
      </c>
    </row>
    <row r="34" spans="1:119" x14ac:dyDescent="0.2">
      <c r="A34">
        <f>ROW(Source!A248)</f>
        <v>248</v>
      </c>
      <c r="B34">
        <v>74850150</v>
      </c>
      <c r="C34">
        <v>74851242</v>
      </c>
      <c r="D34">
        <v>72533686</v>
      </c>
      <c r="E34">
        <v>114</v>
      </c>
      <c r="F34">
        <v>1</v>
      </c>
      <c r="G34">
        <v>1</v>
      </c>
      <c r="H34">
        <v>3</v>
      </c>
      <c r="I34" t="s">
        <v>110</v>
      </c>
      <c r="J34" t="s">
        <v>6</v>
      </c>
      <c r="K34" t="s">
        <v>111</v>
      </c>
      <c r="L34">
        <v>3277935</v>
      </c>
      <c r="N34">
        <v>1013</v>
      </c>
      <c r="O34" t="s">
        <v>112</v>
      </c>
      <c r="P34" t="s">
        <v>112</v>
      </c>
      <c r="Q34">
        <v>1</v>
      </c>
      <c r="W34">
        <v>0</v>
      </c>
      <c r="X34">
        <v>274903907</v>
      </c>
      <c r="Y34">
        <f t="shared" si="12"/>
        <v>2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1</v>
      </c>
      <c r="AJ34">
        <v>1</v>
      </c>
      <c r="AK34">
        <v>1</v>
      </c>
      <c r="AL34">
        <v>1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 t="s">
        <v>6</v>
      </c>
      <c r="AT34">
        <v>2</v>
      </c>
      <c r="AU34" t="s">
        <v>6</v>
      </c>
      <c r="AV34">
        <v>0</v>
      </c>
      <c r="AW34">
        <v>2</v>
      </c>
      <c r="AX34">
        <v>74851256</v>
      </c>
      <c r="AY34">
        <v>1</v>
      </c>
      <c r="AZ34">
        <v>0</v>
      </c>
      <c r="BA34">
        <v>35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CV34">
        <v>0</v>
      </c>
      <c r="CW34">
        <v>0</v>
      </c>
      <c r="CX34">
        <f>ROUND(Y34*Source!I248,7)</f>
        <v>10</v>
      </c>
      <c r="CY34">
        <f t="shared" si="15"/>
        <v>0</v>
      </c>
      <c r="CZ34">
        <f t="shared" si="16"/>
        <v>0</v>
      </c>
      <c r="DA34">
        <f t="shared" si="17"/>
        <v>1</v>
      </c>
      <c r="DB34">
        <f t="shared" si="13"/>
        <v>0</v>
      </c>
      <c r="DC34">
        <f t="shared" si="14"/>
        <v>0</v>
      </c>
      <c r="DD34" t="s">
        <v>6</v>
      </c>
      <c r="DE34" t="s">
        <v>6</v>
      </c>
      <c r="DF34">
        <f>ROUND(ROUND(AE34,2)*CX34,2)</f>
        <v>0</v>
      </c>
      <c r="DG34">
        <f t="shared" si="7"/>
        <v>0</v>
      </c>
      <c r="DH34">
        <f t="shared" si="1"/>
        <v>0</v>
      </c>
      <c r="DI34">
        <f t="shared" si="2"/>
        <v>0</v>
      </c>
      <c r="DJ34">
        <f t="shared" si="18"/>
        <v>0</v>
      </c>
      <c r="DK34">
        <v>0</v>
      </c>
      <c r="DL34" t="s">
        <v>6</v>
      </c>
      <c r="DM34">
        <v>0</v>
      </c>
      <c r="DN34" t="s">
        <v>6</v>
      </c>
      <c r="DO34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5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44" x14ac:dyDescent="0.2">
      <c r="A1">
        <f>ROW(Source!A232)</f>
        <v>232</v>
      </c>
      <c r="B1">
        <v>74851175</v>
      </c>
      <c r="C1">
        <v>74851171</v>
      </c>
      <c r="D1">
        <v>72527760</v>
      </c>
      <c r="E1">
        <v>114</v>
      </c>
      <c r="F1">
        <v>1</v>
      </c>
      <c r="G1">
        <v>1</v>
      </c>
      <c r="H1">
        <v>1</v>
      </c>
      <c r="I1" t="s">
        <v>258</v>
      </c>
      <c r="J1" t="s">
        <v>6</v>
      </c>
      <c r="K1" t="s">
        <v>259</v>
      </c>
      <c r="L1">
        <v>1191</v>
      </c>
      <c r="N1">
        <v>1013</v>
      </c>
      <c r="O1" t="s">
        <v>260</v>
      </c>
      <c r="P1" t="s">
        <v>260</v>
      </c>
      <c r="Q1">
        <v>1</v>
      </c>
      <c r="X1">
        <v>6.32</v>
      </c>
      <c r="Y1">
        <v>0</v>
      </c>
      <c r="Z1">
        <v>0</v>
      </c>
      <c r="AA1">
        <v>0</v>
      </c>
      <c r="AB1">
        <v>272.43</v>
      </c>
      <c r="AC1">
        <v>0</v>
      </c>
      <c r="AD1">
        <v>1</v>
      </c>
      <c r="AE1">
        <v>1</v>
      </c>
      <c r="AF1" t="s">
        <v>6</v>
      </c>
      <c r="AG1">
        <v>6.32</v>
      </c>
      <c r="AH1">
        <v>2</v>
      </c>
      <c r="AI1">
        <v>74851172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2">
      <c r="A2">
        <f>ROW(Source!A232)</f>
        <v>232</v>
      </c>
      <c r="B2">
        <v>74851176</v>
      </c>
      <c r="C2">
        <v>74851171</v>
      </c>
      <c r="D2">
        <v>72527995</v>
      </c>
      <c r="E2">
        <v>114</v>
      </c>
      <c r="F2">
        <v>1</v>
      </c>
      <c r="G2">
        <v>1</v>
      </c>
      <c r="H2">
        <v>1</v>
      </c>
      <c r="I2" t="s">
        <v>261</v>
      </c>
      <c r="J2" t="s">
        <v>6</v>
      </c>
      <c r="K2" t="s">
        <v>262</v>
      </c>
      <c r="L2">
        <v>1191</v>
      </c>
      <c r="N2">
        <v>1013</v>
      </c>
      <c r="O2" t="s">
        <v>260</v>
      </c>
      <c r="P2" t="s">
        <v>260</v>
      </c>
      <c r="Q2">
        <v>1</v>
      </c>
      <c r="X2">
        <v>0.03</v>
      </c>
      <c r="Y2">
        <v>0</v>
      </c>
      <c r="Z2">
        <v>0</v>
      </c>
      <c r="AA2">
        <v>0</v>
      </c>
      <c r="AB2">
        <v>0</v>
      </c>
      <c r="AC2">
        <v>0</v>
      </c>
      <c r="AD2">
        <v>1</v>
      </c>
      <c r="AE2">
        <v>2</v>
      </c>
      <c r="AF2" t="s">
        <v>6</v>
      </c>
      <c r="AG2">
        <v>0.03</v>
      </c>
      <c r="AH2">
        <v>2</v>
      </c>
      <c r="AI2">
        <v>74851173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2">
      <c r="A3">
        <f>ROW(Source!A232)</f>
        <v>232</v>
      </c>
      <c r="B3">
        <v>74851177</v>
      </c>
      <c r="C3">
        <v>74851171</v>
      </c>
      <c r="D3">
        <v>72652626</v>
      </c>
      <c r="E3">
        <v>1</v>
      </c>
      <c r="F3">
        <v>1</v>
      </c>
      <c r="G3">
        <v>1</v>
      </c>
      <c r="H3">
        <v>2</v>
      </c>
      <c r="I3" t="s">
        <v>263</v>
      </c>
      <c r="J3" t="s">
        <v>264</v>
      </c>
      <c r="K3" t="s">
        <v>265</v>
      </c>
      <c r="L3">
        <v>1368</v>
      </c>
      <c r="N3">
        <v>1011</v>
      </c>
      <c r="O3" t="s">
        <v>266</v>
      </c>
      <c r="P3" t="s">
        <v>266</v>
      </c>
      <c r="Q3">
        <v>1</v>
      </c>
      <c r="X3">
        <v>0.03</v>
      </c>
      <c r="Y3">
        <v>0</v>
      </c>
      <c r="Z3">
        <v>37.32</v>
      </c>
      <c r="AA3">
        <v>297.43</v>
      </c>
      <c r="AB3">
        <v>0</v>
      </c>
      <c r="AC3">
        <v>0</v>
      </c>
      <c r="AD3">
        <v>1</v>
      </c>
      <c r="AE3">
        <v>0</v>
      </c>
      <c r="AF3" t="s">
        <v>6</v>
      </c>
      <c r="AG3">
        <v>0.03</v>
      </c>
      <c r="AH3">
        <v>2</v>
      </c>
      <c r="AI3">
        <v>74851174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 x14ac:dyDescent="0.2">
      <c r="A4">
        <f>ROW(Source!A233)</f>
        <v>233</v>
      </c>
      <c r="B4">
        <v>74851184</v>
      </c>
      <c r="C4">
        <v>74851178</v>
      </c>
      <c r="D4">
        <v>72527951</v>
      </c>
      <c r="E4">
        <v>114</v>
      </c>
      <c r="F4">
        <v>1</v>
      </c>
      <c r="G4">
        <v>1</v>
      </c>
      <c r="H4">
        <v>1</v>
      </c>
      <c r="I4" t="s">
        <v>268</v>
      </c>
      <c r="J4" t="s">
        <v>6</v>
      </c>
      <c r="K4" t="s">
        <v>269</v>
      </c>
      <c r="L4">
        <v>1369</v>
      </c>
      <c r="N4">
        <v>1013</v>
      </c>
      <c r="O4" t="s">
        <v>270</v>
      </c>
      <c r="P4" t="s">
        <v>270</v>
      </c>
      <c r="Q4">
        <v>1</v>
      </c>
      <c r="X4">
        <v>0.41</v>
      </c>
      <c r="Y4">
        <v>0</v>
      </c>
      <c r="Z4">
        <v>0</v>
      </c>
      <c r="AA4">
        <v>0</v>
      </c>
      <c r="AB4">
        <v>249.94</v>
      </c>
      <c r="AC4">
        <v>0</v>
      </c>
      <c r="AD4">
        <v>1</v>
      </c>
      <c r="AE4">
        <v>1</v>
      </c>
      <c r="AF4" t="s">
        <v>102</v>
      </c>
      <c r="AG4">
        <v>0.43049999999999999</v>
      </c>
      <c r="AH4">
        <v>2</v>
      </c>
      <c r="AI4">
        <v>74851179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2">
      <c r="A5">
        <f>ROW(Source!A233)</f>
        <v>233</v>
      </c>
      <c r="B5">
        <v>74851185</v>
      </c>
      <c r="C5">
        <v>74851178</v>
      </c>
      <c r="D5">
        <v>72527961</v>
      </c>
      <c r="E5">
        <v>114</v>
      </c>
      <c r="F5">
        <v>1</v>
      </c>
      <c r="G5">
        <v>1</v>
      </c>
      <c r="H5">
        <v>1</v>
      </c>
      <c r="I5" t="s">
        <v>271</v>
      </c>
      <c r="J5" t="s">
        <v>6</v>
      </c>
      <c r="K5" t="s">
        <v>272</v>
      </c>
      <c r="L5">
        <v>1369</v>
      </c>
      <c r="N5">
        <v>1013</v>
      </c>
      <c r="O5" t="s">
        <v>270</v>
      </c>
      <c r="P5" t="s">
        <v>270</v>
      </c>
      <c r="Q5">
        <v>1</v>
      </c>
      <c r="X5">
        <v>19.16</v>
      </c>
      <c r="Y5">
        <v>0</v>
      </c>
      <c r="Z5">
        <v>0</v>
      </c>
      <c r="AA5">
        <v>0</v>
      </c>
      <c r="AB5">
        <v>334.92</v>
      </c>
      <c r="AC5">
        <v>0</v>
      </c>
      <c r="AD5">
        <v>1</v>
      </c>
      <c r="AE5">
        <v>1</v>
      </c>
      <c r="AF5" t="s">
        <v>102</v>
      </c>
      <c r="AG5">
        <v>20.118000000000002</v>
      </c>
      <c r="AH5">
        <v>2</v>
      </c>
      <c r="AI5">
        <v>74851180</v>
      </c>
      <c r="AJ5">
        <v>5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2">
      <c r="A6">
        <f>ROW(Source!A233)</f>
        <v>233</v>
      </c>
      <c r="B6">
        <v>74851186</v>
      </c>
      <c r="C6">
        <v>74851178</v>
      </c>
      <c r="D6">
        <v>72527995</v>
      </c>
      <c r="E6">
        <v>114</v>
      </c>
      <c r="F6">
        <v>1</v>
      </c>
      <c r="G6">
        <v>1</v>
      </c>
      <c r="H6">
        <v>1</v>
      </c>
      <c r="I6" t="s">
        <v>261</v>
      </c>
      <c r="J6" t="s">
        <v>6</v>
      </c>
      <c r="K6" t="s">
        <v>262</v>
      </c>
      <c r="L6">
        <v>1191</v>
      </c>
      <c r="N6">
        <v>1013</v>
      </c>
      <c r="O6" t="s">
        <v>260</v>
      </c>
      <c r="P6" t="s">
        <v>260</v>
      </c>
      <c r="Q6">
        <v>1</v>
      </c>
      <c r="X6">
        <v>0.28000000000000003</v>
      </c>
      <c r="Y6">
        <v>0</v>
      </c>
      <c r="Z6">
        <v>0</v>
      </c>
      <c r="AA6">
        <v>0</v>
      </c>
      <c r="AB6">
        <v>0</v>
      </c>
      <c r="AC6">
        <v>0</v>
      </c>
      <c r="AD6">
        <v>1</v>
      </c>
      <c r="AE6">
        <v>2</v>
      </c>
      <c r="AF6" t="s">
        <v>6</v>
      </c>
      <c r="AG6">
        <v>0.28000000000000003</v>
      </c>
      <c r="AH6">
        <v>2</v>
      </c>
      <c r="AI6">
        <v>74851181</v>
      </c>
      <c r="AJ6">
        <v>6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 x14ac:dyDescent="0.2">
      <c r="A7">
        <f>ROW(Source!A233)</f>
        <v>233</v>
      </c>
      <c r="B7">
        <v>74851187</v>
      </c>
      <c r="C7">
        <v>74851178</v>
      </c>
      <c r="D7">
        <v>72653331</v>
      </c>
      <c r="E7">
        <v>1</v>
      </c>
      <c r="F7">
        <v>1</v>
      </c>
      <c r="G7">
        <v>1</v>
      </c>
      <c r="H7">
        <v>2</v>
      </c>
      <c r="I7" t="s">
        <v>273</v>
      </c>
      <c r="J7" t="s">
        <v>274</v>
      </c>
      <c r="K7" t="s">
        <v>275</v>
      </c>
      <c r="L7">
        <v>1368</v>
      </c>
      <c r="N7">
        <v>1011</v>
      </c>
      <c r="O7" t="s">
        <v>266</v>
      </c>
      <c r="P7" t="s">
        <v>266</v>
      </c>
      <c r="Q7">
        <v>1</v>
      </c>
      <c r="X7">
        <v>0.28000000000000003</v>
      </c>
      <c r="Y7">
        <v>0</v>
      </c>
      <c r="Z7">
        <v>611</v>
      </c>
      <c r="AA7">
        <v>334.92</v>
      </c>
      <c r="AB7">
        <v>0</v>
      </c>
      <c r="AC7">
        <v>0</v>
      </c>
      <c r="AD7">
        <v>1</v>
      </c>
      <c r="AE7">
        <v>0</v>
      </c>
      <c r="AF7" t="s">
        <v>6</v>
      </c>
      <c r="AG7">
        <v>0.28000000000000003</v>
      </c>
      <c r="AH7">
        <v>2</v>
      </c>
      <c r="AI7">
        <v>74851182</v>
      </c>
      <c r="AJ7">
        <v>7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2">
      <c r="A8">
        <f>ROW(Source!A233)</f>
        <v>233</v>
      </c>
      <c r="B8">
        <v>74851188</v>
      </c>
      <c r="C8">
        <v>74851178</v>
      </c>
      <c r="D8">
        <v>72533686</v>
      </c>
      <c r="E8">
        <v>114</v>
      </c>
      <c r="F8">
        <v>1</v>
      </c>
      <c r="G8">
        <v>1</v>
      </c>
      <c r="H8">
        <v>3</v>
      </c>
      <c r="I8" t="s">
        <v>110</v>
      </c>
      <c r="J8" t="s">
        <v>6</v>
      </c>
      <c r="K8" t="s">
        <v>111</v>
      </c>
      <c r="L8">
        <v>3277935</v>
      </c>
      <c r="N8">
        <v>1013</v>
      </c>
      <c r="O8" t="s">
        <v>112</v>
      </c>
      <c r="P8" t="s">
        <v>112</v>
      </c>
      <c r="Q8">
        <v>1</v>
      </c>
      <c r="X8">
        <v>2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 t="s">
        <v>6</v>
      </c>
      <c r="AG8">
        <v>2</v>
      </c>
      <c r="AH8">
        <v>2</v>
      </c>
      <c r="AI8">
        <v>74851183</v>
      </c>
      <c r="AJ8">
        <v>8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 x14ac:dyDescent="0.2">
      <c r="A9">
        <f>ROW(Source!A236)</f>
        <v>236</v>
      </c>
      <c r="B9">
        <v>74851193</v>
      </c>
      <c r="C9">
        <v>74851191</v>
      </c>
      <c r="D9">
        <v>72527810</v>
      </c>
      <c r="E9">
        <v>114</v>
      </c>
      <c r="F9">
        <v>1</v>
      </c>
      <c r="G9">
        <v>1</v>
      </c>
      <c r="H9">
        <v>1</v>
      </c>
      <c r="I9" t="s">
        <v>277</v>
      </c>
      <c r="J9" t="s">
        <v>6</v>
      </c>
      <c r="K9" t="s">
        <v>278</v>
      </c>
      <c r="L9">
        <v>1191</v>
      </c>
      <c r="N9">
        <v>1013</v>
      </c>
      <c r="O9" t="s">
        <v>260</v>
      </c>
      <c r="P9" t="s">
        <v>260</v>
      </c>
      <c r="Q9">
        <v>1</v>
      </c>
      <c r="X9">
        <v>24.1</v>
      </c>
      <c r="Y9">
        <v>0</v>
      </c>
      <c r="Z9">
        <v>0</v>
      </c>
      <c r="AA9">
        <v>0</v>
      </c>
      <c r="AB9">
        <v>316.17</v>
      </c>
      <c r="AC9">
        <v>0</v>
      </c>
      <c r="AD9">
        <v>1</v>
      </c>
      <c r="AE9">
        <v>1</v>
      </c>
      <c r="AF9" t="s">
        <v>6</v>
      </c>
      <c r="AG9">
        <v>24.1</v>
      </c>
      <c r="AH9">
        <v>2</v>
      </c>
      <c r="AI9">
        <v>74851192</v>
      </c>
      <c r="AJ9">
        <v>9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 x14ac:dyDescent="0.2">
      <c r="A10">
        <f>ROW(Source!A236)</f>
        <v>236</v>
      </c>
      <c r="B10">
        <v>74851194</v>
      </c>
      <c r="C10">
        <v>74851191</v>
      </c>
      <c r="D10">
        <v>72532679</v>
      </c>
      <c r="E10">
        <v>114</v>
      </c>
      <c r="F10">
        <v>1</v>
      </c>
      <c r="G10">
        <v>1</v>
      </c>
      <c r="H10">
        <v>3</v>
      </c>
      <c r="I10" t="s">
        <v>320</v>
      </c>
      <c r="J10" t="s">
        <v>6</v>
      </c>
      <c r="K10" t="s">
        <v>321</v>
      </c>
      <c r="L10">
        <v>1371</v>
      </c>
      <c r="N10">
        <v>1013</v>
      </c>
      <c r="O10" t="s">
        <v>118</v>
      </c>
      <c r="P10" t="s">
        <v>118</v>
      </c>
      <c r="Q10">
        <v>1</v>
      </c>
      <c r="X10">
        <v>100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 t="s">
        <v>6</v>
      </c>
      <c r="AG10">
        <v>100</v>
      </c>
      <c r="AH10">
        <v>3</v>
      </c>
      <c r="AI10">
        <v>-1</v>
      </c>
      <c r="AJ10" t="s">
        <v>6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 x14ac:dyDescent="0.2">
      <c r="A11">
        <f>ROW(Source!A241)</f>
        <v>241</v>
      </c>
      <c r="B11">
        <v>74851203</v>
      </c>
      <c r="C11">
        <v>74851199</v>
      </c>
      <c r="D11">
        <v>72527812</v>
      </c>
      <c r="E11">
        <v>114</v>
      </c>
      <c r="F11">
        <v>1</v>
      </c>
      <c r="G11">
        <v>1</v>
      </c>
      <c r="H11">
        <v>1</v>
      </c>
      <c r="I11" t="s">
        <v>279</v>
      </c>
      <c r="J11" t="s">
        <v>6</v>
      </c>
      <c r="K11" t="s">
        <v>280</v>
      </c>
      <c r="L11">
        <v>1191</v>
      </c>
      <c r="N11">
        <v>1013</v>
      </c>
      <c r="O11" t="s">
        <v>260</v>
      </c>
      <c r="P11" t="s">
        <v>260</v>
      </c>
      <c r="Q11">
        <v>1</v>
      </c>
      <c r="X11">
        <v>14</v>
      </c>
      <c r="Y11">
        <v>0</v>
      </c>
      <c r="Z11">
        <v>0</v>
      </c>
      <c r="AA11">
        <v>0</v>
      </c>
      <c r="AB11">
        <v>319.92</v>
      </c>
      <c r="AC11">
        <v>0</v>
      </c>
      <c r="AD11">
        <v>1</v>
      </c>
      <c r="AE11">
        <v>1</v>
      </c>
      <c r="AF11" t="s">
        <v>6</v>
      </c>
      <c r="AG11">
        <v>14</v>
      </c>
      <c r="AH11">
        <v>2</v>
      </c>
      <c r="AI11">
        <v>74851200</v>
      </c>
      <c r="AJ11">
        <v>10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 x14ac:dyDescent="0.2">
      <c r="A12">
        <f>ROW(Source!A241)</f>
        <v>241</v>
      </c>
      <c r="B12">
        <v>74851204</v>
      </c>
      <c r="C12">
        <v>74851199</v>
      </c>
      <c r="D12">
        <v>72653546</v>
      </c>
      <c r="E12">
        <v>1</v>
      </c>
      <c r="F12">
        <v>1</v>
      </c>
      <c r="G12">
        <v>1</v>
      </c>
      <c r="H12">
        <v>2</v>
      </c>
      <c r="I12" t="s">
        <v>281</v>
      </c>
      <c r="J12" t="s">
        <v>282</v>
      </c>
      <c r="K12" t="s">
        <v>283</v>
      </c>
      <c r="L12">
        <v>1368</v>
      </c>
      <c r="N12">
        <v>1011</v>
      </c>
      <c r="O12" t="s">
        <v>266</v>
      </c>
      <c r="P12" t="s">
        <v>266</v>
      </c>
      <c r="Q12">
        <v>1</v>
      </c>
      <c r="X12">
        <v>4.0599999999999996</v>
      </c>
      <c r="Y12">
        <v>0</v>
      </c>
      <c r="Z12">
        <v>115.43</v>
      </c>
      <c r="AA12">
        <v>0</v>
      </c>
      <c r="AB12">
        <v>0</v>
      </c>
      <c r="AC12">
        <v>0</v>
      </c>
      <c r="AD12">
        <v>1</v>
      </c>
      <c r="AE12">
        <v>0</v>
      </c>
      <c r="AF12" t="s">
        <v>6</v>
      </c>
      <c r="AG12">
        <v>4.0599999999999996</v>
      </c>
      <c r="AH12">
        <v>2</v>
      </c>
      <c r="AI12">
        <v>74851201</v>
      </c>
      <c r="AJ12">
        <v>11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2">
      <c r="A13">
        <f>ROW(Source!A241)</f>
        <v>241</v>
      </c>
      <c r="B13">
        <v>74851205</v>
      </c>
      <c r="C13">
        <v>74851199</v>
      </c>
      <c r="D13">
        <v>72653934</v>
      </c>
      <c r="E13">
        <v>1</v>
      </c>
      <c r="F13">
        <v>1</v>
      </c>
      <c r="G13">
        <v>1</v>
      </c>
      <c r="H13">
        <v>2</v>
      </c>
      <c r="I13" t="s">
        <v>284</v>
      </c>
      <c r="J13" t="s">
        <v>285</v>
      </c>
      <c r="K13" t="s">
        <v>286</v>
      </c>
      <c r="L13">
        <v>1368</v>
      </c>
      <c r="N13">
        <v>1011</v>
      </c>
      <c r="O13" t="s">
        <v>266</v>
      </c>
      <c r="P13" t="s">
        <v>266</v>
      </c>
      <c r="Q13">
        <v>1</v>
      </c>
      <c r="X13">
        <v>8.1199999999999992</v>
      </c>
      <c r="Y13">
        <v>0</v>
      </c>
      <c r="Z13">
        <v>2.92</v>
      </c>
      <c r="AA13">
        <v>0</v>
      </c>
      <c r="AB13">
        <v>0</v>
      </c>
      <c r="AC13">
        <v>0</v>
      </c>
      <c r="AD13">
        <v>1</v>
      </c>
      <c r="AE13">
        <v>0</v>
      </c>
      <c r="AF13" t="s">
        <v>6</v>
      </c>
      <c r="AG13">
        <v>8.1199999999999992</v>
      </c>
      <c r="AH13">
        <v>2</v>
      </c>
      <c r="AI13">
        <v>74851202</v>
      </c>
      <c r="AJ13">
        <v>12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  <row r="14" spans="1:44" x14ac:dyDescent="0.2">
      <c r="A14">
        <f>ROW(Source!A242)</f>
        <v>242</v>
      </c>
      <c r="B14">
        <v>74851215</v>
      </c>
      <c r="C14">
        <v>74851206</v>
      </c>
      <c r="D14">
        <v>72527818</v>
      </c>
      <c r="E14">
        <v>114</v>
      </c>
      <c r="F14">
        <v>1</v>
      </c>
      <c r="G14">
        <v>1</v>
      </c>
      <c r="H14">
        <v>1</v>
      </c>
      <c r="I14" t="s">
        <v>287</v>
      </c>
      <c r="J14" t="s">
        <v>6</v>
      </c>
      <c r="K14" t="s">
        <v>288</v>
      </c>
      <c r="L14">
        <v>1191</v>
      </c>
      <c r="N14">
        <v>1013</v>
      </c>
      <c r="O14" t="s">
        <v>260</v>
      </c>
      <c r="P14" t="s">
        <v>260</v>
      </c>
      <c r="Q14">
        <v>1</v>
      </c>
      <c r="X14">
        <v>16.5</v>
      </c>
      <c r="Y14">
        <v>0</v>
      </c>
      <c r="Z14">
        <v>0</v>
      </c>
      <c r="AA14">
        <v>0</v>
      </c>
      <c r="AB14">
        <v>327.42</v>
      </c>
      <c r="AC14">
        <v>0</v>
      </c>
      <c r="AD14">
        <v>1</v>
      </c>
      <c r="AE14">
        <v>1</v>
      </c>
      <c r="AF14" t="s">
        <v>6</v>
      </c>
      <c r="AG14">
        <v>16.5</v>
      </c>
      <c r="AH14">
        <v>2</v>
      </c>
      <c r="AI14">
        <v>74851207</v>
      </c>
      <c r="AJ14">
        <v>13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 x14ac:dyDescent="0.2">
      <c r="A15">
        <f>ROW(Source!A242)</f>
        <v>242</v>
      </c>
      <c r="B15">
        <v>74851216</v>
      </c>
      <c r="C15">
        <v>74851206</v>
      </c>
      <c r="D15">
        <v>72527995</v>
      </c>
      <c r="E15">
        <v>114</v>
      </c>
      <c r="F15">
        <v>1</v>
      </c>
      <c r="G15">
        <v>1</v>
      </c>
      <c r="H15">
        <v>1</v>
      </c>
      <c r="I15" t="s">
        <v>261</v>
      </c>
      <c r="J15" t="s">
        <v>6</v>
      </c>
      <c r="K15" t="s">
        <v>262</v>
      </c>
      <c r="L15">
        <v>1191</v>
      </c>
      <c r="N15">
        <v>1013</v>
      </c>
      <c r="O15" t="s">
        <v>260</v>
      </c>
      <c r="P15" t="s">
        <v>260</v>
      </c>
      <c r="Q15">
        <v>1</v>
      </c>
      <c r="X15">
        <v>0.04</v>
      </c>
      <c r="Y15">
        <v>0</v>
      </c>
      <c r="Z15">
        <v>0</v>
      </c>
      <c r="AA15">
        <v>0</v>
      </c>
      <c r="AB15">
        <v>0</v>
      </c>
      <c r="AC15">
        <v>0</v>
      </c>
      <c r="AD15">
        <v>1</v>
      </c>
      <c r="AE15">
        <v>2</v>
      </c>
      <c r="AF15" t="s">
        <v>6</v>
      </c>
      <c r="AG15">
        <v>0.04</v>
      </c>
      <c r="AH15">
        <v>2</v>
      </c>
      <c r="AI15">
        <v>74851208</v>
      </c>
      <c r="AJ15">
        <v>14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 x14ac:dyDescent="0.2">
      <c r="A16">
        <f>ROW(Source!A242)</f>
        <v>242</v>
      </c>
      <c r="B16">
        <v>74851217</v>
      </c>
      <c r="C16">
        <v>74851206</v>
      </c>
      <c r="D16">
        <v>72652440</v>
      </c>
      <c r="E16">
        <v>1</v>
      </c>
      <c r="F16">
        <v>1</v>
      </c>
      <c r="G16">
        <v>1</v>
      </c>
      <c r="H16">
        <v>2</v>
      </c>
      <c r="I16" t="s">
        <v>289</v>
      </c>
      <c r="J16" t="s">
        <v>290</v>
      </c>
      <c r="K16" t="s">
        <v>291</v>
      </c>
      <c r="L16">
        <v>1368</v>
      </c>
      <c r="N16">
        <v>1011</v>
      </c>
      <c r="O16" t="s">
        <v>266</v>
      </c>
      <c r="P16" t="s">
        <v>266</v>
      </c>
      <c r="Q16">
        <v>1</v>
      </c>
      <c r="X16">
        <v>0.02</v>
      </c>
      <c r="Y16">
        <v>0</v>
      </c>
      <c r="Z16">
        <v>1624.76</v>
      </c>
      <c r="AA16">
        <v>449.89</v>
      </c>
      <c r="AB16">
        <v>0</v>
      </c>
      <c r="AC16">
        <v>0</v>
      </c>
      <c r="AD16">
        <v>1</v>
      </c>
      <c r="AE16">
        <v>0</v>
      </c>
      <c r="AF16" t="s">
        <v>6</v>
      </c>
      <c r="AG16">
        <v>0.02</v>
      </c>
      <c r="AH16">
        <v>2</v>
      </c>
      <c r="AI16">
        <v>74851209</v>
      </c>
      <c r="AJ16">
        <v>15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 x14ac:dyDescent="0.2">
      <c r="A17">
        <f>ROW(Source!A242)</f>
        <v>242</v>
      </c>
      <c r="B17">
        <v>74851218</v>
      </c>
      <c r="C17">
        <v>74851206</v>
      </c>
      <c r="D17">
        <v>72653331</v>
      </c>
      <c r="E17">
        <v>1</v>
      </c>
      <c r="F17">
        <v>1</v>
      </c>
      <c r="G17">
        <v>1</v>
      </c>
      <c r="H17">
        <v>2</v>
      </c>
      <c r="I17" t="s">
        <v>273</v>
      </c>
      <c r="J17" t="s">
        <v>274</v>
      </c>
      <c r="K17" t="s">
        <v>275</v>
      </c>
      <c r="L17">
        <v>1368</v>
      </c>
      <c r="N17">
        <v>1011</v>
      </c>
      <c r="O17" t="s">
        <v>266</v>
      </c>
      <c r="P17" t="s">
        <v>266</v>
      </c>
      <c r="Q17">
        <v>1</v>
      </c>
      <c r="X17">
        <v>0.02</v>
      </c>
      <c r="Y17">
        <v>0</v>
      </c>
      <c r="Z17">
        <v>611</v>
      </c>
      <c r="AA17">
        <v>334.92</v>
      </c>
      <c r="AB17">
        <v>0</v>
      </c>
      <c r="AC17">
        <v>0</v>
      </c>
      <c r="AD17">
        <v>1</v>
      </c>
      <c r="AE17">
        <v>0</v>
      </c>
      <c r="AF17" t="s">
        <v>6</v>
      </c>
      <c r="AG17">
        <v>0.02</v>
      </c>
      <c r="AH17">
        <v>2</v>
      </c>
      <c r="AI17">
        <v>74851210</v>
      </c>
      <c r="AJ17">
        <v>16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 x14ac:dyDescent="0.2">
      <c r="A18">
        <f>ROW(Source!A242)</f>
        <v>242</v>
      </c>
      <c r="B18">
        <v>74851219</v>
      </c>
      <c r="C18">
        <v>74851206</v>
      </c>
      <c r="D18">
        <v>72602917</v>
      </c>
      <c r="E18">
        <v>1</v>
      </c>
      <c r="F18">
        <v>1</v>
      </c>
      <c r="G18">
        <v>1</v>
      </c>
      <c r="H18">
        <v>3</v>
      </c>
      <c r="I18" t="s">
        <v>293</v>
      </c>
      <c r="J18" t="s">
        <v>294</v>
      </c>
      <c r="K18" t="s">
        <v>295</v>
      </c>
      <c r="L18">
        <v>1348</v>
      </c>
      <c r="N18">
        <v>1009</v>
      </c>
      <c r="O18" t="s">
        <v>296</v>
      </c>
      <c r="P18" t="s">
        <v>296</v>
      </c>
      <c r="Q18">
        <v>1000</v>
      </c>
      <c r="X18">
        <v>0.01</v>
      </c>
      <c r="Y18">
        <v>4338.2700000000004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 t="s">
        <v>6</v>
      </c>
      <c r="AG18">
        <v>0.01</v>
      </c>
      <c r="AH18">
        <v>2</v>
      </c>
      <c r="AI18">
        <v>74851211</v>
      </c>
      <c r="AJ18">
        <v>17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 x14ac:dyDescent="0.2">
      <c r="A19">
        <f>ROW(Source!A242)</f>
        <v>242</v>
      </c>
      <c r="B19">
        <v>74851220</v>
      </c>
      <c r="C19">
        <v>74851206</v>
      </c>
      <c r="D19">
        <v>72618677</v>
      </c>
      <c r="E19">
        <v>1</v>
      </c>
      <c r="F19">
        <v>1</v>
      </c>
      <c r="G19">
        <v>1</v>
      </c>
      <c r="H19">
        <v>3</v>
      </c>
      <c r="I19" t="s">
        <v>297</v>
      </c>
      <c r="J19" t="s">
        <v>298</v>
      </c>
      <c r="K19" t="s">
        <v>299</v>
      </c>
      <c r="L19">
        <v>1346</v>
      </c>
      <c r="N19">
        <v>1009</v>
      </c>
      <c r="O19" t="s">
        <v>300</v>
      </c>
      <c r="P19" t="s">
        <v>300</v>
      </c>
      <c r="Q19">
        <v>1</v>
      </c>
      <c r="X19">
        <v>0.3</v>
      </c>
      <c r="Y19">
        <v>79.88</v>
      </c>
      <c r="Z19">
        <v>0</v>
      </c>
      <c r="AA19">
        <v>0</v>
      </c>
      <c r="AB19">
        <v>0</v>
      </c>
      <c r="AC19">
        <v>0</v>
      </c>
      <c r="AD19">
        <v>1</v>
      </c>
      <c r="AE19">
        <v>0</v>
      </c>
      <c r="AF19" t="s">
        <v>6</v>
      </c>
      <c r="AG19">
        <v>0.3</v>
      </c>
      <c r="AH19">
        <v>2</v>
      </c>
      <c r="AI19">
        <v>74851212</v>
      </c>
      <c r="AJ19">
        <v>18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 x14ac:dyDescent="0.2">
      <c r="A20">
        <f>ROW(Source!A242)</f>
        <v>242</v>
      </c>
      <c r="B20">
        <v>74851221</v>
      </c>
      <c r="C20">
        <v>74851206</v>
      </c>
      <c r="D20">
        <v>72634138</v>
      </c>
      <c r="E20">
        <v>1</v>
      </c>
      <c r="F20">
        <v>1</v>
      </c>
      <c r="G20">
        <v>1</v>
      </c>
      <c r="H20">
        <v>3</v>
      </c>
      <c r="I20" t="s">
        <v>301</v>
      </c>
      <c r="J20" t="s">
        <v>302</v>
      </c>
      <c r="K20" t="s">
        <v>303</v>
      </c>
      <c r="L20">
        <v>1346</v>
      </c>
      <c r="N20">
        <v>1009</v>
      </c>
      <c r="O20" t="s">
        <v>300</v>
      </c>
      <c r="P20" t="s">
        <v>300</v>
      </c>
      <c r="Q20">
        <v>1</v>
      </c>
      <c r="X20">
        <v>0.53</v>
      </c>
      <c r="Y20">
        <v>374.6</v>
      </c>
      <c r="Z20">
        <v>0</v>
      </c>
      <c r="AA20">
        <v>0</v>
      </c>
      <c r="AB20">
        <v>0</v>
      </c>
      <c r="AC20">
        <v>0</v>
      </c>
      <c r="AD20">
        <v>1</v>
      </c>
      <c r="AE20">
        <v>0</v>
      </c>
      <c r="AF20" t="s">
        <v>6</v>
      </c>
      <c r="AG20">
        <v>0.53</v>
      </c>
      <c r="AH20">
        <v>2</v>
      </c>
      <c r="AI20">
        <v>74851213</v>
      </c>
      <c r="AJ20">
        <v>19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</row>
    <row r="21" spans="1:44" x14ac:dyDescent="0.2">
      <c r="A21">
        <f>ROW(Source!A242)</f>
        <v>242</v>
      </c>
      <c r="B21">
        <v>74851222</v>
      </c>
      <c r="C21">
        <v>74851206</v>
      </c>
      <c r="D21">
        <v>72533686</v>
      </c>
      <c r="E21">
        <v>114</v>
      </c>
      <c r="F21">
        <v>1</v>
      </c>
      <c r="G21">
        <v>1</v>
      </c>
      <c r="H21">
        <v>3</v>
      </c>
      <c r="I21" t="s">
        <v>110</v>
      </c>
      <c r="J21" t="s">
        <v>6</v>
      </c>
      <c r="K21" t="s">
        <v>111</v>
      </c>
      <c r="L21">
        <v>3277935</v>
      </c>
      <c r="N21">
        <v>1013</v>
      </c>
      <c r="O21" t="s">
        <v>112</v>
      </c>
      <c r="P21" t="s">
        <v>112</v>
      </c>
      <c r="Q21">
        <v>1</v>
      </c>
      <c r="X21">
        <v>2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 t="s">
        <v>6</v>
      </c>
      <c r="AG21">
        <v>2</v>
      </c>
      <c r="AH21">
        <v>2</v>
      </c>
      <c r="AI21">
        <v>74851214</v>
      </c>
      <c r="AJ21">
        <v>20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 x14ac:dyDescent="0.2">
      <c r="A22">
        <f>ROW(Source!A246)</f>
        <v>246</v>
      </c>
      <c r="B22">
        <v>74851234</v>
      </c>
      <c r="C22">
        <v>74851226</v>
      </c>
      <c r="D22">
        <v>72527824</v>
      </c>
      <c r="E22">
        <v>114</v>
      </c>
      <c r="F22">
        <v>1</v>
      </c>
      <c r="G22">
        <v>1</v>
      </c>
      <c r="H22">
        <v>1</v>
      </c>
      <c r="I22" t="s">
        <v>304</v>
      </c>
      <c r="J22" t="s">
        <v>6</v>
      </c>
      <c r="K22" t="s">
        <v>305</v>
      </c>
      <c r="L22">
        <v>1191</v>
      </c>
      <c r="N22">
        <v>1013</v>
      </c>
      <c r="O22" t="s">
        <v>260</v>
      </c>
      <c r="P22" t="s">
        <v>260</v>
      </c>
      <c r="Q22">
        <v>1</v>
      </c>
      <c r="X22">
        <v>1.68</v>
      </c>
      <c r="Y22">
        <v>0</v>
      </c>
      <c r="Z22">
        <v>0</v>
      </c>
      <c r="AA22">
        <v>0</v>
      </c>
      <c r="AB22">
        <v>334.92</v>
      </c>
      <c r="AC22">
        <v>0</v>
      </c>
      <c r="AD22">
        <v>1</v>
      </c>
      <c r="AE22">
        <v>1</v>
      </c>
      <c r="AF22" t="s">
        <v>170</v>
      </c>
      <c r="AG22">
        <v>1.008</v>
      </c>
      <c r="AH22">
        <v>2</v>
      </c>
      <c r="AI22">
        <v>74851227</v>
      </c>
      <c r="AJ22">
        <v>21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 x14ac:dyDescent="0.2">
      <c r="A23">
        <f>ROW(Source!A246)</f>
        <v>246</v>
      </c>
      <c r="B23">
        <v>74851235</v>
      </c>
      <c r="C23">
        <v>74851226</v>
      </c>
      <c r="D23">
        <v>72597535</v>
      </c>
      <c r="E23">
        <v>1</v>
      </c>
      <c r="F23">
        <v>1</v>
      </c>
      <c r="G23">
        <v>1</v>
      </c>
      <c r="H23">
        <v>3</v>
      </c>
      <c r="I23" t="s">
        <v>306</v>
      </c>
      <c r="J23" t="s">
        <v>307</v>
      </c>
      <c r="K23" t="s">
        <v>308</v>
      </c>
      <c r="L23">
        <v>1346</v>
      </c>
      <c r="N23">
        <v>1009</v>
      </c>
      <c r="O23" t="s">
        <v>300</v>
      </c>
      <c r="P23" t="s">
        <v>300</v>
      </c>
      <c r="Q23">
        <v>1</v>
      </c>
      <c r="X23">
        <v>5.0000000000000001E-4</v>
      </c>
      <c r="Y23">
        <v>284.14999999999998</v>
      </c>
      <c r="Z23">
        <v>0</v>
      </c>
      <c r="AA23">
        <v>0</v>
      </c>
      <c r="AB23">
        <v>0</v>
      </c>
      <c r="AC23">
        <v>0</v>
      </c>
      <c r="AD23">
        <v>1</v>
      </c>
      <c r="AE23">
        <v>0</v>
      </c>
      <c r="AF23" t="s">
        <v>169</v>
      </c>
      <c r="AG23">
        <v>0</v>
      </c>
      <c r="AH23">
        <v>2</v>
      </c>
      <c r="AI23">
        <v>74851228</v>
      </c>
      <c r="AJ23">
        <v>22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</row>
    <row r="24" spans="1:44" x14ac:dyDescent="0.2">
      <c r="A24">
        <f>ROW(Source!A246)</f>
        <v>246</v>
      </c>
      <c r="B24">
        <v>74851236</v>
      </c>
      <c r="C24">
        <v>74851226</v>
      </c>
      <c r="D24">
        <v>72599529</v>
      </c>
      <c r="E24">
        <v>1</v>
      </c>
      <c r="F24">
        <v>1</v>
      </c>
      <c r="G24">
        <v>1</v>
      </c>
      <c r="H24">
        <v>3</v>
      </c>
      <c r="I24" t="s">
        <v>310</v>
      </c>
      <c r="J24" t="s">
        <v>311</v>
      </c>
      <c r="K24" t="s">
        <v>312</v>
      </c>
      <c r="L24">
        <v>1383</v>
      </c>
      <c r="N24">
        <v>1013</v>
      </c>
      <c r="O24" t="s">
        <v>313</v>
      </c>
      <c r="P24" t="s">
        <v>313</v>
      </c>
      <c r="Q24">
        <v>1</v>
      </c>
      <c r="X24">
        <v>8.3199999999999996E-2</v>
      </c>
      <c r="Y24">
        <v>7.94</v>
      </c>
      <c r="Z24">
        <v>0</v>
      </c>
      <c r="AA24">
        <v>0</v>
      </c>
      <c r="AB24">
        <v>0</v>
      </c>
      <c r="AC24">
        <v>0</v>
      </c>
      <c r="AD24">
        <v>1</v>
      </c>
      <c r="AE24">
        <v>0</v>
      </c>
      <c r="AF24" t="s">
        <v>169</v>
      </c>
      <c r="AG24">
        <v>0</v>
      </c>
      <c r="AH24">
        <v>2</v>
      </c>
      <c r="AI24">
        <v>74851229</v>
      </c>
      <c r="AJ24">
        <v>23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</row>
    <row r="25" spans="1:44" x14ac:dyDescent="0.2">
      <c r="A25">
        <f>ROW(Source!A246)</f>
        <v>246</v>
      </c>
      <c r="B25">
        <v>74851237</v>
      </c>
      <c r="C25">
        <v>74851226</v>
      </c>
      <c r="D25">
        <v>72601073</v>
      </c>
      <c r="E25">
        <v>1</v>
      </c>
      <c r="F25">
        <v>1</v>
      </c>
      <c r="G25">
        <v>1</v>
      </c>
      <c r="H25">
        <v>3</v>
      </c>
      <c r="I25" t="s">
        <v>314</v>
      </c>
      <c r="J25" t="s">
        <v>315</v>
      </c>
      <c r="K25" t="s">
        <v>316</v>
      </c>
      <c r="L25">
        <v>1425</v>
      </c>
      <c r="N25">
        <v>1013</v>
      </c>
      <c r="O25" t="s">
        <v>91</v>
      </c>
      <c r="P25" t="s">
        <v>91</v>
      </c>
      <c r="Q25">
        <v>1</v>
      </c>
      <c r="X25">
        <v>2.5000000000000001E-2</v>
      </c>
      <c r="Y25">
        <v>978.09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0</v>
      </c>
      <c r="AF25" t="s">
        <v>169</v>
      </c>
      <c r="AG25">
        <v>0</v>
      </c>
      <c r="AH25">
        <v>2</v>
      </c>
      <c r="AI25">
        <v>74851230</v>
      </c>
      <c r="AJ25">
        <v>24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</row>
    <row r="26" spans="1:44" x14ac:dyDescent="0.2">
      <c r="A26">
        <f>ROW(Source!A246)</f>
        <v>246</v>
      </c>
      <c r="B26">
        <v>74851238</v>
      </c>
      <c r="C26">
        <v>74851226</v>
      </c>
      <c r="D26">
        <v>72602917</v>
      </c>
      <c r="E26">
        <v>1</v>
      </c>
      <c r="F26">
        <v>1</v>
      </c>
      <c r="G26">
        <v>1</v>
      </c>
      <c r="H26">
        <v>3</v>
      </c>
      <c r="I26" t="s">
        <v>293</v>
      </c>
      <c r="J26" t="s">
        <v>294</v>
      </c>
      <c r="K26" t="s">
        <v>295</v>
      </c>
      <c r="L26">
        <v>1348</v>
      </c>
      <c r="N26">
        <v>1009</v>
      </c>
      <c r="O26" t="s">
        <v>296</v>
      </c>
      <c r="P26" t="s">
        <v>296</v>
      </c>
      <c r="Q26">
        <v>1000</v>
      </c>
      <c r="X26">
        <v>1.0000000000000001E-5</v>
      </c>
      <c r="Y26">
        <v>4338.2700000000004</v>
      </c>
      <c r="Z26">
        <v>0</v>
      </c>
      <c r="AA26">
        <v>0</v>
      </c>
      <c r="AB26">
        <v>0</v>
      </c>
      <c r="AC26">
        <v>0</v>
      </c>
      <c r="AD26">
        <v>1</v>
      </c>
      <c r="AE26">
        <v>0</v>
      </c>
      <c r="AF26" t="s">
        <v>169</v>
      </c>
      <c r="AG26">
        <v>0</v>
      </c>
      <c r="AH26">
        <v>2</v>
      </c>
      <c r="AI26">
        <v>74851231</v>
      </c>
      <c r="AJ26">
        <v>25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</row>
    <row r="27" spans="1:44" x14ac:dyDescent="0.2">
      <c r="A27">
        <f>ROW(Source!A246)</f>
        <v>246</v>
      </c>
      <c r="B27">
        <v>74851239</v>
      </c>
      <c r="C27">
        <v>74851226</v>
      </c>
      <c r="D27">
        <v>72610471</v>
      </c>
      <c r="E27">
        <v>1</v>
      </c>
      <c r="F27">
        <v>1</v>
      </c>
      <c r="G27">
        <v>1</v>
      </c>
      <c r="H27">
        <v>3</v>
      </c>
      <c r="I27" t="s">
        <v>317</v>
      </c>
      <c r="J27" t="s">
        <v>318</v>
      </c>
      <c r="K27" t="s">
        <v>319</v>
      </c>
      <c r="L27">
        <v>1346</v>
      </c>
      <c r="N27">
        <v>1009</v>
      </c>
      <c r="O27" t="s">
        <v>300</v>
      </c>
      <c r="P27" t="s">
        <v>300</v>
      </c>
      <c r="Q27">
        <v>1</v>
      </c>
      <c r="X27">
        <v>0.01</v>
      </c>
      <c r="Y27">
        <v>899.56</v>
      </c>
      <c r="Z27">
        <v>0</v>
      </c>
      <c r="AA27">
        <v>0</v>
      </c>
      <c r="AB27">
        <v>0</v>
      </c>
      <c r="AC27">
        <v>0</v>
      </c>
      <c r="AD27">
        <v>1</v>
      </c>
      <c r="AE27">
        <v>0</v>
      </c>
      <c r="AF27" t="s">
        <v>169</v>
      </c>
      <c r="AG27">
        <v>0</v>
      </c>
      <c r="AH27">
        <v>2</v>
      </c>
      <c r="AI27">
        <v>74851232</v>
      </c>
      <c r="AJ27">
        <v>26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</row>
    <row r="28" spans="1:44" x14ac:dyDescent="0.2">
      <c r="A28">
        <f>ROW(Source!A246)</f>
        <v>246</v>
      </c>
      <c r="B28">
        <v>74851240</v>
      </c>
      <c r="C28">
        <v>74851226</v>
      </c>
      <c r="D28">
        <v>72533686</v>
      </c>
      <c r="E28">
        <v>114</v>
      </c>
      <c r="F28">
        <v>1</v>
      </c>
      <c r="G28">
        <v>1</v>
      </c>
      <c r="H28">
        <v>3</v>
      </c>
      <c r="I28" t="s">
        <v>110</v>
      </c>
      <c r="J28" t="s">
        <v>6</v>
      </c>
      <c r="K28" t="s">
        <v>111</v>
      </c>
      <c r="L28">
        <v>3277935</v>
      </c>
      <c r="N28">
        <v>1013</v>
      </c>
      <c r="O28" t="s">
        <v>112</v>
      </c>
      <c r="P28" t="s">
        <v>112</v>
      </c>
      <c r="Q28">
        <v>1</v>
      </c>
      <c r="X28">
        <v>2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 t="s">
        <v>169</v>
      </c>
      <c r="AG28">
        <v>0</v>
      </c>
      <c r="AH28">
        <v>2</v>
      </c>
      <c r="AI28">
        <v>74851233</v>
      </c>
      <c r="AJ28">
        <v>27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</row>
    <row r="29" spans="1:44" x14ac:dyDescent="0.2">
      <c r="A29">
        <f>ROW(Source!A248)</f>
        <v>248</v>
      </c>
      <c r="B29">
        <v>74851250</v>
      </c>
      <c r="C29">
        <v>74851242</v>
      </c>
      <c r="D29">
        <v>72527824</v>
      </c>
      <c r="E29">
        <v>114</v>
      </c>
      <c r="F29">
        <v>1</v>
      </c>
      <c r="G29">
        <v>1</v>
      </c>
      <c r="H29">
        <v>1</v>
      </c>
      <c r="I29" t="s">
        <v>304</v>
      </c>
      <c r="J29" t="s">
        <v>6</v>
      </c>
      <c r="K29" t="s">
        <v>305</v>
      </c>
      <c r="L29">
        <v>1191</v>
      </c>
      <c r="N29">
        <v>1013</v>
      </c>
      <c r="O29" t="s">
        <v>260</v>
      </c>
      <c r="P29" t="s">
        <v>260</v>
      </c>
      <c r="Q29">
        <v>1</v>
      </c>
      <c r="X29">
        <v>1.68</v>
      </c>
      <c r="Y29">
        <v>0</v>
      </c>
      <c r="Z29">
        <v>0</v>
      </c>
      <c r="AA29">
        <v>0</v>
      </c>
      <c r="AB29">
        <v>334.92</v>
      </c>
      <c r="AC29">
        <v>0</v>
      </c>
      <c r="AD29">
        <v>1</v>
      </c>
      <c r="AE29">
        <v>1</v>
      </c>
      <c r="AF29" t="s">
        <v>6</v>
      </c>
      <c r="AG29">
        <v>1.68</v>
      </c>
      <c r="AH29">
        <v>2</v>
      </c>
      <c r="AI29">
        <v>74851243</v>
      </c>
      <c r="AJ29">
        <v>28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</row>
    <row r="30" spans="1:44" x14ac:dyDescent="0.2">
      <c r="A30">
        <f>ROW(Source!A248)</f>
        <v>248</v>
      </c>
      <c r="B30">
        <v>74851251</v>
      </c>
      <c r="C30">
        <v>74851242</v>
      </c>
      <c r="D30">
        <v>72597535</v>
      </c>
      <c r="E30">
        <v>1</v>
      </c>
      <c r="F30">
        <v>1</v>
      </c>
      <c r="G30">
        <v>1</v>
      </c>
      <c r="H30">
        <v>3</v>
      </c>
      <c r="I30" t="s">
        <v>306</v>
      </c>
      <c r="J30" t="s">
        <v>307</v>
      </c>
      <c r="K30" t="s">
        <v>308</v>
      </c>
      <c r="L30">
        <v>1346</v>
      </c>
      <c r="N30">
        <v>1009</v>
      </c>
      <c r="O30" t="s">
        <v>300</v>
      </c>
      <c r="P30" t="s">
        <v>300</v>
      </c>
      <c r="Q30">
        <v>1</v>
      </c>
      <c r="X30">
        <v>5.0000000000000001E-4</v>
      </c>
      <c r="Y30">
        <v>284.14999999999998</v>
      </c>
      <c r="Z30">
        <v>0</v>
      </c>
      <c r="AA30">
        <v>0</v>
      </c>
      <c r="AB30">
        <v>0</v>
      </c>
      <c r="AC30">
        <v>0</v>
      </c>
      <c r="AD30">
        <v>1</v>
      </c>
      <c r="AE30">
        <v>0</v>
      </c>
      <c r="AF30" t="s">
        <v>6</v>
      </c>
      <c r="AG30">
        <v>5.0000000000000001E-4</v>
      </c>
      <c r="AH30">
        <v>2</v>
      </c>
      <c r="AI30">
        <v>74851244</v>
      </c>
      <c r="AJ30">
        <v>29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</row>
    <row r="31" spans="1:44" x14ac:dyDescent="0.2">
      <c r="A31">
        <f>ROW(Source!A248)</f>
        <v>248</v>
      </c>
      <c r="B31">
        <v>74851252</v>
      </c>
      <c r="C31">
        <v>74851242</v>
      </c>
      <c r="D31">
        <v>72599529</v>
      </c>
      <c r="E31">
        <v>1</v>
      </c>
      <c r="F31">
        <v>1</v>
      </c>
      <c r="G31">
        <v>1</v>
      </c>
      <c r="H31">
        <v>3</v>
      </c>
      <c r="I31" t="s">
        <v>310</v>
      </c>
      <c r="J31" t="s">
        <v>311</v>
      </c>
      <c r="K31" t="s">
        <v>312</v>
      </c>
      <c r="L31">
        <v>1383</v>
      </c>
      <c r="N31">
        <v>1013</v>
      </c>
      <c r="O31" t="s">
        <v>313</v>
      </c>
      <c r="P31" t="s">
        <v>313</v>
      </c>
      <c r="Q31">
        <v>1</v>
      </c>
      <c r="X31">
        <v>8.3199999999999996E-2</v>
      </c>
      <c r="Y31">
        <v>7.94</v>
      </c>
      <c r="Z31">
        <v>0</v>
      </c>
      <c r="AA31">
        <v>0</v>
      </c>
      <c r="AB31">
        <v>0</v>
      </c>
      <c r="AC31">
        <v>0</v>
      </c>
      <c r="AD31">
        <v>1</v>
      </c>
      <c r="AE31">
        <v>0</v>
      </c>
      <c r="AF31" t="s">
        <v>6</v>
      </c>
      <c r="AG31">
        <v>8.3199999999999996E-2</v>
      </c>
      <c r="AH31">
        <v>2</v>
      </c>
      <c r="AI31">
        <v>74851245</v>
      </c>
      <c r="AJ31">
        <v>30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 x14ac:dyDescent="0.2">
      <c r="A32">
        <f>ROW(Source!A248)</f>
        <v>248</v>
      </c>
      <c r="B32">
        <v>74851253</v>
      </c>
      <c r="C32">
        <v>74851242</v>
      </c>
      <c r="D32">
        <v>72601073</v>
      </c>
      <c r="E32">
        <v>1</v>
      </c>
      <c r="F32">
        <v>1</v>
      </c>
      <c r="G32">
        <v>1</v>
      </c>
      <c r="H32">
        <v>3</v>
      </c>
      <c r="I32" t="s">
        <v>314</v>
      </c>
      <c r="J32" t="s">
        <v>315</v>
      </c>
      <c r="K32" t="s">
        <v>316</v>
      </c>
      <c r="L32">
        <v>1425</v>
      </c>
      <c r="N32">
        <v>1013</v>
      </c>
      <c r="O32" t="s">
        <v>91</v>
      </c>
      <c r="P32" t="s">
        <v>91</v>
      </c>
      <c r="Q32">
        <v>1</v>
      </c>
      <c r="X32">
        <v>2.5000000000000001E-2</v>
      </c>
      <c r="Y32">
        <v>978.09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0</v>
      </c>
      <c r="AF32" t="s">
        <v>6</v>
      </c>
      <c r="AG32">
        <v>2.5000000000000001E-2</v>
      </c>
      <c r="AH32">
        <v>2</v>
      </c>
      <c r="AI32">
        <v>74851246</v>
      </c>
      <c r="AJ32">
        <v>31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 x14ac:dyDescent="0.2">
      <c r="A33">
        <f>ROW(Source!A248)</f>
        <v>248</v>
      </c>
      <c r="B33">
        <v>74851254</v>
      </c>
      <c r="C33">
        <v>74851242</v>
      </c>
      <c r="D33">
        <v>72602917</v>
      </c>
      <c r="E33">
        <v>1</v>
      </c>
      <c r="F33">
        <v>1</v>
      </c>
      <c r="G33">
        <v>1</v>
      </c>
      <c r="H33">
        <v>3</v>
      </c>
      <c r="I33" t="s">
        <v>293</v>
      </c>
      <c r="J33" t="s">
        <v>294</v>
      </c>
      <c r="K33" t="s">
        <v>295</v>
      </c>
      <c r="L33">
        <v>1348</v>
      </c>
      <c r="N33">
        <v>1009</v>
      </c>
      <c r="O33" t="s">
        <v>296</v>
      </c>
      <c r="P33" t="s">
        <v>296</v>
      </c>
      <c r="Q33">
        <v>1000</v>
      </c>
      <c r="X33">
        <v>1.0000000000000001E-5</v>
      </c>
      <c r="Y33">
        <v>4338.2700000000004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0</v>
      </c>
      <c r="AF33" t="s">
        <v>6</v>
      </c>
      <c r="AG33">
        <v>1.0000000000000001E-5</v>
      </c>
      <c r="AH33">
        <v>2</v>
      </c>
      <c r="AI33">
        <v>74851247</v>
      </c>
      <c r="AJ33">
        <v>32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</row>
    <row r="34" spans="1:44" x14ac:dyDescent="0.2">
      <c r="A34">
        <f>ROW(Source!A248)</f>
        <v>248</v>
      </c>
      <c r="B34">
        <v>74851255</v>
      </c>
      <c r="C34">
        <v>74851242</v>
      </c>
      <c r="D34">
        <v>72610471</v>
      </c>
      <c r="E34">
        <v>1</v>
      </c>
      <c r="F34">
        <v>1</v>
      </c>
      <c r="G34">
        <v>1</v>
      </c>
      <c r="H34">
        <v>3</v>
      </c>
      <c r="I34" t="s">
        <v>317</v>
      </c>
      <c r="J34" t="s">
        <v>318</v>
      </c>
      <c r="K34" t="s">
        <v>319</v>
      </c>
      <c r="L34">
        <v>1346</v>
      </c>
      <c r="N34">
        <v>1009</v>
      </c>
      <c r="O34" t="s">
        <v>300</v>
      </c>
      <c r="P34" t="s">
        <v>300</v>
      </c>
      <c r="Q34">
        <v>1</v>
      </c>
      <c r="X34">
        <v>0.01</v>
      </c>
      <c r="Y34">
        <v>899.56</v>
      </c>
      <c r="Z34">
        <v>0</v>
      </c>
      <c r="AA34">
        <v>0</v>
      </c>
      <c r="AB34">
        <v>0</v>
      </c>
      <c r="AC34">
        <v>0</v>
      </c>
      <c r="AD34">
        <v>1</v>
      </c>
      <c r="AE34">
        <v>0</v>
      </c>
      <c r="AF34" t="s">
        <v>6</v>
      </c>
      <c r="AG34">
        <v>0.01</v>
      </c>
      <c r="AH34">
        <v>2</v>
      </c>
      <c r="AI34">
        <v>74851248</v>
      </c>
      <c r="AJ34">
        <v>33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 x14ac:dyDescent="0.2">
      <c r="A35">
        <f>ROW(Source!A248)</f>
        <v>248</v>
      </c>
      <c r="B35">
        <v>74851256</v>
      </c>
      <c r="C35">
        <v>74851242</v>
      </c>
      <c r="D35">
        <v>72533686</v>
      </c>
      <c r="E35">
        <v>114</v>
      </c>
      <c r="F35">
        <v>1</v>
      </c>
      <c r="G35">
        <v>1</v>
      </c>
      <c r="H35">
        <v>3</v>
      </c>
      <c r="I35" t="s">
        <v>110</v>
      </c>
      <c r="J35" t="s">
        <v>6</v>
      </c>
      <c r="K35" t="s">
        <v>111</v>
      </c>
      <c r="L35">
        <v>3277935</v>
      </c>
      <c r="N35">
        <v>1013</v>
      </c>
      <c r="O35" t="s">
        <v>112</v>
      </c>
      <c r="P35" t="s">
        <v>112</v>
      </c>
      <c r="Q35">
        <v>1</v>
      </c>
      <c r="X35">
        <v>2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 t="s">
        <v>6</v>
      </c>
      <c r="AG35">
        <v>2</v>
      </c>
      <c r="AH35">
        <v>2</v>
      </c>
      <c r="AI35">
        <v>74851249</v>
      </c>
      <c r="AJ35">
        <v>34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2.75" x14ac:dyDescent="0.2"/>
  <cols>
    <col min="1" max="256" width="9.140625" customWidth="1"/>
  </cols>
  <sheetData/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2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0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42245</v>
      </c>
      <c r="M1">
        <v>10</v>
      </c>
      <c r="N1">
        <v>12</v>
      </c>
      <c r="O1">
        <v>1</v>
      </c>
      <c r="P1">
        <v>0</v>
      </c>
      <c r="Q1">
        <v>4</v>
      </c>
    </row>
    <row r="12" spans="1:103" x14ac:dyDescent="0.2">
      <c r="F12" t="str">
        <f>Source!F12</f>
        <v>ЛСР02-01-06_(Копия)</v>
      </c>
      <c r="G12" t="str">
        <f>Source!G12</f>
        <v>02-01-06 Электрика костюм.</v>
      </c>
      <c r="AB12" t="s">
        <v>6</v>
      </c>
      <c r="AC12" t="s">
        <v>6</v>
      </c>
      <c r="AD12" t="s">
        <v>6</v>
      </c>
      <c r="AE12" t="s">
        <v>6</v>
      </c>
      <c r="AF12" t="s">
        <v>6</v>
      </c>
      <c r="AG12" t="s">
        <v>6</v>
      </c>
      <c r="AH12" t="s">
        <v>6</v>
      </c>
      <c r="AI12" t="s">
        <v>6</v>
      </c>
      <c r="AJ12">
        <v>0</v>
      </c>
      <c r="AK12" t="s">
        <v>6</v>
      </c>
      <c r="AL12" t="s">
        <v>6</v>
      </c>
      <c r="AM12" t="s">
        <v>6</v>
      </c>
      <c r="CY12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ЛСР02-01-06</vt:lpstr>
      <vt:lpstr>Source</vt:lpstr>
      <vt:lpstr>SourceObSm</vt:lpstr>
      <vt:lpstr>SmtRes</vt:lpstr>
      <vt:lpstr>EtalonRes</vt:lpstr>
      <vt:lpstr>SrcPoprs</vt:lpstr>
      <vt:lpstr>SrcKA</vt:lpstr>
      <vt:lpstr>'ЛСР02-01-06'!Заголовки_для_печати</vt:lpstr>
      <vt:lpstr>'ЛСР02-01-06'!Область_печати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2026-07-27T13:38:22Z</dcterms:created>
  <dcterms:modified xsi:type="dcterms:W3CDTF">2026-08-06T11:19:21Z</dcterms:modified>
</cp:coreProperties>
</file>